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codeName="ThisWorkbook" autoCompressPictures="0"/>
  <mc:AlternateContent xmlns:mc="http://schemas.openxmlformats.org/markup-compatibility/2006">
    <mc:Choice Requires="x15">
      <x15ac:absPath xmlns:x15ac="http://schemas.microsoft.com/office/spreadsheetml/2010/11/ac" url="/Users/waltroloson/OneDrive/Venture Support/Companies/Amazon/Model/"/>
    </mc:Choice>
  </mc:AlternateContent>
  <bookViews>
    <workbookView xWindow="0" yWindow="460" windowWidth="38400" windowHeight="23460"/>
  </bookViews>
  <sheets>
    <sheet name="Valuation" sheetId="1" r:id="rId1"/>
    <sheet name="Model" sheetId="2" r:id="rId2"/>
    <sheet name="Variance" sheetId="7" r:id="rId3"/>
    <sheet name="Company Data" sheetId="6" r:id="rId4"/>
    <sheet name="Query Data" sheetId="8" r:id="rId5"/>
  </sheets>
  <definedNames>
    <definedName name="CIQWBGuid" hidden="1">"Amazon_20160404_v1.xlsx"</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42491.6642592593</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43" i="1" l="1"/>
  <c r="R43" i="1"/>
  <c r="Q43" i="1"/>
  <c r="P43" i="1"/>
  <c r="O43" i="1"/>
  <c r="N43" i="1"/>
  <c r="M43" i="1"/>
  <c r="L43" i="1"/>
  <c r="K43" i="1"/>
  <c r="J43" i="1"/>
  <c r="I43" i="1"/>
  <c r="S40" i="1"/>
  <c r="R40" i="1"/>
  <c r="Q40" i="1"/>
  <c r="P40" i="1"/>
  <c r="O40" i="1"/>
  <c r="N40" i="1"/>
  <c r="M40" i="1"/>
  <c r="L40" i="1"/>
  <c r="K40" i="1"/>
  <c r="J40" i="1"/>
  <c r="I40" i="1"/>
  <c r="AL51" i="2"/>
  <c r="AB104" i="2"/>
  <c r="AA104" i="2"/>
  <c r="Z104" i="2"/>
  <c r="Y104" i="2"/>
  <c r="X104" i="2"/>
  <c r="K104" i="2"/>
  <c r="J104" i="2"/>
  <c r="AF280" i="2"/>
  <c r="AF34" i="2"/>
  <c r="AF46" i="2"/>
  <c r="AF37" i="2"/>
  <c r="AF50" i="2"/>
  <c r="AF40" i="2"/>
  <c r="AF54" i="2"/>
  <c r="AF72" i="2"/>
  <c r="AJ280" i="2"/>
  <c r="AJ34" i="2"/>
  <c r="AJ46" i="2"/>
  <c r="AJ49" i="2"/>
  <c r="AJ37" i="2"/>
  <c r="AJ50" i="2"/>
  <c r="AJ40" i="2"/>
  <c r="AJ54" i="2"/>
  <c r="AJ72" i="2"/>
  <c r="AK46" i="2"/>
  <c r="AG46" i="2"/>
  <c r="AC37" i="2"/>
  <c r="AG37" i="2"/>
  <c r="AK50" i="2"/>
  <c r="AG50" i="2"/>
  <c r="AH50" i="2"/>
  <c r="AD50" i="2"/>
  <c r="AI50" i="2"/>
  <c r="AE50" i="2"/>
  <c r="AK40" i="2"/>
  <c r="AG40" i="2"/>
  <c r="AH40" i="2"/>
  <c r="AD40" i="2"/>
  <c r="AI40" i="2"/>
  <c r="AE40" i="2"/>
  <c r="AK54" i="2"/>
  <c r="AG54" i="2"/>
  <c r="AH54" i="2"/>
  <c r="AD54" i="2"/>
  <c r="AI54" i="2"/>
  <c r="AE54" i="2"/>
  <c r="AK72" i="2"/>
  <c r="AG72" i="2"/>
  <c r="AK34" i="2"/>
  <c r="AH34" i="2"/>
  <c r="AD34" i="2"/>
  <c r="AI34" i="2"/>
  <c r="AE34" i="2"/>
  <c r="AH46" i="2"/>
  <c r="AI46" i="2"/>
  <c r="AK37" i="2"/>
  <c r="AH37" i="2"/>
  <c r="AA37" i="2"/>
  <c r="AE37" i="2"/>
  <c r="AD37" i="2"/>
  <c r="AI37" i="2"/>
  <c r="AB37" i="2"/>
  <c r="AH72" i="2"/>
  <c r="AI72" i="2"/>
  <c r="AF310" i="2"/>
  <c r="AF89" i="2"/>
  <c r="AF95" i="2"/>
  <c r="AF101" i="2"/>
  <c r="AJ310" i="2"/>
  <c r="AJ89" i="2"/>
  <c r="AJ95" i="2"/>
  <c r="AJ101" i="2"/>
  <c r="AK89" i="2"/>
  <c r="S124" i="6"/>
  <c r="AK43" i="2"/>
  <c r="AG95" i="2"/>
  <c r="O130" i="6"/>
  <c r="AG58" i="2"/>
  <c r="R130" i="6"/>
  <c r="AJ58" i="2"/>
  <c r="AK95" i="2"/>
  <c r="AE95" i="2"/>
  <c r="M130" i="6"/>
  <c r="AE58" i="2"/>
  <c r="AH95" i="2"/>
  <c r="P130" i="6"/>
  <c r="AH58" i="2"/>
  <c r="N130" i="6"/>
  <c r="AF58" i="2"/>
  <c r="AI95" i="2"/>
  <c r="Q130" i="6"/>
  <c r="AI58" i="2"/>
  <c r="AK101" i="2"/>
  <c r="AH101" i="2"/>
  <c r="AI101" i="2"/>
  <c r="N34" i="2"/>
  <c r="N37" i="2"/>
  <c r="N40" i="2"/>
  <c r="N46" i="2"/>
  <c r="N50" i="2"/>
  <c r="N54" i="2"/>
  <c r="N72" i="2"/>
  <c r="AJ312" i="2"/>
  <c r="AF117" i="2"/>
  <c r="AI117" i="2"/>
  <c r="AK119" i="2"/>
  <c r="AK326" i="2"/>
  <c r="AL326" i="2"/>
  <c r="AM326" i="2"/>
  <c r="AN326" i="2"/>
  <c r="O326" i="2"/>
  <c r="P326" i="2"/>
  <c r="Q326" i="2"/>
  <c r="Q338" i="2"/>
  <c r="AE117" i="2"/>
  <c r="AE46" i="2"/>
  <c r="AE72" i="2"/>
  <c r="AH117" i="2"/>
  <c r="AK295" i="2"/>
  <c r="AL295" i="2"/>
  <c r="AM295" i="2"/>
  <c r="AN295" i="2"/>
  <c r="O295" i="2"/>
  <c r="P295" i="2"/>
  <c r="Q295" i="2"/>
  <c r="R295" i="2"/>
  <c r="S295" i="2"/>
  <c r="AJ314" i="2"/>
  <c r="AK314" i="2"/>
  <c r="AK194" i="2"/>
  <c r="AK195" i="2"/>
  <c r="AK196" i="2"/>
  <c r="AK197" i="2"/>
  <c r="O197" i="2"/>
  <c r="AK198" i="2"/>
  <c r="O198" i="2"/>
  <c r="AK200" i="2"/>
  <c r="AE280" i="2"/>
  <c r="AI280" i="2"/>
  <c r="AD280" i="2"/>
  <c r="AD46" i="2"/>
  <c r="AD72" i="2"/>
  <c r="AH280" i="2"/>
  <c r="AK282" i="2"/>
  <c r="AH323" i="2"/>
  <c r="AK26" i="2"/>
  <c r="K311" i="7"/>
  <c r="J311" i="7"/>
  <c r="K310" i="7"/>
  <c r="J310" i="7"/>
  <c r="K298" i="7"/>
  <c r="J298" i="7"/>
  <c r="K287" i="7"/>
  <c r="J287" i="7"/>
  <c r="K284" i="7"/>
  <c r="J284" i="7"/>
  <c r="K281" i="7"/>
  <c r="J281" i="7"/>
  <c r="K275" i="7"/>
  <c r="J275" i="7"/>
  <c r="K273" i="7"/>
  <c r="J273" i="7"/>
  <c r="K271" i="7"/>
  <c r="J271" i="7"/>
  <c r="K267" i="7"/>
  <c r="J267" i="7"/>
  <c r="K257" i="7"/>
  <c r="J257" i="7"/>
  <c r="K256" i="7"/>
  <c r="J256" i="7"/>
  <c r="K254" i="7"/>
  <c r="J254" i="7"/>
  <c r="K251" i="7"/>
  <c r="J251" i="7"/>
  <c r="K243" i="7"/>
  <c r="J243" i="7"/>
  <c r="K241" i="7"/>
  <c r="J241" i="7"/>
  <c r="K240" i="7"/>
  <c r="J240" i="7"/>
  <c r="K238" i="7"/>
  <c r="J238" i="7"/>
  <c r="K227" i="7"/>
  <c r="J227" i="7"/>
  <c r="K213" i="7"/>
  <c r="J213" i="7"/>
  <c r="K203" i="7"/>
  <c r="J203" i="7"/>
  <c r="K199" i="7"/>
  <c r="J199" i="7"/>
  <c r="K183" i="7"/>
  <c r="J183" i="7"/>
  <c r="K175" i="7"/>
  <c r="J175" i="7"/>
  <c r="K168" i="7"/>
  <c r="J168" i="7"/>
  <c r="K166" i="7"/>
  <c r="J166" i="7"/>
  <c r="K149" i="7"/>
  <c r="J149" i="7"/>
  <c r="K146" i="7"/>
  <c r="J146" i="7"/>
  <c r="K145" i="7"/>
  <c r="J145" i="7"/>
  <c r="K128" i="7"/>
  <c r="J128" i="7"/>
  <c r="K124" i="7"/>
  <c r="J124" i="7"/>
  <c r="K118" i="7"/>
  <c r="J118" i="7"/>
  <c r="K112" i="7"/>
  <c r="J112" i="7"/>
  <c r="K106" i="7"/>
  <c r="J106" i="7"/>
  <c r="K102" i="7"/>
  <c r="J102" i="7"/>
  <c r="K101" i="7"/>
  <c r="J101" i="7"/>
  <c r="K98" i="7"/>
  <c r="J98" i="7"/>
  <c r="K96" i="7"/>
  <c r="J96" i="7"/>
  <c r="K94" i="7"/>
  <c r="J94" i="7"/>
  <c r="K83" i="7"/>
  <c r="J83" i="7"/>
  <c r="K86" i="7"/>
  <c r="J86" i="7"/>
  <c r="K81" i="7"/>
  <c r="J81" i="7"/>
  <c r="K79" i="7"/>
  <c r="J79" i="7"/>
  <c r="K72" i="7"/>
  <c r="J72" i="7"/>
  <c r="K69" i="7"/>
  <c r="J69" i="7"/>
  <c r="K66" i="7"/>
  <c r="J66" i="7"/>
  <c r="K63" i="7"/>
  <c r="J63" i="7"/>
  <c r="K60" i="7"/>
  <c r="J60" i="7"/>
  <c r="I56" i="7"/>
  <c r="K56" i="7"/>
  <c r="J56" i="7"/>
  <c r="K50" i="7"/>
  <c r="J50" i="7"/>
  <c r="K40" i="7"/>
  <c r="J40" i="7"/>
  <c r="K37" i="7"/>
  <c r="J37" i="7"/>
  <c r="K34" i="7"/>
  <c r="J34" i="7"/>
  <c r="K31" i="7"/>
  <c r="J31" i="7"/>
  <c r="K27" i="7"/>
  <c r="J27" i="7"/>
  <c r="K24" i="7"/>
  <c r="J24" i="7"/>
  <c r="K21" i="7"/>
  <c r="J21" i="7"/>
  <c r="K18" i="7"/>
  <c r="J18" i="7"/>
  <c r="K15" i="7"/>
  <c r="J15" i="7"/>
  <c r="K12" i="7"/>
  <c r="J12" i="7"/>
  <c r="K9" i="7"/>
  <c r="J9" i="7"/>
  <c r="K6" i="7"/>
  <c r="J6" i="7"/>
  <c r="C311" i="7"/>
  <c r="C310" i="7"/>
  <c r="C305" i="7"/>
  <c r="C304" i="7"/>
  <c r="C303" i="7"/>
  <c r="C302" i="7"/>
  <c r="C301" i="7"/>
  <c r="B300" i="7"/>
  <c r="D287" i="7"/>
  <c r="D284" i="7"/>
  <c r="C283" i="7"/>
  <c r="C281" i="7"/>
  <c r="D275" i="7"/>
  <c r="D273" i="7"/>
  <c r="D271" i="7"/>
  <c r="C270" i="7"/>
  <c r="B267" i="7"/>
  <c r="D257" i="7"/>
  <c r="D256" i="7"/>
  <c r="D254" i="7"/>
  <c r="C253" i="7"/>
  <c r="C251" i="7"/>
  <c r="D243" i="7"/>
  <c r="D241" i="7"/>
  <c r="D240" i="7"/>
  <c r="D238" i="7"/>
  <c r="C200" i="7"/>
  <c r="C193" i="7"/>
  <c r="C192" i="7"/>
  <c r="C190" i="7"/>
  <c r="C188" i="7"/>
  <c r="C187" i="7"/>
  <c r="C186" i="7"/>
  <c r="C181" i="7"/>
  <c r="C180" i="7"/>
  <c r="C179" i="7"/>
  <c r="C175" i="7"/>
  <c r="C161" i="7"/>
  <c r="C159" i="7"/>
  <c r="C158" i="7"/>
  <c r="C157" i="7"/>
  <c r="C156" i="7"/>
  <c r="C155" i="7"/>
  <c r="C154" i="7"/>
  <c r="C153" i="7"/>
  <c r="C152" i="7"/>
  <c r="C151" i="7"/>
  <c r="C149" i="7"/>
  <c r="C148" i="7"/>
  <c r="C146" i="7"/>
  <c r="B145" i="7"/>
  <c r="C102" i="7"/>
  <c r="C101" i="7"/>
  <c r="C99" i="7"/>
  <c r="C96" i="7"/>
  <c r="C94" i="7"/>
  <c r="D81" i="7"/>
  <c r="D79" i="7"/>
  <c r="C40" i="7"/>
  <c r="C24" i="7"/>
  <c r="C21" i="7"/>
  <c r="C18" i="7"/>
  <c r="C12" i="7"/>
  <c r="C37" i="7"/>
  <c r="C9" i="7"/>
  <c r="C34" i="7"/>
  <c r="C6" i="7"/>
  <c r="AG34" i="2"/>
  <c r="AC34" i="2"/>
  <c r="AK229" i="2"/>
  <c r="O229" i="2"/>
  <c r="AK231" i="2"/>
  <c r="AJ340" i="2"/>
  <c r="AJ341" i="2"/>
  <c r="AJ342" i="2"/>
  <c r="AJ343" i="2"/>
  <c r="AJ344" i="2"/>
  <c r="AK340" i="2"/>
  <c r="AK341" i="2"/>
  <c r="AK342" i="2"/>
  <c r="AK343" i="2"/>
  <c r="AK344" i="2"/>
  <c r="N277" i="2"/>
  <c r="O243" i="2"/>
  <c r="AK214" i="2"/>
  <c r="AK218" i="2"/>
  <c r="O218" i="2"/>
  <c r="AK219" i="2"/>
  <c r="O219" i="2"/>
  <c r="AK220" i="2"/>
  <c r="O220" i="2"/>
  <c r="P97" i="6"/>
  <c r="AH214" i="2"/>
  <c r="AG214" i="2"/>
  <c r="Q97" i="6"/>
  <c r="AI214" i="2"/>
  <c r="R97" i="6"/>
  <c r="AJ214" i="2"/>
  <c r="AK191" i="2"/>
  <c r="O191" i="2"/>
  <c r="AK193" i="2"/>
  <c r="O193" i="2"/>
  <c r="AK239" i="2"/>
  <c r="O239" i="2"/>
  <c r="AK232" i="2"/>
  <c r="O232" i="2"/>
  <c r="AK277" i="2"/>
  <c r="AK247" i="2"/>
  <c r="AK227" i="2"/>
  <c r="AK226" i="2"/>
  <c r="O226" i="2"/>
  <c r="AK225" i="2"/>
  <c r="AK192" i="2"/>
  <c r="AK190" i="2"/>
  <c r="O190" i="2"/>
  <c r="AK188" i="2"/>
  <c r="AK187" i="2"/>
  <c r="O187" i="2"/>
  <c r="AK185" i="2"/>
  <c r="AK184" i="2"/>
  <c r="AK323" i="2"/>
  <c r="AK312" i="2"/>
  <c r="AK310" i="2"/>
  <c r="AK296" i="2"/>
  <c r="AK293" i="2"/>
  <c r="AK280" i="2"/>
  <c r="AK279" i="2"/>
  <c r="AL279" i="2"/>
  <c r="AM279" i="2"/>
  <c r="AN279" i="2"/>
  <c r="O279" i="2"/>
  <c r="P279" i="2"/>
  <c r="Q279" i="2"/>
  <c r="R279" i="2"/>
  <c r="S279" i="2"/>
  <c r="AK137" i="2"/>
  <c r="O137" i="2"/>
  <c r="AK140" i="2"/>
  <c r="AK139" i="2"/>
  <c r="O139" i="2"/>
  <c r="AK175" i="2"/>
  <c r="AK173" i="2"/>
  <c r="AK134" i="2"/>
  <c r="AK132" i="2"/>
  <c r="AK117" i="2"/>
  <c r="S130" i="6"/>
  <c r="AK58" i="2"/>
  <c r="S160" i="6"/>
  <c r="S154" i="6"/>
  <c r="S153" i="6"/>
  <c r="S152" i="6"/>
  <c r="S149" i="6"/>
  <c r="S143" i="6"/>
  <c r="S137" i="6"/>
  <c r="S94" i="6"/>
  <c r="S101" i="6"/>
  <c r="S110" i="6"/>
  <c r="S114" i="6"/>
  <c r="AK238" i="2"/>
  <c r="S57" i="6"/>
  <c r="S51" i="6"/>
  <c r="S155" i="6"/>
  <c r="S45" i="6"/>
  <c r="S26" i="6"/>
  <c r="G178" i="2"/>
  <c r="AI310" i="2"/>
  <c r="AH310" i="2"/>
  <c r="AG101" i="2"/>
  <c r="AG310" i="2"/>
  <c r="AE101" i="2"/>
  <c r="AE310" i="2"/>
  <c r="AD101" i="2"/>
  <c r="AD310" i="2"/>
  <c r="AC101" i="2"/>
  <c r="AC310" i="2"/>
  <c r="AB101" i="2"/>
  <c r="AB310" i="2"/>
  <c r="AA101" i="2"/>
  <c r="AA310" i="2"/>
  <c r="Z101" i="2"/>
  <c r="Z310" i="2"/>
  <c r="Y101" i="2"/>
  <c r="Y310" i="2"/>
  <c r="X101" i="2"/>
  <c r="X310" i="2"/>
  <c r="W101" i="2"/>
  <c r="W310" i="2"/>
  <c r="V101" i="2"/>
  <c r="V310" i="2"/>
  <c r="U101" i="2"/>
  <c r="U310" i="2"/>
  <c r="N101" i="2"/>
  <c r="N310" i="2"/>
  <c r="M101" i="2"/>
  <c r="M310" i="2"/>
  <c r="L101" i="2"/>
  <c r="L310" i="2"/>
  <c r="K101" i="2"/>
  <c r="K310" i="2"/>
  <c r="J101" i="2"/>
  <c r="J310" i="2"/>
  <c r="I101" i="2"/>
  <c r="I310" i="2"/>
  <c r="AJ323" i="2"/>
  <c r="AJ277" i="2"/>
  <c r="AK243" i="2"/>
  <c r="R124" i="6"/>
  <c r="AJ43" i="2"/>
  <c r="AJ91" i="2"/>
  <c r="AG89" i="2"/>
  <c r="AC46" i="2"/>
  <c r="AG47" i="2"/>
  <c r="AC50" i="2"/>
  <c r="AC54" i="2"/>
  <c r="AI323" i="2"/>
  <c r="AI277" i="2"/>
  <c r="AE89" i="2"/>
  <c r="AI89" i="2"/>
  <c r="AB34" i="2"/>
  <c r="Q124" i="6"/>
  <c r="AI43" i="2"/>
  <c r="AI91" i="2"/>
  <c r="AB46" i="2"/>
  <c r="AB50" i="2"/>
  <c r="AF53" i="2"/>
  <c r="AB54" i="2"/>
  <c r="AH277" i="2"/>
  <c r="AI243" i="2"/>
  <c r="AD89" i="2"/>
  <c r="AD95" i="2"/>
  <c r="AH89" i="2"/>
  <c r="AA34" i="2"/>
  <c r="AE35" i="2"/>
  <c r="AA50" i="2"/>
  <c r="M124" i="6"/>
  <c r="AE43" i="2"/>
  <c r="AA46" i="2"/>
  <c r="Z50" i="2"/>
  <c r="AA54" i="2"/>
  <c r="AG323" i="2"/>
  <c r="AG277" i="2"/>
  <c r="AH243" i="2"/>
  <c r="AC89" i="2"/>
  <c r="AC95" i="2"/>
  <c r="Z34" i="2"/>
  <c r="Z37" i="2"/>
  <c r="AC40" i="2"/>
  <c r="Z46" i="2"/>
  <c r="Z54" i="2"/>
  <c r="AC72" i="2"/>
  <c r="AC103" i="2"/>
  <c r="AF323" i="2"/>
  <c r="AF277" i="2"/>
  <c r="AG243" i="2"/>
  <c r="AE323" i="2"/>
  <c r="AE277" i="2"/>
  <c r="AF243" i="2"/>
  <c r="AD323" i="2"/>
  <c r="AD277" i="2"/>
  <c r="AC323" i="2"/>
  <c r="AC277" i="2"/>
  <c r="AC247" i="2"/>
  <c r="AB323" i="2"/>
  <c r="AB277" i="2"/>
  <c r="AC243" i="2"/>
  <c r="AA323" i="2"/>
  <c r="AA277" i="2"/>
  <c r="AA247" i="2"/>
  <c r="Z323" i="2"/>
  <c r="Z277" i="2"/>
  <c r="Y323" i="2"/>
  <c r="Y277" i="2"/>
  <c r="Z243" i="2"/>
  <c r="X323" i="2"/>
  <c r="X277" i="2"/>
  <c r="AJ117" i="2"/>
  <c r="AJ119" i="2"/>
  <c r="AJ326" i="2"/>
  <c r="AI119" i="2"/>
  <c r="AI121" i="2"/>
  <c r="AI326" i="2"/>
  <c r="AH119" i="2"/>
  <c r="AH326" i="2"/>
  <c r="AG117" i="2"/>
  <c r="AG119" i="2"/>
  <c r="AG326" i="2"/>
  <c r="AF119" i="2"/>
  <c r="AF326" i="2"/>
  <c r="AE119" i="2"/>
  <c r="AE326" i="2"/>
  <c r="AD117" i="2"/>
  <c r="AD119" i="2"/>
  <c r="AD326" i="2"/>
  <c r="AC117" i="2"/>
  <c r="AC119" i="2"/>
  <c r="AC326" i="2"/>
  <c r="AB117" i="2"/>
  <c r="AB119" i="2"/>
  <c r="AB326" i="2"/>
  <c r="AA117" i="2"/>
  <c r="AA119" i="2"/>
  <c r="AA326" i="2"/>
  <c r="Z117" i="2"/>
  <c r="Z119" i="2"/>
  <c r="Z326" i="2"/>
  <c r="Y117" i="2"/>
  <c r="Y119" i="2"/>
  <c r="Y326" i="2"/>
  <c r="X117" i="2"/>
  <c r="X119" i="2"/>
  <c r="X326" i="2"/>
  <c r="W117" i="2"/>
  <c r="W119" i="2"/>
  <c r="W326" i="2"/>
  <c r="V117" i="2"/>
  <c r="V119" i="2"/>
  <c r="V326" i="2"/>
  <c r="U117" i="2"/>
  <c r="U79" i="2"/>
  <c r="U119" i="2"/>
  <c r="U326" i="2"/>
  <c r="N117" i="2"/>
  <c r="N119" i="2"/>
  <c r="N326" i="2"/>
  <c r="M117" i="2"/>
  <c r="M119" i="2"/>
  <c r="M326" i="2"/>
  <c r="L117" i="2"/>
  <c r="L119" i="2"/>
  <c r="L326" i="2"/>
  <c r="K117" i="2"/>
  <c r="K119" i="2"/>
  <c r="K326" i="2"/>
  <c r="J117" i="2"/>
  <c r="J119" i="2"/>
  <c r="J326" i="2"/>
  <c r="I117" i="2"/>
  <c r="I119" i="2"/>
  <c r="N323" i="2"/>
  <c r="M323" i="2"/>
  <c r="M277" i="2"/>
  <c r="L323" i="2"/>
  <c r="L277" i="2"/>
  <c r="K323" i="2"/>
  <c r="K277" i="2"/>
  <c r="L243" i="2"/>
  <c r="J323" i="2"/>
  <c r="J277" i="2"/>
  <c r="I323" i="2"/>
  <c r="I277" i="2"/>
  <c r="AF282" i="2"/>
  <c r="AJ282" i="2"/>
  <c r="N314" i="2"/>
  <c r="AH314" i="2"/>
  <c r="AC280" i="2"/>
  <c r="AG280" i="2"/>
  <c r="AF296" i="2"/>
  <c r="AJ296" i="2"/>
  <c r="AG312" i="2"/>
  <c r="AH312" i="2"/>
  <c r="AI312" i="2"/>
  <c r="AI314" i="2"/>
  <c r="AC282" i="2"/>
  <c r="AG282" i="2"/>
  <c r="AD282" i="2"/>
  <c r="AH282" i="2"/>
  <c r="AE282" i="2"/>
  <c r="AI282" i="2"/>
  <c r="I175" i="2"/>
  <c r="I225" i="2"/>
  <c r="I231" i="2"/>
  <c r="AG227" i="2"/>
  <c r="AK228" i="2"/>
  <c r="AG229" i="2"/>
  <c r="P106" i="6"/>
  <c r="AH227" i="2"/>
  <c r="P107" i="6"/>
  <c r="AH229" i="2"/>
  <c r="Q106" i="6"/>
  <c r="AI227" i="2"/>
  <c r="Q107" i="6"/>
  <c r="AI229" i="2"/>
  <c r="R106" i="6"/>
  <c r="AJ227" i="2"/>
  <c r="R107" i="6"/>
  <c r="AJ229" i="2"/>
  <c r="O124" i="6"/>
  <c r="AG43" i="2"/>
  <c r="AG91" i="2"/>
  <c r="K124" i="6"/>
  <c r="AC43" i="2"/>
  <c r="AC91" i="2"/>
  <c r="L124" i="6"/>
  <c r="AD43" i="2"/>
  <c r="AD91" i="2"/>
  <c r="P124" i="6"/>
  <c r="AH43" i="2"/>
  <c r="AH91" i="2"/>
  <c r="AH92" i="2"/>
  <c r="N124" i="6"/>
  <c r="AF43" i="2"/>
  <c r="AF91" i="2"/>
  <c r="AJ92" i="2"/>
  <c r="L130" i="6"/>
  <c r="AD58" i="2"/>
  <c r="AD97" i="2"/>
  <c r="J130" i="6"/>
  <c r="AB58" i="2"/>
  <c r="K15" i="2"/>
  <c r="N188" i="2"/>
  <c r="U226" i="2"/>
  <c r="D105" i="6"/>
  <c r="V226" i="2"/>
  <c r="E105" i="6"/>
  <c r="X226" i="2"/>
  <c r="Y226" i="2"/>
  <c r="U270" i="2"/>
  <c r="U225" i="2"/>
  <c r="U231" i="2"/>
  <c r="V270" i="2"/>
  <c r="D104" i="6"/>
  <c r="V225" i="2"/>
  <c r="D108" i="6"/>
  <c r="V231" i="2"/>
  <c r="V79" i="2"/>
  <c r="W270" i="2"/>
  <c r="E104" i="6"/>
  <c r="W225" i="2"/>
  <c r="W231" i="2"/>
  <c r="W79" i="2"/>
  <c r="I104" i="6"/>
  <c r="AA231" i="2"/>
  <c r="AA259" i="2"/>
  <c r="H104" i="6"/>
  <c r="Z225" i="2"/>
  <c r="Z231" i="2"/>
  <c r="Z259" i="2"/>
  <c r="Y225" i="2"/>
  <c r="Y231" i="2"/>
  <c r="Y259" i="2"/>
  <c r="Y34" i="2"/>
  <c r="Y46" i="2"/>
  <c r="AC47" i="2"/>
  <c r="Y37" i="2"/>
  <c r="Y50" i="2"/>
  <c r="Y40" i="2"/>
  <c r="Y54" i="2"/>
  <c r="Z40" i="2"/>
  <c r="AA40" i="2"/>
  <c r="X184" i="2"/>
  <c r="X185" i="2"/>
  <c r="X293" i="2"/>
  <c r="X187" i="2"/>
  <c r="X188" i="2"/>
  <c r="X34" i="2"/>
  <c r="X46" i="2"/>
  <c r="X37" i="2"/>
  <c r="AB38" i="2"/>
  <c r="X50" i="2"/>
  <c r="X40" i="2"/>
  <c r="X54" i="2"/>
  <c r="X190" i="2"/>
  <c r="X191" i="2"/>
  <c r="X192" i="2"/>
  <c r="X193" i="2"/>
  <c r="X194" i="2"/>
  <c r="X195" i="2"/>
  <c r="X196" i="2"/>
  <c r="X197" i="2"/>
  <c r="X198" i="2"/>
  <c r="X200" i="2"/>
  <c r="X214" i="2"/>
  <c r="X227" i="2"/>
  <c r="X229" i="2"/>
  <c r="Y184" i="2"/>
  <c r="Y185" i="2"/>
  <c r="G48" i="6"/>
  <c r="Y293" i="2"/>
  <c r="Y187" i="2"/>
  <c r="Y188" i="2"/>
  <c r="Y190" i="2"/>
  <c r="Y191" i="2"/>
  <c r="Y192" i="2"/>
  <c r="Y193" i="2"/>
  <c r="Y194" i="2"/>
  <c r="Y195" i="2"/>
  <c r="Y196" i="2"/>
  <c r="Y197" i="2"/>
  <c r="Y198" i="2"/>
  <c r="Y200" i="2"/>
  <c r="Y214" i="2"/>
  <c r="Y227" i="2"/>
  <c r="Y229" i="2"/>
  <c r="U184" i="2"/>
  <c r="U185" i="2"/>
  <c r="D293" i="2"/>
  <c r="U293" i="2"/>
  <c r="U187" i="2"/>
  <c r="U188" i="2"/>
  <c r="U190" i="2"/>
  <c r="U191" i="2"/>
  <c r="U192" i="2"/>
  <c r="U193" i="2"/>
  <c r="U194" i="2"/>
  <c r="U195" i="2"/>
  <c r="U196" i="2"/>
  <c r="U197" i="2"/>
  <c r="U198" i="2"/>
  <c r="U200" i="2"/>
  <c r="U214" i="2"/>
  <c r="U227" i="2"/>
  <c r="U229" i="2"/>
  <c r="H80" i="6"/>
  <c r="Z184" i="2"/>
  <c r="H81" i="6"/>
  <c r="Z185" i="2"/>
  <c r="H48" i="6"/>
  <c r="Z293" i="2"/>
  <c r="H82" i="6"/>
  <c r="Z187" i="2"/>
  <c r="H83" i="6"/>
  <c r="Z188" i="2"/>
  <c r="H84" i="6"/>
  <c r="Z190" i="2"/>
  <c r="H85" i="6"/>
  <c r="Z191" i="2"/>
  <c r="H86" i="6"/>
  <c r="Z192" i="2"/>
  <c r="H87" i="6"/>
  <c r="Z193" i="2"/>
  <c r="H88" i="6"/>
  <c r="Z194" i="2"/>
  <c r="H89" i="6"/>
  <c r="Z195" i="2"/>
  <c r="H90" i="6"/>
  <c r="Z196" i="2"/>
  <c r="H91" i="6"/>
  <c r="Z197" i="2"/>
  <c r="H92" i="6"/>
  <c r="Z198" i="2"/>
  <c r="H93" i="6"/>
  <c r="Z200" i="2"/>
  <c r="H97" i="6"/>
  <c r="Z214" i="2"/>
  <c r="H106" i="6"/>
  <c r="Z227" i="2"/>
  <c r="Z229" i="2"/>
  <c r="D80" i="6"/>
  <c r="V184" i="2"/>
  <c r="D81" i="6"/>
  <c r="V293" i="2"/>
  <c r="D82" i="6"/>
  <c r="V187" i="2"/>
  <c r="D83" i="6"/>
  <c r="V188" i="2"/>
  <c r="D84" i="6"/>
  <c r="V190" i="2"/>
  <c r="D85" i="6"/>
  <c r="V191" i="2"/>
  <c r="D86" i="6"/>
  <c r="V192" i="2"/>
  <c r="D87" i="6"/>
  <c r="V193" i="2"/>
  <c r="D88" i="6"/>
  <c r="V194" i="2"/>
  <c r="D89" i="6"/>
  <c r="V195" i="2"/>
  <c r="D90" i="6"/>
  <c r="V196" i="2"/>
  <c r="D91" i="6"/>
  <c r="V197" i="2"/>
  <c r="D92" i="6"/>
  <c r="V198" i="2"/>
  <c r="D93" i="6"/>
  <c r="V200" i="2"/>
  <c r="D97" i="6"/>
  <c r="V214" i="2"/>
  <c r="D106" i="6"/>
  <c r="V227" i="2"/>
  <c r="V229" i="2"/>
  <c r="I80" i="6"/>
  <c r="AA184" i="2"/>
  <c r="I81" i="6"/>
  <c r="AA185" i="2"/>
  <c r="I48" i="6"/>
  <c r="AA293" i="2"/>
  <c r="I82" i="6"/>
  <c r="AA187" i="2"/>
  <c r="I83" i="6"/>
  <c r="AA188" i="2"/>
  <c r="I84" i="6"/>
  <c r="AA190" i="2"/>
  <c r="I85" i="6"/>
  <c r="AA191" i="2"/>
  <c r="I86" i="6"/>
  <c r="AA192" i="2"/>
  <c r="I87" i="6"/>
  <c r="AA193" i="2"/>
  <c r="I88" i="6"/>
  <c r="AA194" i="2"/>
  <c r="I89" i="6"/>
  <c r="AA195" i="2"/>
  <c r="I90" i="6"/>
  <c r="AA196" i="2"/>
  <c r="I91" i="6"/>
  <c r="AA197" i="2"/>
  <c r="I92" i="6"/>
  <c r="AA198" i="2"/>
  <c r="I93" i="6"/>
  <c r="AA200" i="2"/>
  <c r="I97" i="6"/>
  <c r="AA214" i="2"/>
  <c r="I98" i="6"/>
  <c r="AA218" i="2"/>
  <c r="I99" i="6"/>
  <c r="AA219" i="2"/>
  <c r="I100" i="6"/>
  <c r="AA220" i="2"/>
  <c r="I106" i="6"/>
  <c r="AA227" i="2"/>
  <c r="M106" i="6"/>
  <c r="AE227" i="2"/>
  <c r="AA229" i="2"/>
  <c r="E80" i="6"/>
  <c r="W184" i="2"/>
  <c r="E81" i="6"/>
  <c r="W185" i="2"/>
  <c r="W293" i="2"/>
  <c r="E82" i="6"/>
  <c r="W187" i="2"/>
  <c r="E83" i="6"/>
  <c r="W188" i="2"/>
  <c r="E84" i="6"/>
  <c r="W190" i="2"/>
  <c r="E85" i="6"/>
  <c r="W191" i="2"/>
  <c r="E86" i="6"/>
  <c r="W192" i="2"/>
  <c r="E87" i="6"/>
  <c r="W193" i="2"/>
  <c r="E88" i="6"/>
  <c r="W194" i="2"/>
  <c r="E89" i="6"/>
  <c r="W195" i="2"/>
  <c r="E90" i="6"/>
  <c r="W196" i="2"/>
  <c r="E91" i="6"/>
  <c r="W197" i="2"/>
  <c r="E92" i="6"/>
  <c r="W198" i="2"/>
  <c r="E93" i="6"/>
  <c r="W200" i="2"/>
  <c r="E97" i="6"/>
  <c r="E106" i="6"/>
  <c r="W227" i="2"/>
  <c r="W229" i="2"/>
  <c r="X231" i="2"/>
  <c r="X259" i="2"/>
  <c r="W259" i="2"/>
  <c r="M109" i="6"/>
  <c r="E109" i="6"/>
  <c r="D109" i="6"/>
  <c r="E39" i="6"/>
  <c r="D39" i="6"/>
  <c r="U89" i="2"/>
  <c r="U91" i="2"/>
  <c r="U95" i="2"/>
  <c r="U312" i="2"/>
  <c r="U313" i="2"/>
  <c r="U314" i="2"/>
  <c r="V89" i="2"/>
  <c r="V95" i="2"/>
  <c r="V97" i="2"/>
  <c r="V312" i="2"/>
  <c r="V313" i="2"/>
  <c r="V314" i="2"/>
  <c r="W89" i="2"/>
  <c r="W95" i="2"/>
  <c r="W312" i="2"/>
  <c r="W314" i="2"/>
  <c r="W315" i="2"/>
  <c r="W323" i="2"/>
  <c r="V323" i="2"/>
  <c r="U323" i="2"/>
  <c r="U295" i="2"/>
  <c r="C50" i="6"/>
  <c r="U296" i="2"/>
  <c r="U277" i="2"/>
  <c r="U279" i="2"/>
  <c r="C42" i="6"/>
  <c r="U280" i="2"/>
  <c r="U282" i="2"/>
  <c r="U340" i="2"/>
  <c r="U341" i="2"/>
  <c r="U342" i="2"/>
  <c r="U343" i="2"/>
  <c r="U344" i="2"/>
  <c r="V295" i="2"/>
  <c r="D50" i="6"/>
  <c r="V296" i="2"/>
  <c r="V297" i="2"/>
  <c r="V277" i="2"/>
  <c r="V247" i="2"/>
  <c r="V279" i="2"/>
  <c r="D42" i="6"/>
  <c r="V280" i="2"/>
  <c r="V282" i="2"/>
  <c r="V340" i="2"/>
  <c r="V341" i="2"/>
  <c r="V342" i="2"/>
  <c r="V343" i="2"/>
  <c r="V344" i="2"/>
  <c r="W295" i="2"/>
  <c r="E50" i="6"/>
  <c r="W296" i="2"/>
  <c r="W297" i="2"/>
  <c r="W277" i="2"/>
  <c r="W279" i="2"/>
  <c r="E42" i="6"/>
  <c r="W280" i="2"/>
  <c r="W281" i="2"/>
  <c r="W282" i="2"/>
  <c r="W340" i="2"/>
  <c r="W341" i="2"/>
  <c r="W342" i="2"/>
  <c r="W343" i="2"/>
  <c r="W344" i="2"/>
  <c r="D110" i="6"/>
  <c r="V238" i="2"/>
  <c r="D98" i="6"/>
  <c r="V218" i="2"/>
  <c r="D99" i="6"/>
  <c r="V219" i="2"/>
  <c r="D100" i="6"/>
  <c r="V220" i="2"/>
  <c r="D113" i="6"/>
  <c r="V239" i="2"/>
  <c r="W247" i="2"/>
  <c r="E98" i="6"/>
  <c r="W218" i="2"/>
  <c r="E99" i="6"/>
  <c r="W219" i="2"/>
  <c r="E100" i="6"/>
  <c r="W220" i="2"/>
  <c r="E113" i="6"/>
  <c r="W239" i="2"/>
  <c r="X218" i="2"/>
  <c r="X219" i="2"/>
  <c r="X220" i="2"/>
  <c r="F110" i="6"/>
  <c r="X238" i="2"/>
  <c r="X239" i="2"/>
  <c r="U218" i="2"/>
  <c r="U219" i="2"/>
  <c r="U220" i="2"/>
  <c r="U238" i="2"/>
  <c r="U239" i="2"/>
  <c r="U232" i="2"/>
  <c r="V232" i="2"/>
  <c r="W232" i="2"/>
  <c r="AA175" i="2"/>
  <c r="W175" i="2"/>
  <c r="Z175" i="2"/>
  <c r="V175" i="2"/>
  <c r="Y175" i="2"/>
  <c r="U175" i="2"/>
  <c r="X175" i="2"/>
  <c r="W173" i="2"/>
  <c r="V173" i="2"/>
  <c r="U173" i="2"/>
  <c r="W132" i="2"/>
  <c r="U132" i="2"/>
  <c r="U134" i="2"/>
  <c r="U139" i="2"/>
  <c r="U137" i="2"/>
  <c r="U140" i="2"/>
  <c r="V132" i="2"/>
  <c r="V134" i="2"/>
  <c r="V135" i="2"/>
  <c r="V139" i="2"/>
  <c r="V137" i="2"/>
  <c r="V140" i="2"/>
  <c r="W134" i="2"/>
  <c r="W139" i="2"/>
  <c r="W137" i="2"/>
  <c r="W140" i="2"/>
  <c r="E149" i="6"/>
  <c r="D149" i="6"/>
  <c r="C149" i="6"/>
  <c r="E94" i="6"/>
  <c r="D101" i="6"/>
  <c r="C94" i="6"/>
  <c r="C101" i="6"/>
  <c r="K34" i="2"/>
  <c r="K46" i="2"/>
  <c r="L46" i="2"/>
  <c r="K37" i="2"/>
  <c r="K50" i="2"/>
  <c r="K40" i="2"/>
  <c r="K54" i="2"/>
  <c r="K89" i="2"/>
  <c r="K95" i="2"/>
  <c r="K132" i="2"/>
  <c r="K134" i="2"/>
  <c r="K139" i="2"/>
  <c r="K137" i="2"/>
  <c r="K140" i="2"/>
  <c r="L34" i="2"/>
  <c r="L37" i="2"/>
  <c r="L50" i="2"/>
  <c r="L40" i="2"/>
  <c r="L54" i="2"/>
  <c r="L57" i="2"/>
  <c r="L72" i="2"/>
  <c r="L89" i="2"/>
  <c r="L95" i="2"/>
  <c r="L132" i="2"/>
  <c r="L134" i="2"/>
  <c r="L139" i="2"/>
  <c r="L137" i="2"/>
  <c r="L140" i="2"/>
  <c r="AJ132" i="2"/>
  <c r="N134" i="2"/>
  <c r="N279" i="2"/>
  <c r="AJ279" i="2"/>
  <c r="R139" i="2"/>
  <c r="R137" i="2"/>
  <c r="AJ134" i="2"/>
  <c r="S139" i="2"/>
  <c r="S137" i="2"/>
  <c r="Q139" i="2"/>
  <c r="Q137" i="2"/>
  <c r="P139" i="2"/>
  <c r="P137" i="2"/>
  <c r="N89" i="2"/>
  <c r="N95" i="2"/>
  <c r="N132" i="2"/>
  <c r="N139" i="2"/>
  <c r="N137" i="2"/>
  <c r="N140" i="2"/>
  <c r="M34" i="2"/>
  <c r="M36" i="2"/>
  <c r="M46" i="2"/>
  <c r="M37" i="2"/>
  <c r="N39" i="2"/>
  <c r="M50" i="2"/>
  <c r="M40" i="2"/>
  <c r="M54" i="2"/>
  <c r="M72" i="2"/>
  <c r="M103" i="2"/>
  <c r="M89" i="2"/>
  <c r="M95" i="2"/>
  <c r="M132" i="2"/>
  <c r="M134" i="2"/>
  <c r="M139" i="2"/>
  <c r="M137" i="2"/>
  <c r="M140" i="2"/>
  <c r="J34" i="2"/>
  <c r="J46" i="2"/>
  <c r="J37" i="2"/>
  <c r="J50" i="2"/>
  <c r="J40" i="2"/>
  <c r="J54" i="2"/>
  <c r="J89" i="2"/>
  <c r="J95" i="2"/>
  <c r="J132" i="2"/>
  <c r="J134" i="2"/>
  <c r="J139" i="2"/>
  <c r="J137" i="2"/>
  <c r="J140" i="2"/>
  <c r="I34" i="2"/>
  <c r="I46" i="2"/>
  <c r="I37" i="2"/>
  <c r="I50" i="2"/>
  <c r="I40" i="2"/>
  <c r="I54" i="2"/>
  <c r="I89" i="2"/>
  <c r="I95" i="2"/>
  <c r="I132" i="2"/>
  <c r="I134" i="2"/>
  <c r="I139" i="2"/>
  <c r="I137" i="2"/>
  <c r="I140" i="2"/>
  <c r="AC185" i="2"/>
  <c r="AB293" i="2"/>
  <c r="AC293" i="2"/>
  <c r="AG185" i="2"/>
  <c r="AF293" i="2"/>
  <c r="AG293" i="2"/>
  <c r="AJ293" i="2"/>
  <c r="L81" i="6"/>
  <c r="AD185" i="2"/>
  <c r="AD293" i="2"/>
  <c r="P81" i="6"/>
  <c r="AH185" i="2"/>
  <c r="AH293" i="2"/>
  <c r="M81" i="6"/>
  <c r="AE185" i="2"/>
  <c r="AE293" i="2"/>
  <c r="Q81" i="6"/>
  <c r="AI185" i="2"/>
  <c r="AI293" i="2"/>
  <c r="N81" i="6"/>
  <c r="AF185" i="2"/>
  <c r="R81" i="6"/>
  <c r="AJ185" i="2"/>
  <c r="M97" i="6"/>
  <c r="AE214" i="2"/>
  <c r="N185" i="2"/>
  <c r="M293" i="2"/>
  <c r="N293" i="2"/>
  <c r="AC188" i="2"/>
  <c r="AG188" i="2"/>
  <c r="L83" i="6"/>
  <c r="AD188" i="2"/>
  <c r="P83" i="6"/>
  <c r="AH188" i="2"/>
  <c r="M83" i="6"/>
  <c r="AE188" i="2"/>
  <c r="Q83" i="6"/>
  <c r="AI188" i="2"/>
  <c r="N83" i="6"/>
  <c r="AF188" i="2"/>
  <c r="R83" i="6"/>
  <c r="AJ188" i="2"/>
  <c r="AC296" i="2"/>
  <c r="AG296" i="2"/>
  <c r="AD296" i="2"/>
  <c r="AH296" i="2"/>
  <c r="AE296" i="2"/>
  <c r="AI296" i="2"/>
  <c r="AC314" i="2"/>
  <c r="AG314" i="2"/>
  <c r="AD314" i="2"/>
  <c r="AE314" i="2"/>
  <c r="AF314" i="2"/>
  <c r="N227" i="2"/>
  <c r="AJ175" i="2"/>
  <c r="N175" i="2"/>
  <c r="M175" i="2"/>
  <c r="M9" i="1"/>
  <c r="M10" i="1"/>
  <c r="L175" i="2"/>
  <c r="AB40" i="2"/>
  <c r="AB89" i="2"/>
  <c r="AB95" i="2"/>
  <c r="J81" i="6"/>
  <c r="AB185" i="2"/>
  <c r="AJ139" i="2"/>
  <c r="AJ137" i="2"/>
  <c r="AJ140" i="2"/>
  <c r="AF132" i="2"/>
  <c r="AF134" i="2"/>
  <c r="AF139" i="2"/>
  <c r="AF137" i="2"/>
  <c r="AF140" i="2"/>
  <c r="AB132" i="2"/>
  <c r="AB134" i="2"/>
  <c r="AB139" i="2"/>
  <c r="AB137" i="2"/>
  <c r="AB140" i="2"/>
  <c r="P187" i="2"/>
  <c r="P190" i="2"/>
  <c r="P191" i="2"/>
  <c r="N296" i="2"/>
  <c r="P193" i="2"/>
  <c r="N280" i="2"/>
  <c r="P215" i="2"/>
  <c r="Q187" i="2"/>
  <c r="Q190" i="2"/>
  <c r="Q191" i="2"/>
  <c r="Q193" i="2"/>
  <c r="Q215" i="2"/>
  <c r="R187" i="2"/>
  <c r="R190" i="2"/>
  <c r="R191" i="2"/>
  <c r="R193" i="2"/>
  <c r="R215" i="2"/>
  <c r="S187" i="2"/>
  <c r="S190" i="2"/>
  <c r="S191" i="2"/>
  <c r="S193" i="2"/>
  <c r="S215" i="2"/>
  <c r="P5" i="1"/>
  <c r="Q5" i="1"/>
  <c r="R5" i="1"/>
  <c r="S5" i="1"/>
  <c r="M185" i="2"/>
  <c r="L185" i="2"/>
  <c r="K185" i="2"/>
  <c r="K175" i="2"/>
  <c r="K9" i="1"/>
  <c r="K10" i="1"/>
  <c r="K231" i="2"/>
  <c r="K259" i="2"/>
  <c r="J185" i="2"/>
  <c r="J175" i="2"/>
  <c r="J9" i="1"/>
  <c r="J10" i="1"/>
  <c r="I185" i="2"/>
  <c r="Z89" i="2"/>
  <c r="Z95" i="2"/>
  <c r="N312" i="2"/>
  <c r="M312" i="2"/>
  <c r="M314" i="2"/>
  <c r="L312" i="2"/>
  <c r="L314" i="2"/>
  <c r="K312" i="2"/>
  <c r="K314" i="2"/>
  <c r="J312" i="2"/>
  <c r="J314" i="2"/>
  <c r="U61" i="6"/>
  <c r="I326" i="2"/>
  <c r="I312" i="2"/>
  <c r="I314" i="2"/>
  <c r="AN259" i="2"/>
  <c r="AF312" i="2"/>
  <c r="AE312" i="2"/>
  <c r="AD312" i="2"/>
  <c r="AC312" i="2"/>
  <c r="AB312" i="2"/>
  <c r="AB314" i="2"/>
  <c r="AA89" i="2"/>
  <c r="AA95" i="2"/>
  <c r="AA312" i="2"/>
  <c r="AA314" i="2"/>
  <c r="Z312" i="2"/>
  <c r="Z314" i="2"/>
  <c r="Y89" i="2"/>
  <c r="Y95" i="2"/>
  <c r="Y312" i="2"/>
  <c r="Y314" i="2"/>
  <c r="X89" i="2"/>
  <c r="X95" i="2"/>
  <c r="X312" i="2"/>
  <c r="X314" i="2"/>
  <c r="AI132" i="2"/>
  <c r="AI134" i="2"/>
  <c r="AI139" i="2"/>
  <c r="AI137" i="2"/>
  <c r="AI140" i="2"/>
  <c r="AI175" i="2"/>
  <c r="AH132" i="2"/>
  <c r="AH134" i="2"/>
  <c r="AH139" i="2"/>
  <c r="AH137" i="2"/>
  <c r="AH140" i="2"/>
  <c r="AH175" i="2"/>
  <c r="AG132" i="2"/>
  <c r="AG134" i="2"/>
  <c r="AG139" i="2"/>
  <c r="AG137" i="2"/>
  <c r="AG140" i="2"/>
  <c r="AG175" i="2"/>
  <c r="AF175" i="2"/>
  <c r="AE132" i="2"/>
  <c r="AE134" i="2"/>
  <c r="AE139" i="2"/>
  <c r="AE137" i="2"/>
  <c r="AE140" i="2"/>
  <c r="AE175" i="2"/>
  <c r="AD132" i="2"/>
  <c r="AD134" i="2"/>
  <c r="AD139" i="2"/>
  <c r="AD137" i="2"/>
  <c r="AD140" i="2"/>
  <c r="AD175" i="2"/>
  <c r="AC132" i="2"/>
  <c r="AC134" i="2"/>
  <c r="AC139" i="2"/>
  <c r="AC137" i="2"/>
  <c r="AC140" i="2"/>
  <c r="AC175" i="2"/>
  <c r="AB175" i="2"/>
  <c r="AA132" i="2"/>
  <c r="AA134" i="2"/>
  <c r="AA139" i="2"/>
  <c r="AA137" i="2"/>
  <c r="AA140" i="2"/>
  <c r="Z132" i="2"/>
  <c r="Z134" i="2"/>
  <c r="Z139" i="2"/>
  <c r="Z137" i="2"/>
  <c r="Z140" i="2"/>
  <c r="Y132" i="2"/>
  <c r="Y134" i="2"/>
  <c r="Y139" i="2"/>
  <c r="Y137" i="2"/>
  <c r="Y140" i="2"/>
  <c r="X132" i="2"/>
  <c r="X134" i="2"/>
  <c r="X139" i="2"/>
  <c r="X137" i="2"/>
  <c r="X140" i="2"/>
  <c r="E1" i="1"/>
  <c r="Z3" i="6"/>
  <c r="AA3" i="6"/>
  <c r="AB3" i="6"/>
  <c r="AC3" i="6"/>
  <c r="N106" i="6"/>
  <c r="AF227" i="2"/>
  <c r="L106" i="6"/>
  <c r="AD227" i="2"/>
  <c r="AC227" i="2"/>
  <c r="J106" i="6"/>
  <c r="AB227" i="2"/>
  <c r="M227" i="2"/>
  <c r="L227" i="2"/>
  <c r="K227" i="2"/>
  <c r="J227" i="2"/>
  <c r="I227" i="2"/>
  <c r="I228" i="2"/>
  <c r="N214" i="2"/>
  <c r="N97" i="6"/>
  <c r="AF214" i="2"/>
  <c r="L97" i="6"/>
  <c r="AD214" i="2"/>
  <c r="AC214" i="2"/>
  <c r="J97" i="6"/>
  <c r="AB214" i="2"/>
  <c r="M214" i="2"/>
  <c r="L214" i="2"/>
  <c r="M184" i="2"/>
  <c r="L293" i="2"/>
  <c r="M187" i="2"/>
  <c r="M188" i="2"/>
  <c r="M190" i="2"/>
  <c r="M191" i="2"/>
  <c r="M192" i="2"/>
  <c r="M193" i="2"/>
  <c r="M194" i="2"/>
  <c r="M195" i="2"/>
  <c r="M196" i="2"/>
  <c r="M197" i="2"/>
  <c r="M198" i="2"/>
  <c r="M200" i="2"/>
  <c r="L184" i="2"/>
  <c r="K293" i="2"/>
  <c r="L187" i="2"/>
  <c r="L188" i="2"/>
  <c r="L190" i="2"/>
  <c r="L191" i="2"/>
  <c r="L192" i="2"/>
  <c r="L193" i="2"/>
  <c r="L194" i="2"/>
  <c r="L195" i="2"/>
  <c r="L196" i="2"/>
  <c r="L197" i="2"/>
  <c r="L198" i="2"/>
  <c r="L200" i="2"/>
  <c r="I184" i="2"/>
  <c r="I187" i="2"/>
  <c r="I188" i="2"/>
  <c r="I190" i="2"/>
  <c r="I191" i="2"/>
  <c r="I192" i="2"/>
  <c r="I193" i="2"/>
  <c r="I194" i="2"/>
  <c r="I195" i="2"/>
  <c r="I196" i="2"/>
  <c r="I197" i="2"/>
  <c r="I198" i="2"/>
  <c r="I200" i="2"/>
  <c r="J184" i="2"/>
  <c r="U48" i="6"/>
  <c r="I293" i="2"/>
  <c r="V48" i="6"/>
  <c r="J293" i="2"/>
  <c r="J187" i="2"/>
  <c r="J188" i="2"/>
  <c r="J190" i="2"/>
  <c r="J191" i="2"/>
  <c r="J192" i="2"/>
  <c r="J193" i="2"/>
  <c r="J194" i="2"/>
  <c r="J195" i="2"/>
  <c r="J196" i="2"/>
  <c r="J197" i="2"/>
  <c r="J198" i="2"/>
  <c r="J200" i="2"/>
  <c r="K184" i="2"/>
  <c r="K187" i="2"/>
  <c r="K188" i="2"/>
  <c r="K190" i="2"/>
  <c r="K191" i="2"/>
  <c r="K192" i="2"/>
  <c r="K193" i="2"/>
  <c r="K194" i="2"/>
  <c r="K195" i="2"/>
  <c r="K196" i="2"/>
  <c r="K197" i="2"/>
  <c r="K198" i="2"/>
  <c r="K200" i="2"/>
  <c r="N184" i="2"/>
  <c r="N187" i="2"/>
  <c r="N190" i="2"/>
  <c r="N191" i="2"/>
  <c r="N192" i="2"/>
  <c r="N193" i="2"/>
  <c r="N194" i="2"/>
  <c r="N195" i="2"/>
  <c r="N196" i="2"/>
  <c r="N197" i="2"/>
  <c r="N198" i="2"/>
  <c r="N200" i="2"/>
  <c r="AG218" i="2"/>
  <c r="P98" i="6"/>
  <c r="AH218" i="2"/>
  <c r="Q98" i="6"/>
  <c r="AI218" i="2"/>
  <c r="R98" i="6"/>
  <c r="AJ218" i="2"/>
  <c r="K214" i="2"/>
  <c r="J214" i="2"/>
  <c r="I214" i="2"/>
  <c r="I215" i="2"/>
  <c r="AB72" i="2"/>
  <c r="I72" i="2"/>
  <c r="AD29" i="2"/>
  <c r="AE29" i="2"/>
  <c r="AF29" i="2"/>
  <c r="AF30" i="2"/>
  <c r="AG29" i="2"/>
  <c r="AG30" i="2"/>
  <c r="AH29" i="2"/>
  <c r="AH30" i="2"/>
  <c r="AI30" i="2"/>
  <c r="AI29" i="2"/>
  <c r="AJ29" i="2"/>
  <c r="AJ30" i="2"/>
  <c r="X225" i="2"/>
  <c r="J104" i="6"/>
  <c r="AB225" i="2"/>
  <c r="AB231" i="2"/>
  <c r="AB259" i="2"/>
  <c r="N104" i="6"/>
  <c r="AF225" i="2"/>
  <c r="N105" i="6"/>
  <c r="AF226" i="2"/>
  <c r="AF231" i="2"/>
  <c r="AF259" i="2"/>
  <c r="M104" i="6"/>
  <c r="AE225" i="2"/>
  <c r="M105" i="6"/>
  <c r="AE226" i="2"/>
  <c r="AE231" i="2"/>
  <c r="AE259" i="2"/>
  <c r="L104" i="6"/>
  <c r="AD225" i="2"/>
  <c r="L105" i="6"/>
  <c r="AD226" i="2"/>
  <c r="AD231" i="2"/>
  <c r="AD259" i="2"/>
  <c r="AC225" i="2"/>
  <c r="AC226" i="2"/>
  <c r="AC231" i="2"/>
  <c r="AC259" i="2"/>
  <c r="AG225" i="2"/>
  <c r="AG226" i="2"/>
  <c r="AG231" i="2"/>
  <c r="AG259" i="2"/>
  <c r="P104" i="6"/>
  <c r="AH225" i="2"/>
  <c r="P105" i="6"/>
  <c r="AH226" i="2"/>
  <c r="AH231" i="2"/>
  <c r="AH259" i="2"/>
  <c r="Q104" i="6"/>
  <c r="AI225" i="2"/>
  <c r="Q105" i="6"/>
  <c r="AI226" i="2"/>
  <c r="AI231" i="2"/>
  <c r="AI259" i="2"/>
  <c r="R104" i="6"/>
  <c r="R105" i="6"/>
  <c r="AJ226" i="2"/>
  <c r="AJ231" i="2"/>
  <c r="AJ259" i="2"/>
  <c r="J225" i="2"/>
  <c r="J231" i="2"/>
  <c r="J259" i="2"/>
  <c r="M225" i="2"/>
  <c r="M226" i="2"/>
  <c r="M231" i="2"/>
  <c r="M259" i="2"/>
  <c r="L225" i="2"/>
  <c r="L226" i="2"/>
  <c r="L231" i="2"/>
  <c r="K225" i="2"/>
  <c r="K226" i="2"/>
  <c r="N225" i="2"/>
  <c r="N226" i="2"/>
  <c r="N231" i="2"/>
  <c r="N259" i="2"/>
  <c r="N282" i="2"/>
  <c r="M279" i="2"/>
  <c r="M280" i="2"/>
  <c r="M282" i="2"/>
  <c r="L279" i="2"/>
  <c r="L280" i="2"/>
  <c r="L282" i="2"/>
  <c r="K279" i="2"/>
  <c r="K280" i="2"/>
  <c r="K282" i="2"/>
  <c r="J279" i="2"/>
  <c r="V42" i="6"/>
  <c r="J280" i="2"/>
  <c r="J282" i="2"/>
  <c r="I279" i="2"/>
  <c r="U42" i="6"/>
  <c r="I280" i="2"/>
  <c r="I282" i="2"/>
  <c r="AJ295" i="2"/>
  <c r="N295" i="2"/>
  <c r="M295" i="2"/>
  <c r="M296" i="2"/>
  <c r="L295" i="2"/>
  <c r="L296" i="2"/>
  <c r="K295" i="2"/>
  <c r="K296" i="2"/>
  <c r="J295" i="2"/>
  <c r="J296" i="2"/>
  <c r="I295" i="2"/>
  <c r="I296" i="2"/>
  <c r="AI279" i="2"/>
  <c r="AH279" i="2"/>
  <c r="AG279" i="2"/>
  <c r="AF279" i="2"/>
  <c r="AE279" i="2"/>
  <c r="AD279" i="2"/>
  <c r="AD135" i="2"/>
  <c r="AC279" i="2"/>
  <c r="AB279" i="2"/>
  <c r="AB280" i="2"/>
  <c r="AB282" i="2"/>
  <c r="AA279" i="2"/>
  <c r="I42" i="6"/>
  <c r="AA280" i="2"/>
  <c r="AA282" i="2"/>
  <c r="Z279" i="2"/>
  <c r="H42" i="6"/>
  <c r="Z280" i="2"/>
  <c r="Z282" i="2"/>
  <c r="Y279" i="2"/>
  <c r="G42" i="6"/>
  <c r="Y280" i="2"/>
  <c r="Y282" i="2"/>
  <c r="X279" i="2"/>
  <c r="X280" i="2"/>
  <c r="X282" i="2"/>
  <c r="AE295" i="2"/>
  <c r="AD295" i="2"/>
  <c r="AC295" i="2"/>
  <c r="AB295" i="2"/>
  <c r="AB296" i="2"/>
  <c r="AA295" i="2"/>
  <c r="AA296" i="2"/>
  <c r="Z295" i="2"/>
  <c r="Z296" i="2"/>
  <c r="Y295" i="2"/>
  <c r="Y296" i="2"/>
  <c r="X295" i="2"/>
  <c r="X296" i="2"/>
  <c r="AF295" i="2"/>
  <c r="AG295" i="2"/>
  <c r="AH295" i="2"/>
  <c r="AI295" i="2"/>
  <c r="R80" i="6"/>
  <c r="AJ184" i="2"/>
  <c r="R82" i="6"/>
  <c r="AJ187" i="2"/>
  <c r="R84" i="6"/>
  <c r="AJ190" i="2"/>
  <c r="R85" i="6"/>
  <c r="AJ191" i="2"/>
  <c r="R86" i="6"/>
  <c r="AJ192" i="2"/>
  <c r="R87" i="6"/>
  <c r="AJ193" i="2"/>
  <c r="R88" i="6"/>
  <c r="AJ194" i="2"/>
  <c r="R89" i="6"/>
  <c r="AJ195" i="2"/>
  <c r="R90" i="6"/>
  <c r="AJ196" i="2"/>
  <c r="R91" i="6"/>
  <c r="AJ197" i="2"/>
  <c r="R92" i="6"/>
  <c r="AJ198" i="2"/>
  <c r="R93" i="6"/>
  <c r="R99" i="6"/>
  <c r="AJ219" i="2"/>
  <c r="R100" i="6"/>
  <c r="AJ220" i="2"/>
  <c r="R109" i="6"/>
  <c r="R113" i="6"/>
  <c r="AJ239" i="2"/>
  <c r="J80" i="6"/>
  <c r="AB184" i="2"/>
  <c r="J82" i="6"/>
  <c r="AB187" i="2"/>
  <c r="J83" i="6"/>
  <c r="AB188" i="2"/>
  <c r="J84" i="6"/>
  <c r="AB190" i="2"/>
  <c r="J85" i="6"/>
  <c r="AB191" i="2"/>
  <c r="J86" i="6"/>
  <c r="AB192" i="2"/>
  <c r="J87" i="6"/>
  <c r="AB193" i="2"/>
  <c r="J88" i="6"/>
  <c r="AB194" i="2"/>
  <c r="J89" i="6"/>
  <c r="AB195" i="2"/>
  <c r="J90" i="6"/>
  <c r="AB196" i="2"/>
  <c r="J91" i="6"/>
  <c r="AB197" i="2"/>
  <c r="J92" i="6"/>
  <c r="AB198" i="2"/>
  <c r="J93" i="6"/>
  <c r="AB200" i="2"/>
  <c r="AC184" i="2"/>
  <c r="AC187" i="2"/>
  <c r="AC190" i="2"/>
  <c r="AC191" i="2"/>
  <c r="AC192" i="2"/>
  <c r="AC193" i="2"/>
  <c r="AC194" i="2"/>
  <c r="AC195" i="2"/>
  <c r="AC196" i="2"/>
  <c r="AC197" i="2"/>
  <c r="AC198" i="2"/>
  <c r="AC200" i="2"/>
  <c r="L80" i="6"/>
  <c r="AD184" i="2"/>
  <c r="L82" i="6"/>
  <c r="AD187" i="2"/>
  <c r="L84" i="6"/>
  <c r="AD190" i="2"/>
  <c r="L85" i="6"/>
  <c r="AD191" i="2"/>
  <c r="L86" i="6"/>
  <c r="AD192" i="2"/>
  <c r="L87" i="6"/>
  <c r="AD193" i="2"/>
  <c r="L88" i="6"/>
  <c r="AD194" i="2"/>
  <c r="L89" i="6"/>
  <c r="AD195" i="2"/>
  <c r="L90" i="6"/>
  <c r="AD196" i="2"/>
  <c r="L91" i="6"/>
  <c r="AD197" i="2"/>
  <c r="L92" i="6"/>
  <c r="AD198" i="2"/>
  <c r="L93" i="6"/>
  <c r="AD200" i="2"/>
  <c r="M80" i="6"/>
  <c r="AE184" i="2"/>
  <c r="M82" i="6"/>
  <c r="AE187" i="2"/>
  <c r="M84" i="6"/>
  <c r="AE190" i="2"/>
  <c r="M85" i="6"/>
  <c r="AE191" i="2"/>
  <c r="M86" i="6"/>
  <c r="AE192" i="2"/>
  <c r="M87" i="6"/>
  <c r="AE193" i="2"/>
  <c r="M88" i="6"/>
  <c r="AE194" i="2"/>
  <c r="M89" i="6"/>
  <c r="AE195" i="2"/>
  <c r="M90" i="6"/>
  <c r="AE196" i="2"/>
  <c r="M91" i="6"/>
  <c r="AE197" i="2"/>
  <c r="M92" i="6"/>
  <c r="AE198" i="2"/>
  <c r="M93" i="6"/>
  <c r="AE200" i="2"/>
  <c r="N80" i="6"/>
  <c r="AF184" i="2"/>
  <c r="N82" i="6"/>
  <c r="AF187" i="2"/>
  <c r="N84" i="6"/>
  <c r="AF190" i="2"/>
  <c r="N85" i="6"/>
  <c r="AF191" i="2"/>
  <c r="N86" i="6"/>
  <c r="AF192" i="2"/>
  <c r="N87" i="6"/>
  <c r="AF193" i="2"/>
  <c r="N88" i="6"/>
  <c r="AF194" i="2"/>
  <c r="N89" i="6"/>
  <c r="AF195" i="2"/>
  <c r="N90" i="6"/>
  <c r="AF196" i="2"/>
  <c r="N91" i="6"/>
  <c r="AF197" i="2"/>
  <c r="N92" i="6"/>
  <c r="AF198" i="2"/>
  <c r="N93" i="6"/>
  <c r="AF200" i="2"/>
  <c r="AG184" i="2"/>
  <c r="AG187" i="2"/>
  <c r="AG190" i="2"/>
  <c r="AG191" i="2"/>
  <c r="AG192" i="2"/>
  <c r="AG193" i="2"/>
  <c r="AG194" i="2"/>
  <c r="AG195" i="2"/>
  <c r="AG196" i="2"/>
  <c r="AG197" i="2"/>
  <c r="AG198" i="2"/>
  <c r="AG200" i="2"/>
  <c r="P80" i="6"/>
  <c r="AH184" i="2"/>
  <c r="P82" i="6"/>
  <c r="AH187" i="2"/>
  <c r="P84" i="6"/>
  <c r="AH190" i="2"/>
  <c r="P85" i="6"/>
  <c r="AH191" i="2"/>
  <c r="P86" i="6"/>
  <c r="AH192" i="2"/>
  <c r="P87" i="6"/>
  <c r="AH193" i="2"/>
  <c r="P88" i="6"/>
  <c r="AH194" i="2"/>
  <c r="P89" i="6"/>
  <c r="AH195" i="2"/>
  <c r="P90" i="6"/>
  <c r="AH196" i="2"/>
  <c r="P91" i="6"/>
  <c r="AH197" i="2"/>
  <c r="P92" i="6"/>
  <c r="AH198" i="2"/>
  <c r="P93" i="6"/>
  <c r="AH200" i="2"/>
  <c r="Q80" i="6"/>
  <c r="AI184" i="2"/>
  <c r="Q82" i="6"/>
  <c r="AI187" i="2"/>
  <c r="Q84" i="6"/>
  <c r="AI190" i="2"/>
  <c r="Q85" i="6"/>
  <c r="AI191" i="2"/>
  <c r="Q86" i="6"/>
  <c r="AI192" i="2"/>
  <c r="Q87" i="6"/>
  <c r="AI193" i="2"/>
  <c r="Q88" i="6"/>
  <c r="AI194" i="2"/>
  <c r="Q89" i="6"/>
  <c r="AI195" i="2"/>
  <c r="Q90" i="6"/>
  <c r="AI196" i="2"/>
  <c r="Q91" i="6"/>
  <c r="AI197" i="2"/>
  <c r="Q92" i="6"/>
  <c r="AI198" i="2"/>
  <c r="Q93" i="6"/>
  <c r="AI200" i="2"/>
  <c r="W124" i="6"/>
  <c r="K43" i="2"/>
  <c r="V124" i="6"/>
  <c r="J43" i="2"/>
  <c r="J91" i="2"/>
  <c r="AG27" i="2"/>
  <c r="AH27" i="2"/>
  <c r="AI27" i="2"/>
  <c r="AJ27" i="2"/>
  <c r="AC27" i="2"/>
  <c r="AD27" i="2"/>
  <c r="AE27" i="2"/>
  <c r="AF27" i="2"/>
  <c r="Y27" i="2"/>
  <c r="Z27" i="2"/>
  <c r="AA27" i="2"/>
  <c r="AB27" i="2"/>
  <c r="AK27" i="2"/>
  <c r="Y26" i="2"/>
  <c r="Z26" i="2"/>
  <c r="AA26" i="2"/>
  <c r="AB26" i="2"/>
  <c r="AC26" i="2"/>
  <c r="AD26" i="2"/>
  <c r="AE26" i="2"/>
  <c r="AF26" i="2"/>
  <c r="AG26" i="2"/>
  <c r="AH26" i="2"/>
  <c r="AI26" i="2"/>
  <c r="AJ26" i="2"/>
  <c r="N21" i="2"/>
  <c r="N20" i="2"/>
  <c r="N14" i="2"/>
  <c r="M14" i="2"/>
  <c r="L14" i="2"/>
  <c r="N13" i="2"/>
  <c r="M13" i="2"/>
  <c r="L13" i="2"/>
  <c r="N12" i="2"/>
  <c r="N11" i="2"/>
  <c r="M11" i="2"/>
  <c r="L11" i="2"/>
  <c r="AK8" i="2"/>
  <c r="AJ8" i="2"/>
  <c r="S86" i="2"/>
  <c r="R86" i="2"/>
  <c r="Q86" i="2"/>
  <c r="P86" i="2"/>
  <c r="O86" i="2"/>
  <c r="N86" i="2"/>
  <c r="M86" i="2"/>
  <c r="L86" i="2"/>
  <c r="AN86" i="2"/>
  <c r="AM86" i="2"/>
  <c r="AL86" i="2"/>
  <c r="AK86" i="2"/>
  <c r="X270" i="2"/>
  <c r="N218" i="2"/>
  <c r="N219" i="2"/>
  <c r="N220" i="2"/>
  <c r="M218" i="2"/>
  <c r="M219" i="2"/>
  <c r="M220" i="2"/>
  <c r="L218" i="2"/>
  <c r="L219" i="2"/>
  <c r="L220" i="2"/>
  <c r="K218" i="2"/>
  <c r="K219" i="2"/>
  <c r="K220" i="2"/>
  <c r="J218" i="2"/>
  <c r="J219" i="2"/>
  <c r="J220" i="2"/>
  <c r="I218" i="2"/>
  <c r="I219" i="2"/>
  <c r="I220" i="2"/>
  <c r="AG219" i="2"/>
  <c r="AG220" i="2"/>
  <c r="AD218" i="2"/>
  <c r="L99" i="6"/>
  <c r="AD219" i="2"/>
  <c r="AC218" i="2"/>
  <c r="AC219" i="2"/>
  <c r="AC220" i="2"/>
  <c r="J99" i="6"/>
  <c r="AB219" i="2"/>
  <c r="H99" i="6"/>
  <c r="Z219" i="2"/>
  <c r="Y218" i="2"/>
  <c r="Y219" i="2"/>
  <c r="Y220" i="2"/>
  <c r="K72" i="2"/>
  <c r="J72" i="2"/>
  <c r="G130" i="6"/>
  <c r="Y58" i="2"/>
  <c r="C34" i="2"/>
  <c r="Q109" i="6"/>
  <c r="Q110" i="6"/>
  <c r="AI238" i="2"/>
  <c r="AL259" i="2"/>
  <c r="AM259" i="2"/>
  <c r="O141" i="6"/>
  <c r="O153" i="6"/>
  <c r="O140" i="6"/>
  <c r="Q140" i="6"/>
  <c r="N340" i="2"/>
  <c r="N341" i="2"/>
  <c r="N342" i="2"/>
  <c r="N343" i="2"/>
  <c r="N344" i="2"/>
  <c r="I124" i="6"/>
  <c r="H124" i="6"/>
  <c r="Z43" i="2"/>
  <c r="Z91" i="2"/>
  <c r="AD92" i="2"/>
  <c r="G124" i="6"/>
  <c r="Y43" i="2"/>
  <c r="Y91" i="2"/>
  <c r="AC92" i="2"/>
  <c r="F124" i="6"/>
  <c r="X43" i="2"/>
  <c r="X91" i="2"/>
  <c r="L94" i="6"/>
  <c r="N229" i="2"/>
  <c r="M229" i="2"/>
  <c r="L229" i="2"/>
  <c r="N239" i="2"/>
  <c r="M239" i="2"/>
  <c r="L239" i="2"/>
  <c r="K239" i="2"/>
  <c r="J239" i="2"/>
  <c r="I239" i="2"/>
  <c r="AJ3" i="2"/>
  <c r="AN3" i="2"/>
  <c r="AI3" i="2"/>
  <c r="AM3" i="2"/>
  <c r="AH3" i="2"/>
  <c r="AL3" i="2"/>
  <c r="AG3" i="2"/>
  <c r="AK3" i="2"/>
  <c r="K229" i="2"/>
  <c r="AD54" i="6"/>
  <c r="AE54" i="6"/>
  <c r="AF54" i="6"/>
  <c r="AD52" i="6"/>
  <c r="AE52" i="6"/>
  <c r="AF52" i="6"/>
  <c r="N173" i="2"/>
  <c r="Z124" i="6"/>
  <c r="N43" i="2"/>
  <c r="N91" i="2"/>
  <c r="Z130" i="6"/>
  <c r="N58" i="2"/>
  <c r="Z149" i="6"/>
  <c r="Y149" i="6"/>
  <c r="X149" i="6"/>
  <c r="W149" i="6"/>
  <c r="V149" i="6"/>
  <c r="U149" i="6"/>
  <c r="Y130" i="6"/>
  <c r="Y141" i="6"/>
  <c r="Y153" i="6"/>
  <c r="M58" i="2"/>
  <c r="X130" i="6"/>
  <c r="L58" i="2"/>
  <c r="W130" i="6"/>
  <c r="V130" i="6"/>
  <c r="J58" i="2"/>
  <c r="J97" i="2"/>
  <c r="U130" i="6"/>
  <c r="U141" i="6"/>
  <c r="U153" i="6"/>
  <c r="Y124" i="6"/>
  <c r="M43" i="2"/>
  <c r="M91" i="2"/>
  <c r="X124" i="6"/>
  <c r="L43" i="2"/>
  <c r="L91" i="2"/>
  <c r="M92" i="2"/>
  <c r="V140" i="6"/>
  <c r="V152" i="6"/>
  <c r="U124" i="6"/>
  <c r="I43" i="2"/>
  <c r="I91" i="2"/>
  <c r="R149" i="6"/>
  <c r="Q149" i="6"/>
  <c r="P149" i="6"/>
  <c r="O149" i="6"/>
  <c r="N149" i="6"/>
  <c r="M149" i="6"/>
  <c r="L149" i="6"/>
  <c r="K149" i="6"/>
  <c r="J149" i="6"/>
  <c r="I149" i="6"/>
  <c r="H149" i="6"/>
  <c r="G149" i="6"/>
  <c r="F149" i="6"/>
  <c r="K130" i="6"/>
  <c r="AC58" i="2"/>
  <c r="I130" i="6"/>
  <c r="AA58" i="2"/>
  <c r="AA97" i="2"/>
  <c r="H130" i="6"/>
  <c r="Z58" i="2"/>
  <c r="Z97" i="2"/>
  <c r="F130" i="6"/>
  <c r="X58" i="2"/>
  <c r="J124" i="6"/>
  <c r="J140" i="6"/>
  <c r="K3" i="2"/>
  <c r="K1" i="1"/>
  <c r="L3" i="2"/>
  <c r="L1" i="1"/>
  <c r="M3" i="2"/>
  <c r="M1" i="1"/>
  <c r="J3" i="2"/>
  <c r="J1" i="1"/>
  <c r="I94" i="6"/>
  <c r="I101" i="6"/>
  <c r="I105" i="6"/>
  <c r="I113" i="6"/>
  <c r="Z110" i="6"/>
  <c r="N238" i="2"/>
  <c r="Y110" i="6"/>
  <c r="M238" i="2"/>
  <c r="X110" i="6"/>
  <c r="L238" i="2"/>
  <c r="W110" i="6"/>
  <c r="K238" i="2"/>
  <c r="V110" i="6"/>
  <c r="J238" i="2"/>
  <c r="AH247" i="2"/>
  <c r="Q99" i="6"/>
  <c r="Q100" i="6"/>
  <c r="AI220" i="2"/>
  <c r="Q113" i="6"/>
  <c r="AI239" i="2"/>
  <c r="P99" i="6"/>
  <c r="P100" i="6"/>
  <c r="P101" i="6"/>
  <c r="AH220" i="2"/>
  <c r="P109" i="6"/>
  <c r="P113" i="6"/>
  <c r="AH239" i="2"/>
  <c r="O110" i="6"/>
  <c r="AG238" i="2"/>
  <c r="AG239" i="2"/>
  <c r="N98" i="6"/>
  <c r="AF218" i="2"/>
  <c r="N99" i="6"/>
  <c r="N100" i="6"/>
  <c r="AF220" i="2"/>
  <c r="N107" i="6"/>
  <c r="AF229" i="2"/>
  <c r="N109" i="6"/>
  <c r="N113" i="6"/>
  <c r="AF239" i="2"/>
  <c r="M98" i="6"/>
  <c r="AE218" i="2"/>
  <c r="M99" i="6"/>
  <c r="AE219" i="2"/>
  <c r="M100" i="6"/>
  <c r="AE220" i="2"/>
  <c r="M107" i="6"/>
  <c r="M113" i="6"/>
  <c r="AE239" i="2"/>
  <c r="L100" i="6"/>
  <c r="L107" i="6"/>
  <c r="L110" i="6"/>
  <c r="AD238" i="2"/>
  <c r="AD229" i="2"/>
  <c r="AD230" i="2"/>
  <c r="AD232" i="2"/>
  <c r="L113" i="6"/>
  <c r="AD239" i="2"/>
  <c r="K110" i="6"/>
  <c r="AC238" i="2"/>
  <c r="AC239" i="2"/>
  <c r="J98" i="6"/>
  <c r="AB218" i="2"/>
  <c r="J100" i="6"/>
  <c r="AB220" i="2"/>
  <c r="J105" i="6"/>
  <c r="AB226" i="2"/>
  <c r="J113" i="6"/>
  <c r="AB239" i="2"/>
  <c r="M340" i="2"/>
  <c r="M341" i="2"/>
  <c r="M342" i="2"/>
  <c r="M343" i="2"/>
  <c r="M344" i="2"/>
  <c r="L340" i="2"/>
  <c r="L341" i="2"/>
  <c r="L342" i="2"/>
  <c r="L343" i="2"/>
  <c r="L344" i="2"/>
  <c r="K340" i="2"/>
  <c r="K341" i="2"/>
  <c r="K342" i="2"/>
  <c r="K343" i="2"/>
  <c r="K344" i="2"/>
  <c r="J340" i="2"/>
  <c r="J341" i="2"/>
  <c r="J342" i="2"/>
  <c r="J343" i="2"/>
  <c r="J344" i="2"/>
  <c r="I340" i="2"/>
  <c r="I341" i="2"/>
  <c r="I342" i="2"/>
  <c r="I343" i="2"/>
  <c r="I344" i="2"/>
  <c r="AI340" i="2"/>
  <c r="AI341" i="2"/>
  <c r="AI342" i="2"/>
  <c r="AI343" i="2"/>
  <c r="AI344" i="2"/>
  <c r="AH340" i="2"/>
  <c r="AH341" i="2"/>
  <c r="AH342" i="2"/>
  <c r="AH343" i="2"/>
  <c r="AH344" i="2"/>
  <c r="AG340" i="2"/>
  <c r="AG341" i="2"/>
  <c r="AG342" i="2"/>
  <c r="AG343" i="2"/>
  <c r="AG344" i="2"/>
  <c r="AF340" i="2"/>
  <c r="AF341" i="2"/>
  <c r="AF342" i="2"/>
  <c r="AF343" i="2"/>
  <c r="AF344" i="2"/>
  <c r="AE340" i="2"/>
  <c r="AE341" i="2"/>
  <c r="AE342" i="2"/>
  <c r="AE343" i="2"/>
  <c r="AE344" i="2"/>
  <c r="AD340" i="2"/>
  <c r="AD341" i="2"/>
  <c r="AD342" i="2"/>
  <c r="AD343" i="2"/>
  <c r="AD344" i="2"/>
  <c r="AC340" i="2"/>
  <c r="AC341" i="2"/>
  <c r="AC342" i="2"/>
  <c r="AC343" i="2"/>
  <c r="AC344" i="2"/>
  <c r="AB340" i="2"/>
  <c r="AB341" i="2"/>
  <c r="AB342" i="2"/>
  <c r="AB343" i="2"/>
  <c r="AB344" i="2"/>
  <c r="AA340" i="2"/>
  <c r="AA341" i="2"/>
  <c r="AA342" i="2"/>
  <c r="AA343" i="2"/>
  <c r="AA344" i="2"/>
  <c r="Z340" i="2"/>
  <c r="Z341" i="2"/>
  <c r="Z342" i="2"/>
  <c r="Z343" i="2"/>
  <c r="Z344" i="2"/>
  <c r="Y340" i="2"/>
  <c r="Y341" i="2"/>
  <c r="Y342" i="2"/>
  <c r="Y343" i="2"/>
  <c r="Y344" i="2"/>
  <c r="X340" i="2"/>
  <c r="X341" i="2"/>
  <c r="X342" i="2"/>
  <c r="X343" i="2"/>
  <c r="X344" i="2"/>
  <c r="AF3" i="2"/>
  <c r="AE3" i="2"/>
  <c r="AD3" i="2"/>
  <c r="AC3" i="2"/>
  <c r="AB3" i="2"/>
  <c r="AA3" i="2"/>
  <c r="Z3" i="2"/>
  <c r="Y3" i="2"/>
  <c r="I232" i="2"/>
  <c r="I229" i="2"/>
  <c r="I226" i="2"/>
  <c r="J232" i="2"/>
  <c r="J229" i="2"/>
  <c r="J226" i="2"/>
  <c r="I3" i="2"/>
  <c r="I1" i="1"/>
  <c r="N232" i="2"/>
  <c r="M232" i="2"/>
  <c r="L232" i="2"/>
  <c r="K232" i="2"/>
  <c r="O94" i="6"/>
  <c r="O101" i="6"/>
  <c r="O114" i="6"/>
  <c r="K94" i="6"/>
  <c r="K101" i="6"/>
  <c r="K114" i="6"/>
  <c r="J94" i="6"/>
  <c r="AY94" i="6"/>
  <c r="AY101" i="6"/>
  <c r="AY110" i="6"/>
  <c r="AY114" i="6"/>
  <c r="AX94" i="6"/>
  <c r="AX101" i="6"/>
  <c r="AX110" i="6"/>
  <c r="AX114" i="6"/>
  <c r="AW94" i="6"/>
  <c r="AW101" i="6"/>
  <c r="AW110" i="6"/>
  <c r="AW114" i="6"/>
  <c r="AV94" i="6"/>
  <c r="AV101" i="6"/>
  <c r="AV110" i="6"/>
  <c r="AU94" i="6"/>
  <c r="AU101" i="6"/>
  <c r="AU110" i="6"/>
  <c r="AU114" i="6"/>
  <c r="AT94" i="6"/>
  <c r="AT101" i="6"/>
  <c r="AT110" i="6"/>
  <c r="AS94" i="6"/>
  <c r="AS101" i="6"/>
  <c r="AS110" i="6"/>
  <c r="AR94" i="6"/>
  <c r="AR101" i="6"/>
  <c r="AR110" i="6"/>
  <c r="AQ94" i="6"/>
  <c r="AQ101" i="6"/>
  <c r="AP101" i="6"/>
  <c r="AQ102" i="6"/>
  <c r="AQ110" i="6"/>
  <c r="AB232" i="2"/>
  <c r="AB229" i="2"/>
  <c r="AJ232" i="2"/>
  <c r="AH232" i="2"/>
  <c r="AG232" i="2"/>
  <c r="AF232" i="2"/>
  <c r="AE232" i="2"/>
  <c r="AE229" i="2"/>
  <c r="AC232" i="2"/>
  <c r="AC229" i="2"/>
  <c r="AA239" i="2"/>
  <c r="AA232" i="2"/>
  <c r="H113" i="6"/>
  <c r="Z239" i="2"/>
  <c r="H105" i="6"/>
  <c r="Z226" i="2"/>
  <c r="Z232" i="2"/>
  <c r="H100" i="6"/>
  <c r="Z220" i="2"/>
  <c r="H98" i="6"/>
  <c r="Z218" i="2"/>
  <c r="AM94" i="6"/>
  <c r="AM101" i="6"/>
  <c r="AM110" i="6"/>
  <c r="AM114" i="6"/>
  <c r="AP110" i="6"/>
  <c r="AO110" i="6"/>
  <c r="AN110" i="6"/>
  <c r="AN94" i="6"/>
  <c r="AN101" i="6"/>
  <c r="AO101" i="6"/>
  <c r="AP102" i="6"/>
  <c r="AO94" i="6"/>
  <c r="AO114" i="6"/>
  <c r="AP94" i="6"/>
  <c r="AP114" i="6"/>
  <c r="F46" i="6"/>
  <c r="Y239" i="2"/>
  <c r="G110" i="6"/>
  <c r="Y238" i="2"/>
  <c r="C239" i="2"/>
  <c r="X232" i="2"/>
  <c r="C232" i="2"/>
  <c r="C231" i="2"/>
  <c r="C229" i="2"/>
  <c r="C227" i="2"/>
  <c r="C226" i="2"/>
  <c r="C225" i="2"/>
  <c r="C220" i="2"/>
  <c r="C219" i="2"/>
  <c r="C218" i="2"/>
  <c r="G94" i="6"/>
  <c r="G101" i="6"/>
  <c r="G114" i="6"/>
  <c r="F94" i="6"/>
  <c r="F101" i="6"/>
  <c r="F114" i="6"/>
  <c r="C214" i="2"/>
  <c r="C200" i="2"/>
  <c r="C198" i="2"/>
  <c r="C197" i="2"/>
  <c r="C196" i="2"/>
  <c r="C195" i="2"/>
  <c r="C194" i="2"/>
  <c r="C193" i="2"/>
  <c r="C192" i="2"/>
  <c r="C191" i="2"/>
  <c r="C190" i="2"/>
  <c r="C188" i="2"/>
  <c r="C187" i="2"/>
  <c r="C185" i="2"/>
  <c r="B184" i="2"/>
  <c r="C350" i="2"/>
  <c r="C349" i="2"/>
  <c r="C344" i="2"/>
  <c r="C343" i="2"/>
  <c r="C342" i="2"/>
  <c r="C341" i="2"/>
  <c r="C340" i="2"/>
  <c r="D326" i="2"/>
  <c r="B339" i="2"/>
  <c r="D323" i="2"/>
  <c r="C322" i="2"/>
  <c r="C320" i="2"/>
  <c r="D314" i="2"/>
  <c r="D312" i="2"/>
  <c r="D310" i="2"/>
  <c r="C309" i="2"/>
  <c r="B306" i="2"/>
  <c r="D296" i="2"/>
  <c r="D295" i="2"/>
  <c r="C292" i="2"/>
  <c r="C290" i="2"/>
  <c r="D282" i="2"/>
  <c r="D280" i="2"/>
  <c r="D279" i="2"/>
  <c r="D277" i="2"/>
  <c r="M173" i="2"/>
  <c r="L173" i="2"/>
  <c r="K173" i="2"/>
  <c r="J173" i="2"/>
  <c r="I173" i="2"/>
  <c r="AJ173" i="2"/>
  <c r="AI173" i="2"/>
  <c r="AH173" i="2"/>
  <c r="AG173" i="2"/>
  <c r="AF173" i="2"/>
  <c r="AE173" i="2"/>
  <c r="AD173" i="2"/>
  <c r="AC173" i="2"/>
  <c r="AB173" i="2"/>
  <c r="AA173" i="2"/>
  <c r="Z173" i="2"/>
  <c r="Y173" i="2"/>
  <c r="X173" i="2"/>
  <c r="C137" i="2"/>
  <c r="F22" i="6"/>
  <c r="H22" i="6"/>
  <c r="C139" i="2"/>
  <c r="C140" i="2"/>
  <c r="C134" i="2"/>
  <c r="C132" i="2"/>
  <c r="D119" i="2"/>
  <c r="D117" i="2"/>
  <c r="C72" i="2"/>
  <c r="C54" i="2"/>
  <c r="C50" i="2"/>
  <c r="C46" i="2"/>
  <c r="C40" i="2"/>
  <c r="C69" i="2"/>
  <c r="C37" i="2"/>
  <c r="C66" i="2"/>
  <c r="X3" i="2"/>
  <c r="F133" i="6"/>
  <c r="F134" i="6"/>
  <c r="F136" i="6"/>
  <c r="F137" i="6"/>
  <c r="G133" i="6"/>
  <c r="G134" i="6"/>
  <c r="G136" i="6"/>
  <c r="H133" i="6"/>
  <c r="H134" i="6"/>
  <c r="H136" i="6"/>
  <c r="H137" i="6"/>
  <c r="I133" i="6"/>
  <c r="I134" i="6"/>
  <c r="I136" i="6"/>
  <c r="I137" i="6"/>
  <c r="J133" i="6"/>
  <c r="K133" i="6"/>
  <c r="K134" i="6"/>
  <c r="K136" i="6"/>
  <c r="L133" i="6"/>
  <c r="L134" i="6"/>
  <c r="L136" i="6"/>
  <c r="L137" i="6"/>
  <c r="M133" i="6"/>
  <c r="M134" i="6"/>
  <c r="M136" i="6"/>
  <c r="M137" i="6"/>
  <c r="N133" i="6"/>
  <c r="N134" i="6"/>
  <c r="N136" i="6"/>
  <c r="N137" i="6"/>
  <c r="J134" i="6"/>
  <c r="J136" i="6"/>
  <c r="G140" i="6"/>
  <c r="G152" i="6"/>
  <c r="G141" i="6"/>
  <c r="G153" i="6"/>
  <c r="G155" i="6"/>
  <c r="H140" i="6"/>
  <c r="H141" i="6"/>
  <c r="K140" i="6"/>
  <c r="K141" i="6"/>
  <c r="K153" i="6"/>
  <c r="K142" i="6"/>
  <c r="L140" i="6"/>
  <c r="L152" i="6"/>
  <c r="L141" i="6"/>
  <c r="L153" i="6"/>
  <c r="L142" i="6"/>
  <c r="L154" i="6"/>
  <c r="L155" i="6"/>
  <c r="N140" i="6"/>
  <c r="N152" i="6"/>
  <c r="I141" i="6"/>
  <c r="I153" i="6"/>
  <c r="M141" i="6"/>
  <c r="M153" i="6"/>
  <c r="M140" i="6"/>
  <c r="M152" i="6"/>
  <c r="M154" i="6"/>
  <c r="M155" i="6"/>
  <c r="N142" i="6"/>
  <c r="J141" i="6"/>
  <c r="J153" i="6"/>
  <c r="K154" i="6"/>
  <c r="N154" i="6"/>
  <c r="N158" i="6"/>
  <c r="N159" i="6"/>
  <c r="N160" i="6"/>
  <c r="K160" i="6"/>
  <c r="L160" i="6"/>
  <c r="M160" i="6"/>
  <c r="Z160" i="6"/>
  <c r="Y160" i="6"/>
  <c r="X160" i="6"/>
  <c r="W160" i="6"/>
  <c r="V160" i="6"/>
  <c r="U160" i="6"/>
  <c r="Q160" i="6"/>
  <c r="P160" i="6"/>
  <c r="O160" i="6"/>
  <c r="R159" i="6"/>
  <c r="R158" i="6"/>
  <c r="R160" i="6"/>
  <c r="B148" i="6"/>
  <c r="B154" i="6"/>
  <c r="Z142" i="6"/>
  <c r="Z154" i="6"/>
  <c r="Y142" i="6"/>
  <c r="Y154" i="6"/>
  <c r="X142" i="6"/>
  <c r="X154" i="6"/>
  <c r="R142" i="6"/>
  <c r="R154" i="6"/>
  <c r="Q142" i="6"/>
  <c r="Q154" i="6"/>
  <c r="P142" i="6"/>
  <c r="P154" i="6"/>
  <c r="O142" i="6"/>
  <c r="O154" i="6"/>
  <c r="O152" i="6"/>
  <c r="O155" i="6"/>
  <c r="B141" i="6"/>
  <c r="B147" i="6"/>
  <c r="B153" i="6"/>
  <c r="B140" i="6"/>
  <c r="B146" i="6"/>
  <c r="B152" i="6"/>
  <c r="W133" i="6"/>
  <c r="W134" i="6"/>
  <c r="W136" i="6"/>
  <c r="W137" i="6"/>
  <c r="Q133" i="6"/>
  <c r="Q134" i="6"/>
  <c r="Q136" i="6"/>
  <c r="Z136" i="6"/>
  <c r="Y136" i="6"/>
  <c r="X136" i="6"/>
  <c r="V136" i="6"/>
  <c r="U136" i="6"/>
  <c r="R136" i="6"/>
  <c r="P136" i="6"/>
  <c r="O136" i="6"/>
  <c r="O133" i="6"/>
  <c r="O134" i="6"/>
  <c r="O137" i="6"/>
  <c r="Z134" i="6"/>
  <c r="Y134" i="6"/>
  <c r="Y133" i="6"/>
  <c r="Y137" i="6"/>
  <c r="X134" i="6"/>
  <c r="V134" i="6"/>
  <c r="U134" i="6"/>
  <c r="U133" i="6"/>
  <c r="R134" i="6"/>
  <c r="R133" i="6"/>
  <c r="R137" i="6"/>
  <c r="P134" i="6"/>
  <c r="Z133" i="6"/>
  <c r="Z137" i="6"/>
  <c r="X133" i="6"/>
  <c r="V133" i="6"/>
  <c r="V137" i="6"/>
  <c r="P133" i="6"/>
  <c r="P137" i="6"/>
  <c r="Z141" i="6"/>
  <c r="Z153" i="6"/>
  <c r="X141" i="6"/>
  <c r="X153" i="6"/>
  <c r="R141" i="6"/>
  <c r="Q141" i="6"/>
  <c r="Q153" i="6"/>
  <c r="P141" i="6"/>
  <c r="P153" i="6"/>
  <c r="P140" i="6"/>
  <c r="P152" i="6"/>
  <c r="P155" i="6"/>
  <c r="Y140" i="6"/>
  <c r="Y143" i="6"/>
  <c r="W140" i="6"/>
  <c r="W152" i="6"/>
  <c r="W141" i="6"/>
  <c r="W153" i="6"/>
  <c r="W155" i="6"/>
  <c r="R140" i="6"/>
  <c r="R143" i="6"/>
  <c r="Q152" i="6"/>
  <c r="U110" i="6"/>
  <c r="I238" i="2"/>
  <c r="Z101" i="6"/>
  <c r="Y101" i="6"/>
  <c r="X101" i="6"/>
  <c r="W101" i="6"/>
  <c r="V101" i="6"/>
  <c r="U101" i="6"/>
  <c r="Z94" i="6"/>
  <c r="Y94" i="6"/>
  <c r="X94" i="6"/>
  <c r="W94" i="6"/>
  <c r="V94" i="6"/>
  <c r="U94" i="6"/>
  <c r="R152" i="6"/>
  <c r="P143" i="6"/>
  <c r="F29" i="1"/>
  <c r="F141" i="6"/>
  <c r="F153" i="6"/>
  <c r="H152" i="6"/>
  <c r="M110" i="6"/>
  <c r="AE238" i="2"/>
  <c r="M101" i="6"/>
  <c r="M35" i="2"/>
  <c r="AB243" i="2"/>
  <c r="AD220" i="2"/>
  <c r="L101" i="6"/>
  <c r="L114" i="6"/>
  <c r="AF219" i="2"/>
  <c r="AH219" i="2"/>
  <c r="P110" i="6"/>
  <c r="M94" i="6"/>
  <c r="M114" i="6"/>
  <c r="R153" i="6"/>
  <c r="H94" i="6"/>
  <c r="I140" i="6"/>
  <c r="AA43" i="2"/>
  <c r="AA91" i="2"/>
  <c r="X140" i="6"/>
  <c r="H101" i="6"/>
  <c r="AV114" i="6"/>
  <c r="N94" i="6"/>
  <c r="AH238" i="2"/>
  <c r="N110" i="6"/>
  <c r="AF238" i="2"/>
  <c r="F140" i="6"/>
  <c r="AA226" i="2"/>
  <c r="J110" i="6"/>
  <c r="AB238" i="2"/>
  <c r="N3" i="2"/>
  <c r="N1" i="1"/>
  <c r="I58" i="2"/>
  <c r="H110" i="6"/>
  <c r="Z238" i="2"/>
  <c r="AR114" i="6"/>
  <c r="N141" i="6"/>
  <c r="Q94" i="6"/>
  <c r="R101" i="6"/>
  <c r="H153" i="6"/>
  <c r="H155" i="6"/>
  <c r="H143" i="6"/>
  <c r="G137" i="6"/>
  <c r="K58" i="2"/>
  <c r="K97" i="2"/>
  <c r="AD247" i="2"/>
  <c r="L55" i="2"/>
  <c r="AJ53" i="2"/>
  <c r="AH42" i="2"/>
  <c r="N143" i="6"/>
  <c r="N153" i="6"/>
  <c r="N155" i="6"/>
  <c r="X152" i="6"/>
  <c r="X155" i="6"/>
  <c r="F152" i="6"/>
  <c r="W143" i="6"/>
  <c r="O3" i="2"/>
  <c r="O1" i="1"/>
  <c r="I152" i="6"/>
  <c r="I155" i="6"/>
  <c r="M143" i="6"/>
  <c r="L143" i="6"/>
  <c r="H114" i="6"/>
  <c r="P3" i="2"/>
  <c r="P1" i="1"/>
  <c r="F155" i="6"/>
  <c r="AO102" i="6"/>
  <c r="AN114" i="6"/>
  <c r="AI219" i="2"/>
  <c r="Q101" i="6"/>
  <c r="Q114" i="6"/>
  <c r="J152" i="6"/>
  <c r="J155" i="6"/>
  <c r="J143" i="6"/>
  <c r="AA225" i="2"/>
  <c r="I110" i="6"/>
  <c r="AA238" i="2"/>
  <c r="F143" i="6"/>
  <c r="Q143" i="6"/>
  <c r="Y152" i="6"/>
  <c r="Y155" i="6"/>
  <c r="Z140" i="6"/>
  <c r="U137" i="6"/>
  <c r="R155" i="6"/>
  <c r="AQ114" i="6"/>
  <c r="AT114" i="6"/>
  <c r="I114" i="6"/>
  <c r="AJ200" i="2"/>
  <c r="R94" i="6"/>
  <c r="X143" i="6"/>
  <c r="N101" i="6"/>
  <c r="N114" i="6"/>
  <c r="X137" i="6"/>
  <c r="Q137" i="6"/>
  <c r="K137" i="6"/>
  <c r="AS114" i="6"/>
  <c r="K143" i="6"/>
  <c r="K152" i="6"/>
  <c r="K155" i="6"/>
  <c r="I143" i="6"/>
  <c r="J101" i="6"/>
  <c r="J114" i="6"/>
  <c r="O143" i="6"/>
  <c r="Q155" i="6"/>
  <c r="V141" i="6"/>
  <c r="G143" i="6"/>
  <c r="AB43" i="2"/>
  <c r="U140" i="6"/>
  <c r="AI232" i="2"/>
  <c r="P94" i="6"/>
  <c r="P114" i="6"/>
  <c r="AJ225" i="2"/>
  <c r="R110" i="6"/>
  <c r="AJ238" i="2"/>
  <c r="W214" i="2"/>
  <c r="E101" i="6"/>
  <c r="E110" i="6"/>
  <c r="E114" i="6"/>
  <c r="W226" i="2"/>
  <c r="W238" i="2"/>
  <c r="AD3" i="6"/>
  <c r="Q3" i="2"/>
  <c r="Q1" i="1"/>
  <c r="V185" i="2"/>
  <c r="D94" i="6"/>
  <c r="D114" i="6"/>
  <c r="N121" i="2"/>
  <c r="AF55" i="2"/>
  <c r="AG51" i="2"/>
  <c r="L63" i="2"/>
  <c r="AI324" i="2"/>
  <c r="AM324" i="2"/>
  <c r="AK53" i="2"/>
  <c r="AK49" i="2"/>
  <c r="V153" i="6"/>
  <c r="V155" i="6"/>
  <c r="V143" i="6"/>
  <c r="R114" i="6"/>
  <c r="AE3" i="6"/>
  <c r="S3" i="2"/>
  <c r="S1" i="1"/>
  <c r="R3" i="2"/>
  <c r="R1" i="1"/>
  <c r="U143" i="6"/>
  <c r="U152" i="6"/>
  <c r="U155" i="6"/>
  <c r="Z143" i="6"/>
  <c r="Z152" i="6"/>
  <c r="Z155" i="6"/>
  <c r="J92" i="2"/>
  <c r="K91" i="2"/>
  <c r="J133" i="2"/>
  <c r="Y92" i="2"/>
  <c r="AG92" i="2"/>
  <c r="K92" i="2"/>
  <c r="AC104" i="2"/>
  <c r="AB44" i="2"/>
  <c r="AB91" i="2"/>
  <c r="AF92" i="2"/>
  <c r="L92" i="2"/>
  <c r="W90" i="2"/>
  <c r="W91" i="2"/>
  <c r="AA92" i="2"/>
  <c r="V90" i="2"/>
  <c r="V91" i="2"/>
  <c r="Z92" i="2"/>
  <c r="AE91" i="2"/>
  <c r="AI92" i="2"/>
  <c r="N92" i="2"/>
  <c r="AK91" i="2"/>
  <c r="AK92" i="2"/>
  <c r="K98" i="2"/>
  <c r="W189" i="2"/>
  <c r="W294" i="2"/>
  <c r="AE97" i="2"/>
  <c r="AH97" i="2"/>
  <c r="AH98" i="2"/>
  <c r="AE44" i="2"/>
  <c r="M90" i="2"/>
  <c r="L97" i="2"/>
  <c r="L98" i="2"/>
  <c r="N97" i="2"/>
  <c r="Y97" i="2"/>
  <c r="K247" i="2"/>
  <c r="X97" i="2"/>
  <c r="X98" i="2"/>
  <c r="AE98" i="2"/>
  <c r="I97" i="2"/>
  <c r="J98" i="2"/>
  <c r="AD98" i="2"/>
  <c r="AC97" i="2"/>
  <c r="AB36" i="2"/>
  <c r="L103" i="2"/>
  <c r="AF97" i="2"/>
  <c r="I63" i="2"/>
  <c r="M107" i="2"/>
  <c r="AJ97" i="2"/>
  <c r="J39" i="2"/>
  <c r="AK35" i="2"/>
  <c r="AI103" i="2"/>
  <c r="AG103" i="2"/>
  <c r="AJ73" i="2"/>
  <c r="AJ103" i="2"/>
  <c r="AF103" i="2"/>
  <c r="AH103" i="2"/>
  <c r="AK103" i="2"/>
  <c r="AE103" i="2"/>
  <c r="N103" i="2"/>
  <c r="N104" i="2"/>
  <c r="Z98" i="2"/>
  <c r="AD103" i="2"/>
  <c r="AJ177" i="2"/>
  <c r="AI61" i="2"/>
  <c r="AI97" i="2"/>
  <c r="N42" i="2"/>
  <c r="AG97" i="2"/>
  <c r="M96" i="2"/>
  <c r="M97" i="2"/>
  <c r="W96" i="2"/>
  <c r="W97" i="2"/>
  <c r="AA98" i="2"/>
  <c r="U96" i="2"/>
  <c r="U97" i="2"/>
  <c r="AB97" i="2"/>
  <c r="AF98" i="2"/>
  <c r="AB41" i="2"/>
  <c r="I324" i="2"/>
  <c r="AB69" i="2"/>
  <c r="L102" i="2"/>
  <c r="AG53" i="2"/>
  <c r="K53" i="2"/>
  <c r="K38" i="2"/>
  <c r="AK133" i="2"/>
  <c r="AL133" i="2"/>
  <c r="AM133" i="2"/>
  <c r="AN133" i="2"/>
  <c r="N69" i="2"/>
  <c r="AK102" i="2"/>
  <c r="AL102" i="2"/>
  <c r="AK36" i="2"/>
  <c r="AE107" i="2"/>
  <c r="AF176" i="2"/>
  <c r="AK59" i="2"/>
  <c r="AK97" i="2"/>
  <c r="Y96" i="2"/>
  <c r="Y135" i="2"/>
  <c r="AG135" i="2"/>
  <c r="J215" i="2"/>
  <c r="AG178" i="2"/>
  <c r="AI176" i="2"/>
  <c r="AB42" i="2"/>
  <c r="AK177" i="2"/>
  <c r="J35" i="2"/>
  <c r="Z133" i="2"/>
  <c r="Z96" i="2"/>
  <c r="AD102" i="2"/>
  <c r="U121" i="2"/>
  <c r="U327" i="2"/>
  <c r="AE215" i="2"/>
  <c r="AE41" i="2"/>
  <c r="K35" i="2"/>
  <c r="AJ215" i="2"/>
  <c r="AH74" i="2"/>
  <c r="AC39" i="2"/>
  <c r="AF57" i="2"/>
  <c r="AD215" i="2"/>
  <c r="AH90" i="2"/>
  <c r="M26" i="2"/>
  <c r="N27" i="2"/>
  <c r="AB266" i="2"/>
  <c r="AJ178" i="2"/>
  <c r="W313" i="2"/>
  <c r="N324" i="2"/>
  <c r="AC228" i="2"/>
  <c r="AF41" i="2"/>
  <c r="AB177" i="2"/>
  <c r="AC38" i="2"/>
  <c r="AH41" i="2"/>
  <c r="AD177" i="2"/>
  <c r="AA107" i="2"/>
  <c r="AB135" i="2"/>
  <c r="U136" i="2"/>
  <c r="AA186" i="2"/>
  <c r="Z186" i="2"/>
  <c r="Z324" i="2"/>
  <c r="AC90" i="2"/>
  <c r="AB47" i="2"/>
  <c r="AH324" i="2"/>
  <c r="AL324" i="2"/>
  <c r="N51" i="2"/>
  <c r="AH38" i="2"/>
  <c r="AD69" i="2"/>
  <c r="N26" i="2"/>
  <c r="L26" i="2"/>
  <c r="L27" i="2"/>
  <c r="M27" i="2"/>
  <c r="V205" i="2"/>
  <c r="X63" i="2"/>
  <c r="AI44" i="2"/>
  <c r="AK324" i="2"/>
  <c r="AG215" i="2"/>
  <c r="AH121" i="2"/>
  <c r="AH61" i="2"/>
  <c r="AF47" i="2"/>
  <c r="Y178" i="2"/>
  <c r="AA176" i="2"/>
  <c r="U135" i="2"/>
  <c r="W186" i="2"/>
  <c r="W207" i="2"/>
  <c r="J36" i="2"/>
  <c r="U281" i="2"/>
  <c r="R326" i="2"/>
  <c r="AB45" i="2"/>
  <c r="AK61" i="2"/>
  <c r="AA90" i="2"/>
  <c r="AI45" i="2"/>
  <c r="AI59" i="2"/>
  <c r="N247" i="2"/>
  <c r="M199" i="2"/>
  <c r="AD133" i="2"/>
  <c r="AF136" i="2"/>
  <c r="M63" i="2"/>
  <c r="L35" i="2"/>
  <c r="W120" i="2"/>
  <c r="AJ39" i="2"/>
  <c r="W135" i="2"/>
  <c r="U297" i="2"/>
  <c r="Y186" i="2"/>
  <c r="Y266" i="2"/>
  <c r="U118" i="2"/>
  <c r="AD39" i="2"/>
  <c r="P338" i="2"/>
  <c r="AA178" i="2"/>
  <c r="W222" i="2"/>
  <c r="AB39" i="2"/>
  <c r="K176" i="2"/>
  <c r="AH39" i="2"/>
  <c r="K178" i="2"/>
  <c r="AA135" i="2"/>
  <c r="K266" i="2"/>
  <c r="X266" i="2"/>
  <c r="Z178" i="2"/>
  <c r="V281" i="2"/>
  <c r="V315" i="2"/>
  <c r="U315" i="2"/>
  <c r="V189" i="2"/>
  <c r="V294" i="2"/>
  <c r="U189" i="2"/>
  <c r="AC41" i="2"/>
  <c r="AC36" i="2"/>
  <c r="U120" i="2"/>
  <c r="V120" i="2"/>
  <c r="Z222" i="2"/>
  <c r="I222" i="2"/>
  <c r="AH266" i="2"/>
  <c r="K228" i="2"/>
  <c r="AG136" i="2"/>
  <c r="K135" i="2"/>
  <c r="AE45" i="2"/>
  <c r="AK176" i="2"/>
  <c r="AH73" i="2"/>
  <c r="AI63" i="2"/>
  <c r="AK74" i="2"/>
  <c r="AH57" i="2"/>
  <c r="AI41" i="2"/>
  <c r="AH136" i="2"/>
  <c r="AD59" i="2"/>
  <c r="AG45" i="2"/>
  <c r="AH230" i="2"/>
  <c r="AL230" i="2"/>
  <c r="AG230" i="2"/>
  <c r="L107" i="2"/>
  <c r="K36" i="2"/>
  <c r="AF222" i="2"/>
  <c r="X136" i="2"/>
  <c r="AG177" i="2"/>
  <c r="AB136" i="2"/>
  <c r="AB90" i="2"/>
  <c r="AD186" i="2"/>
  <c r="I107" i="2"/>
  <c r="M133" i="2"/>
  <c r="Z176" i="2"/>
  <c r="N12" i="1"/>
  <c r="AA121" i="2"/>
  <c r="AA327" i="2"/>
  <c r="AD121" i="2"/>
  <c r="AG121" i="2"/>
  <c r="AI327" i="2"/>
  <c r="AK96" i="2"/>
  <c r="AL96" i="2"/>
  <c r="AM96" i="2"/>
  <c r="AN96" i="2"/>
  <c r="AH59" i="2"/>
  <c r="AG41" i="2"/>
  <c r="AD53" i="2"/>
  <c r="AF102" i="2"/>
  <c r="I96" i="2"/>
  <c r="J349" i="2"/>
  <c r="AK121" i="2"/>
  <c r="AK327" i="2"/>
  <c r="AK178" i="2"/>
  <c r="L36" i="2"/>
  <c r="L32" i="1"/>
  <c r="AI135" i="2"/>
  <c r="N136" i="2"/>
  <c r="AK266" i="2"/>
  <c r="AD136" i="2"/>
  <c r="AJ266" i="2"/>
  <c r="AE36" i="2"/>
  <c r="K96" i="2"/>
  <c r="X96" i="2"/>
  <c r="N199" i="2"/>
  <c r="N205" i="2"/>
  <c r="K199" i="2"/>
  <c r="M186" i="2"/>
  <c r="AD228" i="2"/>
  <c r="M22" i="1"/>
  <c r="I69" i="2"/>
  <c r="J135" i="2"/>
  <c r="J63" i="2"/>
  <c r="J65" i="2"/>
  <c r="M53" i="2"/>
  <c r="AJ135" i="2"/>
  <c r="M41" i="2"/>
  <c r="K41" i="2"/>
  <c r="K47" i="2"/>
  <c r="I12" i="1"/>
  <c r="K12" i="1"/>
  <c r="K13" i="1"/>
  <c r="M324" i="2"/>
  <c r="I121" i="2"/>
  <c r="I327" i="2"/>
  <c r="J121" i="2"/>
  <c r="M121" i="2"/>
  <c r="M327" i="2"/>
  <c r="X121" i="2"/>
  <c r="AB121" i="2"/>
  <c r="AC102" i="2"/>
  <c r="AA63" i="2"/>
  <c r="AA65" i="2"/>
  <c r="AC69" i="2"/>
  <c r="AA311" i="2"/>
  <c r="AK230" i="2"/>
  <c r="AD61" i="2"/>
  <c r="J64" i="2"/>
  <c r="K63" i="2"/>
  <c r="L69" i="2"/>
  <c r="J266" i="2"/>
  <c r="K268" i="2"/>
  <c r="AG73" i="2"/>
  <c r="K69" i="2"/>
  <c r="L71" i="2"/>
  <c r="N53" i="2"/>
  <c r="AD243" i="2"/>
  <c r="J41" i="2"/>
  <c r="AG247" i="2"/>
  <c r="AC45" i="2"/>
  <c r="M247" i="2"/>
  <c r="N107" i="2"/>
  <c r="N124" i="2"/>
  <c r="V349" i="2"/>
  <c r="Y324" i="2"/>
  <c r="AA324" i="2"/>
  <c r="AC324" i="2"/>
  <c r="AE324" i="2"/>
  <c r="AG324" i="2"/>
  <c r="AE311" i="2"/>
  <c r="AH102" i="2"/>
  <c r="AJ107" i="2"/>
  <c r="AJ283" i="2"/>
  <c r="AH47" i="2"/>
  <c r="AH63" i="2"/>
  <c r="AG55" i="2"/>
  <c r="AK42" i="2"/>
  <c r="AH53" i="2"/>
  <c r="AJ222" i="2"/>
  <c r="N176" i="2"/>
  <c r="AG63" i="2"/>
  <c r="J49" i="2"/>
  <c r="AC42" i="2"/>
  <c r="M42" i="2"/>
  <c r="J42" i="2"/>
  <c r="AE247" i="2"/>
  <c r="AC44" i="2"/>
  <c r="Y247" i="2"/>
  <c r="J199" i="2"/>
  <c r="J186" i="2"/>
  <c r="L186" i="2"/>
  <c r="AH186" i="2"/>
  <c r="N49" i="2"/>
  <c r="AJ136" i="2"/>
  <c r="L136" i="2"/>
  <c r="W349" i="2"/>
  <c r="W205" i="2"/>
  <c r="V266" i="2"/>
  <c r="V269" i="2"/>
  <c r="AI228" i="2"/>
  <c r="AH228" i="2"/>
  <c r="AF133" i="2"/>
  <c r="AD324" i="2"/>
  <c r="AC107" i="2"/>
  <c r="AC311" i="2"/>
  <c r="AM102" i="2"/>
  <c r="AN102" i="2"/>
  <c r="J136" i="2"/>
  <c r="AK135" i="2"/>
  <c r="AL135" i="2"/>
  <c r="AL134" i="2"/>
  <c r="J228" i="2"/>
  <c r="V136" i="2"/>
  <c r="W107" i="2"/>
  <c r="V186" i="2"/>
  <c r="AI42" i="2"/>
  <c r="AC230" i="2"/>
  <c r="J243" i="2"/>
  <c r="AF205" i="2"/>
  <c r="L199" i="2"/>
  <c r="AF228" i="2"/>
  <c r="Z136" i="2"/>
  <c r="AC135" i="2"/>
  <c r="I133" i="2"/>
  <c r="Z90" i="2"/>
  <c r="L47" i="2"/>
  <c r="U222" i="2"/>
  <c r="U266" i="2"/>
  <c r="X327" i="2"/>
  <c r="AC121" i="2"/>
  <c r="N57" i="2"/>
  <c r="M69" i="2"/>
  <c r="N55" i="2"/>
  <c r="M57" i="2"/>
  <c r="L39" i="2"/>
  <c r="M39" i="2"/>
  <c r="L38" i="2"/>
  <c r="K90" i="2"/>
  <c r="K32" i="1"/>
  <c r="K39" i="2"/>
  <c r="K66" i="2"/>
  <c r="AE63" i="2"/>
  <c r="AE49" i="2"/>
  <c r="AE47" i="2"/>
  <c r="AI49" i="2"/>
  <c r="AI47" i="2"/>
  <c r="AG39" i="2"/>
  <c r="AG66" i="2"/>
  <c r="AK39" i="2"/>
  <c r="AJ38" i="2"/>
  <c r="AF39" i="2"/>
  <c r="N215" i="2"/>
  <c r="L228" i="2"/>
  <c r="M228" i="2"/>
  <c r="Y136" i="2"/>
  <c r="Y133" i="2"/>
  <c r="AG176" i="2"/>
  <c r="AC177" i="2"/>
  <c r="AE178" i="2"/>
  <c r="AI178" i="2"/>
  <c r="AE177" i="2"/>
  <c r="AF177" i="2"/>
  <c r="AG133" i="2"/>
  <c r="K260" i="2"/>
  <c r="U294" i="2"/>
  <c r="U186" i="2"/>
  <c r="U207" i="2"/>
  <c r="U211" i="2"/>
  <c r="AD44" i="2"/>
  <c r="AH45" i="2"/>
  <c r="AH44" i="2"/>
  <c r="AJ228" i="2"/>
  <c r="I266" i="2"/>
  <c r="I259" i="2"/>
  <c r="I260" i="2"/>
  <c r="J324" i="2"/>
  <c r="K243" i="2"/>
  <c r="L12" i="1"/>
  <c r="L247" i="2"/>
  <c r="M243" i="2"/>
  <c r="L324" i="2"/>
  <c r="AI57" i="2"/>
  <c r="AE55" i="2"/>
  <c r="AK38" i="2"/>
  <c r="M283" i="2"/>
  <c r="M311" i="2"/>
  <c r="X186" i="2"/>
  <c r="AJ74" i="2"/>
  <c r="AC176" i="2"/>
  <c r="AH36" i="2"/>
  <c r="AH49" i="2"/>
  <c r="AJ247" i="2"/>
  <c r="N349" i="2"/>
  <c r="AC205" i="2"/>
  <c r="W136" i="2"/>
  <c r="AG107" i="2"/>
  <c r="AG283" i="2"/>
  <c r="AG90" i="2"/>
  <c r="AG35" i="2"/>
  <c r="AP36" i="2"/>
  <c r="AG36" i="2"/>
  <c r="AC35" i="2"/>
  <c r="AJ61" i="2"/>
  <c r="AJ59" i="2"/>
  <c r="L9" i="1"/>
  <c r="L10" i="1"/>
  <c r="M178" i="2"/>
  <c r="J51" i="2"/>
  <c r="K51" i="2"/>
  <c r="V278" i="2"/>
  <c r="W243" i="2"/>
  <c r="AD36" i="2"/>
  <c r="AD35" i="2"/>
  <c r="L230" i="2"/>
  <c r="M55" i="2"/>
  <c r="AF230" i="2"/>
  <c r="K186" i="2"/>
  <c r="U107" i="2"/>
  <c r="U311" i="2"/>
  <c r="U90" i="2"/>
  <c r="AB55" i="2"/>
  <c r="AB57" i="2"/>
  <c r="AD41" i="2"/>
  <c r="AD42" i="2"/>
  <c r="AF44" i="2"/>
  <c r="AF90" i="2"/>
  <c r="AF45" i="2"/>
  <c r="AG44" i="2"/>
  <c r="AK45" i="2"/>
  <c r="W121" i="2"/>
  <c r="W124" i="2"/>
  <c r="W126" i="2"/>
  <c r="W150" i="2"/>
  <c r="W153" i="2"/>
  <c r="W118" i="2"/>
  <c r="X247" i="2"/>
  <c r="Y243" i="2"/>
  <c r="AG57" i="2"/>
  <c r="AG69" i="2"/>
  <c r="AK57" i="2"/>
  <c r="V259" i="2"/>
  <c r="Z107" i="2"/>
  <c r="AK44" i="2"/>
  <c r="L70" i="2"/>
  <c r="I32" i="1"/>
  <c r="J247" i="2"/>
  <c r="AB49" i="2"/>
  <c r="AF49" i="2"/>
  <c r="O231" i="2"/>
  <c r="AK259" i="2"/>
  <c r="N47" i="2"/>
  <c r="N327" i="2"/>
  <c r="AA266" i="2"/>
  <c r="X349" i="2"/>
  <c r="Z349" i="2"/>
  <c r="X90" i="2"/>
  <c r="AE135" i="2"/>
  <c r="AB96" i="2"/>
  <c r="I135" i="2"/>
  <c r="J107" i="2"/>
  <c r="J311" i="2"/>
  <c r="U349" i="2"/>
  <c r="AC55" i="2"/>
  <c r="Z121" i="2"/>
  <c r="Z327" i="2"/>
  <c r="AH327" i="2"/>
  <c r="X324" i="2"/>
  <c r="Z63" i="2"/>
  <c r="Z65" i="2"/>
  <c r="AK186" i="2"/>
  <c r="N102" i="2"/>
  <c r="N41" i="2"/>
  <c r="AG96" i="2"/>
  <c r="AK55" i="2"/>
  <c r="AB349" i="2"/>
  <c r="AB205" i="2"/>
  <c r="AG266" i="2"/>
  <c r="AA133" i="2"/>
  <c r="J47" i="2"/>
  <c r="M32" i="1"/>
  <c r="J327" i="2"/>
  <c r="L133" i="2"/>
  <c r="N32" i="1"/>
  <c r="AG74" i="2"/>
  <c r="AG49" i="2"/>
  <c r="I124" i="2"/>
  <c r="Z135" i="2"/>
  <c r="I283" i="2"/>
  <c r="I199" i="2"/>
  <c r="AB228" i="2"/>
  <c r="J53" i="2"/>
  <c r="K107" i="2"/>
  <c r="K283" i="2"/>
  <c r="AB186" i="2"/>
  <c r="K324" i="2"/>
  <c r="L121" i="2"/>
  <c r="L124" i="2"/>
  <c r="AD96" i="2"/>
  <c r="AC63" i="2"/>
  <c r="AG65" i="2"/>
  <c r="AE102" i="2"/>
  <c r="AF38" i="2"/>
  <c r="AE39" i="2"/>
  <c r="AG42" i="2"/>
  <c r="AJ66" i="2"/>
  <c r="Y267" i="2"/>
  <c r="U269" i="2"/>
  <c r="AC327" i="2"/>
  <c r="Z247" i="2"/>
  <c r="AA243" i="2"/>
  <c r="AK90" i="2"/>
  <c r="AL90" i="2"/>
  <c r="AM90" i="2"/>
  <c r="AN90" i="2"/>
  <c r="AK107" i="2"/>
  <c r="AK124" i="2"/>
  <c r="AD327" i="2"/>
  <c r="L65" i="2"/>
  <c r="J61" i="2"/>
  <c r="AC57" i="2"/>
  <c r="AH133" i="2"/>
  <c r="AH135" i="2"/>
  <c r="AD176" i="2"/>
  <c r="AD178" i="2"/>
  <c r="AJ176" i="2"/>
  <c r="AF178" i="2"/>
  <c r="AB133" i="2"/>
  <c r="AF186" i="2"/>
  <c r="J69" i="2"/>
  <c r="J71" i="2"/>
  <c r="J55" i="2"/>
  <c r="J57" i="2"/>
  <c r="K55" i="2"/>
  <c r="K49" i="2"/>
  <c r="Y69" i="2"/>
  <c r="AC70" i="2"/>
  <c r="N243" i="2"/>
  <c r="M12" i="1"/>
  <c r="AJ243" i="2"/>
  <c r="AI247" i="2"/>
  <c r="J32" i="1"/>
  <c r="I311" i="2"/>
  <c r="AJ57" i="2"/>
  <c r="AJ55" i="2"/>
  <c r="V121" i="2"/>
  <c r="V118" i="2"/>
  <c r="X133" i="2"/>
  <c r="K65" i="2"/>
  <c r="U252" i="2"/>
  <c r="U259" i="2"/>
  <c r="AC283" i="2"/>
  <c r="AD47" i="2"/>
  <c r="AD49" i="2"/>
  <c r="AF247" i="2"/>
  <c r="AD349" i="2"/>
  <c r="AB247" i="2"/>
  <c r="AE243" i="2"/>
  <c r="Y222" i="2"/>
  <c r="AG222" i="2"/>
  <c r="N222" i="2"/>
  <c r="AC222" i="2"/>
  <c r="U278" i="2"/>
  <c r="V243" i="2"/>
  <c r="V107" i="2"/>
  <c r="V96" i="2"/>
  <c r="AA222" i="2"/>
  <c r="AA69" i="2"/>
  <c r="AE42" i="2"/>
  <c r="AA66" i="2"/>
  <c r="AE53" i="2"/>
  <c r="AB63" i="2"/>
  <c r="AB35" i="2"/>
  <c r="AI35" i="2"/>
  <c r="AM35" i="2"/>
  <c r="AM34" i="2"/>
  <c r="AM36" i="2"/>
  <c r="AI36" i="2"/>
  <c r="AK51" i="2"/>
  <c r="AK66" i="2"/>
  <c r="L59" i="2"/>
  <c r="L96" i="2"/>
  <c r="AC124" i="2"/>
  <c r="N122" i="2"/>
  <c r="AB324" i="2"/>
  <c r="AF324" i="2"/>
  <c r="AB107" i="2"/>
  <c r="AB124" i="2"/>
  <c r="AC49" i="2"/>
  <c r="N133" i="2"/>
  <c r="AF349" i="2"/>
  <c r="AH349" i="2"/>
  <c r="M349" i="2"/>
  <c r="Y107" i="2"/>
  <c r="Y311" i="2"/>
  <c r="Y90" i="2"/>
  <c r="L178" i="2"/>
  <c r="L176" i="2"/>
  <c r="M176" i="2"/>
  <c r="AB178" i="2"/>
  <c r="AB176" i="2"/>
  <c r="AJ45" i="2"/>
  <c r="AJ44" i="2"/>
  <c r="AE283" i="2"/>
  <c r="AA64" i="2"/>
  <c r="AD66" i="2"/>
  <c r="AD51" i="2"/>
  <c r="AF135" i="2"/>
  <c r="L135" i="2"/>
  <c r="AE186" i="2"/>
  <c r="AG186" i="2"/>
  <c r="I136" i="2"/>
  <c r="M135" i="2"/>
  <c r="Z266" i="2"/>
  <c r="J12" i="1"/>
  <c r="J13" i="1"/>
  <c r="Y121" i="2"/>
  <c r="N260" i="2"/>
  <c r="M17" i="1"/>
  <c r="AD45" i="2"/>
  <c r="M222" i="2"/>
  <c r="K45" i="2"/>
  <c r="AC266" i="2"/>
  <c r="AF266" i="2"/>
  <c r="AF267" i="2"/>
  <c r="X107" i="2"/>
  <c r="AI186" i="2"/>
  <c r="AJ186" i="2"/>
  <c r="N135" i="2"/>
  <c r="O135" i="2"/>
  <c r="P135" i="2"/>
  <c r="Q135" i="2"/>
  <c r="K57" i="2"/>
  <c r="X222" i="2"/>
  <c r="X69" i="2"/>
  <c r="AK215" i="2"/>
  <c r="AL215" i="2"/>
  <c r="AJ349" i="2"/>
  <c r="AK205" i="2"/>
  <c r="AI96" i="2"/>
  <c r="AE96" i="2"/>
  <c r="AJ51" i="2"/>
  <c r="I90" i="2"/>
  <c r="M266" i="2"/>
  <c r="M23" i="1"/>
  <c r="AE266" i="2"/>
  <c r="J205" i="2"/>
  <c r="L205" i="2"/>
  <c r="AA136" i="2"/>
  <c r="AC215" i="2"/>
  <c r="X66" i="2"/>
  <c r="AG228" i="2"/>
  <c r="AJ90" i="2"/>
  <c r="AG102" i="2"/>
  <c r="AK136" i="2"/>
  <c r="AK311" i="2"/>
  <c r="AF96" i="2"/>
  <c r="S326" i="2"/>
  <c r="S338" i="2"/>
  <c r="R338" i="2"/>
  <c r="AB327" i="2"/>
  <c r="AB122" i="2"/>
  <c r="J59" i="2"/>
  <c r="K59" i="2"/>
  <c r="K61" i="2"/>
  <c r="J96" i="2"/>
  <c r="AI74" i="2"/>
  <c r="AI73" i="2"/>
  <c r="AI230" i="2"/>
  <c r="AM230" i="2"/>
  <c r="AG122" i="2"/>
  <c r="AA283" i="2"/>
  <c r="AA124" i="2"/>
  <c r="M44" i="2"/>
  <c r="L90" i="2"/>
  <c r="L44" i="2"/>
  <c r="L45" i="2"/>
  <c r="M45" i="2"/>
  <c r="J38" i="2"/>
  <c r="I66" i="2"/>
  <c r="I79" i="2"/>
  <c r="N73" i="2"/>
  <c r="N74" i="2"/>
  <c r="M73" i="2"/>
  <c r="M102" i="2"/>
  <c r="M74" i="2"/>
  <c r="N38" i="2"/>
  <c r="M66" i="2"/>
  <c r="M38" i="2"/>
  <c r="N283" i="2"/>
  <c r="V222" i="2"/>
  <c r="AF69" i="2"/>
  <c r="AJ42" i="2"/>
  <c r="AJ41" i="2"/>
  <c r="AF42" i="2"/>
  <c r="AJ35" i="2"/>
  <c r="AN35" i="2"/>
  <c r="AN34" i="2"/>
  <c r="AF63" i="2"/>
  <c r="AF35" i="2"/>
  <c r="AF36" i="2"/>
  <c r="AJ36" i="2"/>
  <c r="AG59" i="2"/>
  <c r="AC61" i="2"/>
  <c r="AC59" i="2"/>
  <c r="AG61" i="2"/>
  <c r="AC96" i="2"/>
  <c r="AI205" i="2"/>
  <c r="AH205" i="2"/>
  <c r="AG205" i="2"/>
  <c r="L266" i="2"/>
  <c r="L259" i="2"/>
  <c r="I205" i="2"/>
  <c r="L215" i="2"/>
  <c r="M215" i="2"/>
  <c r="L222" i="2"/>
  <c r="AC136" i="2"/>
  <c r="AC133" i="2"/>
  <c r="AE136" i="2"/>
  <c r="AE133" i="2"/>
  <c r="AI177" i="2"/>
  <c r="AH176" i="2"/>
  <c r="AH178" i="2"/>
  <c r="AH177" i="2"/>
  <c r="AL177" i="2"/>
  <c r="AL175" i="2"/>
  <c r="AI136" i="2"/>
  <c r="AI133" i="2"/>
  <c r="AI215" i="2"/>
  <c r="AI222" i="2"/>
  <c r="K23" i="1"/>
  <c r="M65" i="2"/>
  <c r="M64" i="2"/>
  <c r="L311" i="2"/>
  <c r="L283" i="2"/>
  <c r="AA96" i="2"/>
  <c r="AE59" i="2"/>
  <c r="AE61" i="2"/>
  <c r="N59" i="2"/>
  <c r="N61" i="2"/>
  <c r="N96" i="2"/>
  <c r="N35" i="2"/>
  <c r="N63" i="2"/>
  <c r="N36" i="2"/>
  <c r="AE349" i="2"/>
  <c r="AI349" i="2"/>
  <c r="K349" i="2"/>
  <c r="J222" i="2"/>
  <c r="N266" i="2"/>
  <c r="AI266" i="2"/>
  <c r="K222" i="2"/>
  <c r="K215" i="2"/>
  <c r="M205" i="2"/>
  <c r="X135" i="2"/>
  <c r="N9" i="1"/>
  <c r="N10" i="1"/>
  <c r="N178" i="2"/>
  <c r="N228" i="2"/>
  <c r="N230" i="2"/>
  <c r="AE222" i="2"/>
  <c r="AC186" i="2"/>
  <c r="K136" i="2"/>
  <c r="K133" i="2"/>
  <c r="Y176" i="2"/>
  <c r="Z177" i="2"/>
  <c r="Y177" i="2"/>
  <c r="AC178" i="2"/>
  <c r="AE176" i="2"/>
  <c r="AA177" i="2"/>
  <c r="AC51" i="2"/>
  <c r="AC53" i="2"/>
  <c r="Y66" i="2"/>
  <c r="I9" i="1"/>
  <c r="I10" i="1"/>
  <c r="J178" i="2"/>
  <c r="J176" i="2"/>
  <c r="Z69" i="2"/>
  <c r="AD57" i="2"/>
  <c r="AD55" i="2"/>
  <c r="AJ324" i="2"/>
  <c r="AN324" i="2"/>
  <c r="AJ133" i="2"/>
  <c r="AK349" i="2"/>
  <c r="AI38" i="2"/>
  <c r="AE38" i="2"/>
  <c r="AE66" i="2"/>
  <c r="AH55" i="2"/>
  <c r="AH69" i="2"/>
  <c r="AJ230" i="2"/>
  <c r="AN230" i="2"/>
  <c r="Y349" i="2"/>
  <c r="AA349" i="2"/>
  <c r="AC349" i="2"/>
  <c r="AG349" i="2"/>
  <c r="I349" i="2"/>
  <c r="L349" i="2"/>
  <c r="N90" i="2"/>
  <c r="N45" i="2"/>
  <c r="N44" i="2"/>
  <c r="M230" i="2"/>
  <c r="AJ205" i="2"/>
  <c r="AH222" i="2"/>
  <c r="K205" i="2"/>
  <c r="AH215" i="2"/>
  <c r="AD222" i="2"/>
  <c r="M13" i="1"/>
  <c r="L51" i="2"/>
  <c r="M51" i="2"/>
  <c r="L53" i="2"/>
  <c r="L41" i="2"/>
  <c r="K42" i="2"/>
  <c r="L42" i="2"/>
  <c r="M47" i="2"/>
  <c r="L49" i="2"/>
  <c r="M49" i="2"/>
  <c r="AE228" i="2"/>
  <c r="AE230" i="2"/>
  <c r="AD107" i="2"/>
  <c r="AB53" i="2"/>
  <c r="AB66" i="2"/>
  <c r="AB51" i="2"/>
  <c r="AF51" i="2"/>
  <c r="AF121" i="2"/>
  <c r="AI39" i="2"/>
  <c r="AI66" i="2"/>
  <c r="AE69" i="2"/>
  <c r="AE57" i="2"/>
  <c r="AK41" i="2"/>
  <c r="AK69" i="2"/>
  <c r="AB59" i="2"/>
  <c r="AB61" i="2"/>
  <c r="M59" i="2"/>
  <c r="M61" i="2"/>
  <c r="L61" i="2"/>
  <c r="J44" i="2"/>
  <c r="K44" i="2"/>
  <c r="J45" i="2"/>
  <c r="J90" i="2"/>
  <c r="AE205" i="2"/>
  <c r="AD205" i="2"/>
  <c r="AD266" i="2"/>
  <c r="AB215" i="2"/>
  <c r="AB222" i="2"/>
  <c r="AF215" i="2"/>
  <c r="J22" i="1"/>
  <c r="Z205" i="2"/>
  <c r="U205" i="2"/>
  <c r="U208" i="2"/>
  <c r="Y205" i="2"/>
  <c r="X205" i="2"/>
  <c r="AF59" i="2"/>
  <c r="AF61" i="2"/>
  <c r="AH35" i="2"/>
  <c r="AL35" i="2"/>
  <c r="AL34" i="2"/>
  <c r="AD63" i="2"/>
  <c r="AE51" i="2"/>
  <c r="AI53" i="2"/>
  <c r="K22" i="1"/>
  <c r="M136" i="2"/>
  <c r="L66" i="2"/>
  <c r="W278" i="2"/>
  <c r="X243" i="2"/>
  <c r="K121" i="2"/>
  <c r="AI107" i="2"/>
  <c r="AI90" i="2"/>
  <c r="AH107" i="2"/>
  <c r="AJ311" i="2"/>
  <c r="AF107" i="2"/>
  <c r="AK73" i="2"/>
  <c r="AL73" i="2"/>
  <c r="AC66" i="2"/>
  <c r="AG38" i="2"/>
  <c r="AK47" i="2"/>
  <c r="AL47" i="2"/>
  <c r="N186" i="2"/>
  <c r="J66" i="2"/>
  <c r="AA205" i="2"/>
  <c r="AJ121" i="2"/>
  <c r="AD38" i="2"/>
  <c r="Z66" i="2"/>
  <c r="AH96" i="2"/>
  <c r="AJ102" i="2"/>
  <c r="AH66" i="2"/>
  <c r="AH51" i="2"/>
  <c r="AJ47" i="2"/>
  <c r="AJ63" i="2"/>
  <c r="W266" i="2"/>
  <c r="V327" i="2"/>
  <c r="AD90" i="2"/>
  <c r="AE90" i="2"/>
  <c r="N66" i="2"/>
  <c r="AJ96" i="2"/>
  <c r="AI55" i="2"/>
  <c r="AI69" i="2"/>
  <c r="AI51" i="2"/>
  <c r="AF66" i="2"/>
  <c r="Y63" i="2"/>
  <c r="AK222" i="2"/>
  <c r="AE121" i="2"/>
  <c r="AI102" i="2"/>
  <c r="AK63" i="2"/>
  <c r="AJ69" i="2"/>
  <c r="AK104" i="2"/>
  <c r="AB92" i="2"/>
  <c r="AI104" i="2"/>
  <c r="AE104" i="2"/>
  <c r="AG104" i="2"/>
  <c r="AH104" i="2"/>
  <c r="AD104" i="2"/>
  <c r="N98" i="2"/>
  <c r="M104" i="2"/>
  <c r="L104" i="2"/>
  <c r="AE92" i="2"/>
  <c r="AJ104" i="2"/>
  <c r="AF104" i="2"/>
  <c r="AC98" i="2"/>
  <c r="M98" i="2"/>
  <c r="V207" i="2"/>
  <c r="V242" i="2"/>
  <c r="AI98" i="2"/>
  <c r="L13" i="1"/>
  <c r="AC71" i="2"/>
  <c r="AK122" i="2"/>
  <c r="AB267" i="2"/>
  <c r="W242" i="2"/>
  <c r="W244" i="2"/>
  <c r="Y98" i="2"/>
  <c r="J124" i="2"/>
  <c r="AJ267" i="2"/>
  <c r="AG327" i="2"/>
  <c r="U283" i="2"/>
  <c r="AC268" i="2"/>
  <c r="P134" i="2"/>
  <c r="L327" i="2"/>
  <c r="AF268" i="2"/>
  <c r="N311" i="2"/>
  <c r="AN177" i="2"/>
  <c r="AB98" i="2"/>
  <c r="AJ98" i="2"/>
  <c r="J283" i="2"/>
  <c r="AG71" i="2"/>
  <c r="AK98" i="2"/>
  <c r="AH122" i="2"/>
  <c r="AG98" i="2"/>
  <c r="AG64" i="2"/>
  <c r="AL39" i="2"/>
  <c r="AL37" i="2"/>
  <c r="Y268" i="2"/>
  <c r="M122" i="2"/>
  <c r="AB268" i="2"/>
  <c r="AM135" i="2"/>
  <c r="AN135" i="2"/>
  <c r="AN134" i="2"/>
  <c r="U242" i="2"/>
  <c r="M124" i="2"/>
  <c r="U320" i="2"/>
  <c r="U337" i="2"/>
  <c r="U350" i="2"/>
  <c r="N70" i="2"/>
  <c r="AK267" i="2"/>
  <c r="AD122" i="2"/>
  <c r="AL186" i="2"/>
  <c r="AL185" i="2"/>
  <c r="J122" i="2"/>
  <c r="AJ268" i="2"/>
  <c r="W129" i="2"/>
  <c r="X79" i="2"/>
  <c r="X110" i="2"/>
  <c r="X113" i="2"/>
  <c r="K79" i="2"/>
  <c r="K269" i="2"/>
  <c r="Z124" i="2"/>
  <c r="Z313" i="2"/>
  <c r="AG267" i="2"/>
  <c r="AM177" i="2"/>
  <c r="AM175" i="2"/>
  <c r="AA79" i="2"/>
  <c r="AA126" i="2"/>
  <c r="Z64" i="2"/>
  <c r="K267" i="2"/>
  <c r="K18" i="1"/>
  <c r="W327" i="2"/>
  <c r="W138" i="2"/>
  <c r="W144" i="2"/>
  <c r="J23" i="1"/>
  <c r="AK268" i="2"/>
  <c r="W157" i="2"/>
  <c r="W160" i="2"/>
  <c r="L64" i="2"/>
  <c r="K64" i="2"/>
  <c r="AK283" i="2"/>
  <c r="AL283" i="2"/>
  <c r="AM283" i="2"/>
  <c r="AG124" i="2"/>
  <c r="W110" i="2"/>
  <c r="W113" i="2"/>
  <c r="W108" i="2"/>
  <c r="W311" i="2"/>
  <c r="W320" i="2"/>
  <c r="W283" i="2"/>
  <c r="W290" i="2"/>
  <c r="W306" i="2"/>
  <c r="I267" i="2"/>
  <c r="I268" i="2"/>
  <c r="J267" i="2"/>
  <c r="AA268" i="2"/>
  <c r="J17" i="1"/>
  <c r="K311" i="2"/>
  <c r="AG268" i="2"/>
  <c r="Y124" i="2"/>
  <c r="Y283" i="2"/>
  <c r="AG79" i="2"/>
  <c r="AN186" i="2"/>
  <c r="U110" i="2"/>
  <c r="U113" i="2"/>
  <c r="U108" i="2"/>
  <c r="U124" i="2"/>
  <c r="U126" i="2"/>
  <c r="M71" i="2"/>
  <c r="M70" i="2"/>
  <c r="N71" i="2"/>
  <c r="AE79" i="2"/>
  <c r="P231" i="2"/>
  <c r="O259" i="2"/>
  <c r="O260" i="2"/>
  <c r="AG70" i="2"/>
  <c r="AG311" i="2"/>
  <c r="Z283" i="2"/>
  <c r="Z311" i="2"/>
  <c r="W211" i="2"/>
  <c r="W252" i="2"/>
  <c r="J268" i="2"/>
  <c r="W208" i="2"/>
  <c r="AE64" i="2"/>
  <c r="AI64" i="2"/>
  <c r="AI65" i="2"/>
  <c r="AE65" i="2"/>
  <c r="J260" i="2"/>
  <c r="X294" i="2"/>
  <c r="AE267" i="2"/>
  <c r="AE268" i="2"/>
  <c r="AM215" i="2"/>
  <c r="AL214" i="2"/>
  <c r="AL222" i="2"/>
  <c r="X311" i="2"/>
  <c r="X283" i="2"/>
  <c r="X124" i="2"/>
  <c r="X126" i="2"/>
  <c r="AA81" i="2"/>
  <c r="AA108" i="2"/>
  <c r="AA216" i="2"/>
  <c r="AA325" i="2"/>
  <c r="AA118" i="2"/>
  <c r="AA120" i="2"/>
  <c r="AB65" i="2"/>
  <c r="AB64" i="2"/>
  <c r="AA70" i="2"/>
  <c r="AA71" i="2"/>
  <c r="Y70" i="2"/>
  <c r="Y71" i="2"/>
  <c r="AC122" i="2"/>
  <c r="V283" i="2"/>
  <c r="V290" i="2"/>
  <c r="V306" i="2"/>
  <c r="V110" i="2"/>
  <c r="V113" i="2"/>
  <c r="V311" i="2"/>
  <c r="V320" i="2"/>
  <c r="V337" i="2"/>
  <c r="V350" i="2"/>
  <c r="V124" i="2"/>
  <c r="V126" i="2"/>
  <c r="V108" i="2"/>
  <c r="Y327" i="2"/>
  <c r="AB70" i="2"/>
  <c r="AB71" i="2"/>
  <c r="Q134" i="2"/>
  <c r="R135" i="2"/>
  <c r="Z267" i="2"/>
  <c r="Z268" i="2"/>
  <c r="AM186" i="2"/>
  <c r="AC267" i="2"/>
  <c r="U290" i="2"/>
  <c r="U306" i="2"/>
  <c r="K71" i="2"/>
  <c r="K70" i="2"/>
  <c r="K313" i="2"/>
  <c r="K353" i="2"/>
  <c r="AA281" i="2"/>
  <c r="AB283" i="2"/>
  <c r="AB311" i="2"/>
  <c r="AK68" i="2"/>
  <c r="AK67" i="2"/>
  <c r="AA67" i="2"/>
  <c r="AA68" i="2"/>
  <c r="AM134" i="2"/>
  <c r="J70" i="2"/>
  <c r="AL36" i="2"/>
  <c r="O34" i="2"/>
  <c r="AF311" i="2"/>
  <c r="AN311" i="2"/>
  <c r="AF283" i="2"/>
  <c r="AF124" i="2"/>
  <c r="Y68" i="2"/>
  <c r="Y67" i="2"/>
  <c r="AI268" i="2"/>
  <c r="AI267" i="2"/>
  <c r="AL176" i="2"/>
  <c r="AL178" i="2"/>
  <c r="AI70" i="2"/>
  <c r="AI71" i="2"/>
  <c r="AD283" i="2"/>
  <c r="AD311" i="2"/>
  <c r="AD124" i="2"/>
  <c r="AL38" i="2"/>
  <c r="AL55" i="2"/>
  <c r="N268" i="2"/>
  <c r="N64" i="2"/>
  <c r="N79" i="2"/>
  <c r="N65" i="2"/>
  <c r="L268" i="2"/>
  <c r="M267" i="2"/>
  <c r="M18" i="1"/>
  <c r="L23" i="1"/>
  <c r="L267" i="2"/>
  <c r="AN36" i="2"/>
  <c r="AF70" i="2"/>
  <c r="AF71" i="2"/>
  <c r="AC65" i="2"/>
  <c r="AC64" i="2"/>
  <c r="Y65" i="2"/>
  <c r="Y79" i="2"/>
  <c r="Y64" i="2"/>
  <c r="Z68" i="2"/>
  <c r="Z67" i="2"/>
  <c r="AD67" i="2"/>
  <c r="AD68" i="2"/>
  <c r="AI311" i="2"/>
  <c r="AM311" i="2"/>
  <c r="AI283" i="2"/>
  <c r="AI124" i="2"/>
  <c r="AJ71" i="2"/>
  <c r="AJ70" i="2"/>
  <c r="AF68" i="2"/>
  <c r="AF67" i="2"/>
  <c r="AJ68" i="2"/>
  <c r="AH311" i="2"/>
  <c r="AH283" i="2"/>
  <c r="AH124" i="2"/>
  <c r="AD268" i="2"/>
  <c r="AH267" i="2"/>
  <c r="AK71" i="2"/>
  <c r="AK70" i="2"/>
  <c r="AE70" i="2"/>
  <c r="AE71" i="2"/>
  <c r="N23" i="1"/>
  <c r="N13" i="1"/>
  <c r="N22" i="1"/>
  <c r="AK353" i="2"/>
  <c r="N267" i="2"/>
  <c r="AJ67" i="2"/>
  <c r="AD267" i="2"/>
  <c r="M67" i="2"/>
  <c r="M79" i="2"/>
  <c r="M68" i="2"/>
  <c r="N67" i="2"/>
  <c r="N68" i="2"/>
  <c r="AJ65" i="2"/>
  <c r="AJ79" i="2"/>
  <c r="AJ64" i="2"/>
  <c r="AH67" i="2"/>
  <c r="AH68" i="2"/>
  <c r="AC79" i="2"/>
  <c r="AC93" i="2"/>
  <c r="AC68" i="2"/>
  <c r="AC67" i="2"/>
  <c r="AG68" i="2"/>
  <c r="AG67" i="2"/>
  <c r="AH70" i="2"/>
  <c r="AH71" i="2"/>
  <c r="Z70" i="2"/>
  <c r="Z71" i="2"/>
  <c r="M260" i="2"/>
  <c r="L260" i="2"/>
  <c r="K17" i="1"/>
  <c r="AF79" i="2"/>
  <c r="AF64" i="2"/>
  <c r="AF65" i="2"/>
  <c r="J79" i="2"/>
  <c r="K68" i="2"/>
  <c r="K67" i="2"/>
  <c r="J67" i="2"/>
  <c r="J68" i="2"/>
  <c r="L68" i="2"/>
  <c r="L79" i="2"/>
  <c r="L93" i="2"/>
  <c r="L67" i="2"/>
  <c r="AD71" i="2"/>
  <c r="AA267" i="2"/>
  <c r="W269" i="2"/>
  <c r="AA270" i="2"/>
  <c r="O186" i="2"/>
  <c r="P186" i="2"/>
  <c r="AM47" i="2"/>
  <c r="AL46" i="2"/>
  <c r="AL63" i="2"/>
  <c r="K327" i="2"/>
  <c r="K122" i="2"/>
  <c r="AD79" i="2"/>
  <c r="AD64" i="2"/>
  <c r="AH64" i="2"/>
  <c r="AD65" i="2"/>
  <c r="AH65" i="2"/>
  <c r="AD70" i="2"/>
  <c r="AK79" i="2"/>
  <c r="AK93" i="2"/>
  <c r="AK65" i="2"/>
  <c r="AK64" i="2"/>
  <c r="AE124" i="2"/>
  <c r="AE327" i="2"/>
  <c r="AI122" i="2"/>
  <c r="AE122" i="2"/>
  <c r="AM51" i="2"/>
  <c r="AM50" i="2"/>
  <c r="AH79" i="2"/>
  <c r="AJ327" i="2"/>
  <c r="AJ124" i="2"/>
  <c r="AJ122" i="2"/>
  <c r="AM73" i="2"/>
  <c r="AL72" i="2"/>
  <c r="AI79" i="2"/>
  <c r="AI67" i="2"/>
  <c r="AI68" i="2"/>
  <c r="AF327" i="2"/>
  <c r="AF122" i="2"/>
  <c r="AB79" i="2"/>
  <c r="AB68" i="2"/>
  <c r="AB67" i="2"/>
  <c r="K124" i="2"/>
  <c r="AE67" i="2"/>
  <c r="AE68" i="2"/>
  <c r="L122" i="2"/>
  <c r="I22" i="1"/>
  <c r="I17" i="1"/>
  <c r="I23" i="1"/>
  <c r="Z79" i="2"/>
  <c r="I13" i="1"/>
  <c r="L22" i="1"/>
  <c r="M268" i="2"/>
  <c r="AL41" i="2"/>
  <c r="AL40" i="2"/>
  <c r="I325" i="2"/>
  <c r="I120" i="2"/>
  <c r="I118" i="2"/>
  <c r="I353" i="2"/>
  <c r="I269" i="2"/>
  <c r="I270" i="2"/>
  <c r="I315" i="2"/>
  <c r="I313" i="2"/>
  <c r="I278" i="2"/>
  <c r="I281" i="2"/>
  <c r="I126" i="2"/>
  <c r="I189" i="2"/>
  <c r="I207" i="2"/>
  <c r="I31" i="1"/>
  <c r="I216" i="2"/>
  <c r="I294" i="2"/>
  <c r="I110" i="2"/>
  <c r="I113" i="2"/>
  <c r="I29" i="1"/>
  <c r="I108" i="2"/>
  <c r="I297" i="2"/>
  <c r="AH268" i="2"/>
  <c r="L49" i="1"/>
  <c r="AL311" i="2"/>
  <c r="M49" i="1"/>
  <c r="N49" i="1"/>
  <c r="X281" i="2"/>
  <c r="AB93" i="2"/>
  <c r="X297" i="2"/>
  <c r="AJ93" i="2"/>
  <c r="X108" i="2"/>
  <c r="X269" i="2"/>
  <c r="X278" i="2"/>
  <c r="V208" i="2"/>
  <c r="X325" i="2"/>
  <c r="AM39" i="2"/>
  <c r="AM37" i="2"/>
  <c r="AM38" i="2"/>
  <c r="W246" i="2"/>
  <c r="W248" i="2"/>
  <c r="V246" i="2"/>
  <c r="V248" i="2"/>
  <c r="V244" i="2"/>
  <c r="N93" i="2"/>
  <c r="AH93" i="2"/>
  <c r="V211" i="2"/>
  <c r="V252" i="2"/>
  <c r="N17" i="1"/>
  <c r="AI93" i="2"/>
  <c r="AD108" i="2"/>
  <c r="AD93" i="2"/>
  <c r="AF93" i="2"/>
  <c r="M48" i="1"/>
  <c r="M93" i="2"/>
  <c r="J48" i="1"/>
  <c r="J93" i="2"/>
  <c r="AE80" i="2"/>
  <c r="AE93" i="2"/>
  <c r="AG93" i="2"/>
  <c r="K216" i="2"/>
  <c r="K93" i="2"/>
  <c r="K189" i="2"/>
  <c r="K207" i="2"/>
  <c r="K242" i="2"/>
  <c r="K246" i="2"/>
  <c r="K248" i="2"/>
  <c r="K126" i="2"/>
  <c r="AI270" i="2"/>
  <c r="W141" i="2"/>
  <c r="K120" i="2"/>
  <c r="K118" i="2"/>
  <c r="K294" i="2"/>
  <c r="K278" i="2"/>
  <c r="L270" i="2"/>
  <c r="K31" i="1"/>
  <c r="K108" i="2"/>
  <c r="K48" i="1"/>
  <c r="K110" i="2"/>
  <c r="K113" i="2"/>
  <c r="K29" i="1"/>
  <c r="AE315" i="2"/>
  <c r="AE278" i="2"/>
  <c r="K315" i="2"/>
  <c r="K320" i="2"/>
  <c r="K297" i="2"/>
  <c r="K281" i="2"/>
  <c r="AE105" i="2"/>
  <c r="AE294" i="2"/>
  <c r="AE81" i="2"/>
  <c r="U351" i="2"/>
  <c r="AE325" i="2"/>
  <c r="AE118" i="2"/>
  <c r="I18" i="1"/>
  <c r="AE126" i="2"/>
  <c r="AE297" i="2"/>
  <c r="AE269" i="2"/>
  <c r="X315" i="2"/>
  <c r="X120" i="2"/>
  <c r="X313" i="2"/>
  <c r="X118" i="2"/>
  <c r="X189" i="2"/>
  <c r="X207" i="2"/>
  <c r="X208" i="2"/>
  <c r="AA297" i="2"/>
  <c r="AA110" i="2"/>
  <c r="AA113" i="2"/>
  <c r="AA313" i="2"/>
  <c r="K325" i="2"/>
  <c r="AA189" i="2"/>
  <c r="AA207" i="2"/>
  <c r="AA208" i="2"/>
  <c r="AA294" i="2"/>
  <c r="AA315" i="2"/>
  <c r="AN39" i="2"/>
  <c r="AN37" i="2"/>
  <c r="AA129" i="2"/>
  <c r="AA150" i="2"/>
  <c r="AA80" i="2"/>
  <c r="AA269" i="2"/>
  <c r="AA278" i="2"/>
  <c r="AA290" i="2"/>
  <c r="W337" i="2"/>
  <c r="W350" i="2"/>
  <c r="W351" i="2"/>
  <c r="V351" i="2"/>
  <c r="J18" i="1"/>
  <c r="AA138" i="2"/>
  <c r="AA144" i="2"/>
  <c r="U138" i="2"/>
  <c r="U150" i="2"/>
  <c r="U153" i="2"/>
  <c r="U157" i="2"/>
  <c r="U160" i="2"/>
  <c r="U129" i="2"/>
  <c r="AG281" i="2"/>
  <c r="AG118" i="2"/>
  <c r="AG189" i="2"/>
  <c r="AG207" i="2"/>
  <c r="AH189" i="2"/>
  <c r="AH207" i="2"/>
  <c r="AI189" i="2"/>
  <c r="AI207" i="2"/>
  <c r="AJ189" i="2"/>
  <c r="AJ207" i="2"/>
  <c r="N51" i="1"/>
  <c r="AG216" i="2"/>
  <c r="AG120" i="2"/>
  <c r="AG110" i="2"/>
  <c r="AG113" i="2"/>
  <c r="AG269" i="2"/>
  <c r="AG294" i="2"/>
  <c r="AG297" i="2"/>
  <c r="AG313" i="2"/>
  <c r="AG278" i="2"/>
  <c r="AG315" i="2"/>
  <c r="AG325" i="2"/>
  <c r="AE216" i="2"/>
  <c r="AA157" i="2"/>
  <c r="AG108" i="2"/>
  <c r="Q231" i="2"/>
  <c r="P259" i="2"/>
  <c r="P260" i="2"/>
  <c r="L48" i="1"/>
  <c r="AE281" i="2"/>
  <c r="AE313" i="2"/>
  <c r="AE320" i="2"/>
  <c r="AE110" i="2"/>
  <c r="AE108" i="2"/>
  <c r="L17" i="1"/>
  <c r="AE189" i="2"/>
  <c r="AE207" i="2"/>
  <c r="AE120" i="2"/>
  <c r="AE270" i="2"/>
  <c r="AE100" i="2"/>
  <c r="AG126" i="2"/>
  <c r="X138" i="2"/>
  <c r="X129" i="2"/>
  <c r="X157" i="2"/>
  <c r="X160" i="2"/>
  <c r="X150" i="2"/>
  <c r="X153" i="2"/>
  <c r="AH270" i="2"/>
  <c r="I320" i="2"/>
  <c r="AI269" i="2"/>
  <c r="AM41" i="2"/>
  <c r="AM40" i="2"/>
  <c r="AM42" i="2"/>
  <c r="O134" i="2"/>
  <c r="AA242" i="2"/>
  <c r="AA252" i="2"/>
  <c r="AN215" i="2"/>
  <c r="AN214" i="2"/>
  <c r="AN222" i="2"/>
  <c r="AM214" i="2"/>
  <c r="K252" i="2"/>
  <c r="K25" i="1"/>
  <c r="K50" i="1"/>
  <c r="K211" i="2"/>
  <c r="R134" i="2"/>
  <c r="S135" i="2"/>
  <c r="S134" i="2"/>
  <c r="X242" i="2"/>
  <c r="V157" i="2"/>
  <c r="V160" i="2"/>
  <c r="V129" i="2"/>
  <c r="V150" i="2"/>
  <c r="V153" i="2"/>
  <c r="V138" i="2"/>
  <c r="I290" i="2"/>
  <c r="I306" i="2"/>
  <c r="L269" i="2"/>
  <c r="W163" i="2"/>
  <c r="W167" i="2"/>
  <c r="W147" i="2"/>
  <c r="X290" i="2"/>
  <c r="X306" i="2"/>
  <c r="AE128" i="2"/>
  <c r="AE138" i="2"/>
  <c r="AE130" i="2"/>
  <c r="AE150" i="2"/>
  <c r="AE129" i="2"/>
  <c r="AE157" i="2"/>
  <c r="AE127" i="2"/>
  <c r="AM53" i="2"/>
  <c r="AM66" i="2"/>
  <c r="AF80" i="2"/>
  <c r="AF216" i="2"/>
  <c r="AF269" i="2"/>
  <c r="AF278" i="2"/>
  <c r="AF105" i="2"/>
  <c r="AF294" i="2"/>
  <c r="AF315" i="2"/>
  <c r="AF120" i="2"/>
  <c r="AF325" i="2"/>
  <c r="AF100" i="2"/>
  <c r="AF81" i="2"/>
  <c r="AF270" i="2"/>
  <c r="AF297" i="2"/>
  <c r="AF189" i="2"/>
  <c r="AF110" i="2"/>
  <c r="AF126" i="2"/>
  <c r="AF313" i="2"/>
  <c r="AF281" i="2"/>
  <c r="AF118" i="2"/>
  <c r="AL54" i="2"/>
  <c r="AL42" i="2"/>
  <c r="AN73" i="2"/>
  <c r="AN72" i="2"/>
  <c r="AM72" i="2"/>
  <c r="AH100" i="2"/>
  <c r="AH315" i="2"/>
  <c r="AH105" i="2"/>
  <c r="AH313" i="2"/>
  <c r="AL313" i="2"/>
  <c r="AH81" i="2"/>
  <c r="AH294" i="2"/>
  <c r="AH297" i="2"/>
  <c r="AH281" i="2"/>
  <c r="AH325" i="2"/>
  <c r="AL325" i="2"/>
  <c r="AH120" i="2"/>
  <c r="AH110" i="2"/>
  <c r="AH216" i="2"/>
  <c r="AH126" i="2"/>
  <c r="AH278" i="2"/>
  <c r="AH80" i="2"/>
  <c r="AH118" i="2"/>
  <c r="AH269" i="2"/>
  <c r="AK315" i="2"/>
  <c r="AN315" i="2"/>
  <c r="AK278" i="2"/>
  <c r="AK325" i="2"/>
  <c r="AK105" i="2"/>
  <c r="AK281" i="2"/>
  <c r="AK216" i="2"/>
  <c r="AK118" i="2"/>
  <c r="AK100" i="2"/>
  <c r="AK80" i="2"/>
  <c r="AK297" i="2"/>
  <c r="AK189" i="2"/>
  <c r="AK207" i="2"/>
  <c r="AK110" i="2"/>
  <c r="AK126" i="2"/>
  <c r="AK81" i="2"/>
  <c r="AK313" i="2"/>
  <c r="AK108" i="2"/>
  <c r="AK294" i="2"/>
  <c r="AK270" i="2"/>
  <c r="AK269" i="2"/>
  <c r="AK120" i="2"/>
  <c r="AL120" i="2"/>
  <c r="AM120" i="2"/>
  <c r="AN120" i="2"/>
  <c r="Q186" i="2"/>
  <c r="AE113" i="2"/>
  <c r="AM55" i="2"/>
  <c r="AM54" i="2"/>
  <c r="AM57" i="2"/>
  <c r="J353" i="2"/>
  <c r="J269" i="2"/>
  <c r="J118" i="2"/>
  <c r="J81" i="2"/>
  <c r="J189" i="2"/>
  <c r="J207" i="2"/>
  <c r="J270" i="2"/>
  <c r="J325" i="2"/>
  <c r="J110" i="2"/>
  <c r="J108" i="2"/>
  <c r="J120" i="2"/>
  <c r="J216" i="2"/>
  <c r="J315" i="2"/>
  <c r="J313" i="2"/>
  <c r="J126" i="2"/>
  <c r="K130" i="2"/>
  <c r="J100" i="2"/>
  <c r="J294" i="2"/>
  <c r="J278" i="2"/>
  <c r="J31" i="1"/>
  <c r="J297" i="2"/>
  <c r="J80" i="2"/>
  <c r="J53" i="1"/>
  <c r="K100" i="2"/>
  <c r="K270" i="2"/>
  <c r="K81" i="2"/>
  <c r="J281" i="2"/>
  <c r="K80" i="2"/>
  <c r="K53" i="1"/>
  <c r="N48" i="1"/>
  <c r="AD269" i="2"/>
  <c r="AH108" i="2"/>
  <c r="N126" i="2"/>
  <c r="N105" i="2"/>
  <c r="N216" i="2"/>
  <c r="N118" i="2"/>
  <c r="N81" i="2"/>
  <c r="N100" i="2"/>
  <c r="N108" i="2"/>
  <c r="N281" i="2"/>
  <c r="N325" i="2"/>
  <c r="N31" i="1"/>
  <c r="N294" i="2"/>
  <c r="N189" i="2"/>
  <c r="N110" i="2"/>
  <c r="N120" i="2"/>
  <c r="N297" i="2"/>
  <c r="N313" i="2"/>
  <c r="N80" i="2"/>
  <c r="N53" i="1"/>
  <c r="N353" i="2"/>
  <c r="N315" i="2"/>
  <c r="O315" i="2"/>
  <c r="P315" i="2"/>
  <c r="N278" i="2"/>
  <c r="N269" i="2"/>
  <c r="AA153" i="2"/>
  <c r="AF108" i="2"/>
  <c r="AL43" i="2"/>
  <c r="AL101" i="2"/>
  <c r="AL103" i="2"/>
  <c r="AL104" i="2"/>
  <c r="AL74" i="2"/>
  <c r="AL227" i="2"/>
  <c r="I337" i="2"/>
  <c r="I350" i="2"/>
  <c r="AN41" i="2"/>
  <c r="AN40" i="2"/>
  <c r="AN43" i="2"/>
  <c r="I48" i="1"/>
  <c r="I25" i="1"/>
  <c r="I50" i="1"/>
  <c r="AB313" i="2"/>
  <c r="AB325" i="2"/>
  <c r="AB315" i="2"/>
  <c r="AB189" i="2"/>
  <c r="AB207" i="2"/>
  <c r="AB110" i="2"/>
  <c r="AB80" i="2"/>
  <c r="AB297" i="2"/>
  <c r="AB120" i="2"/>
  <c r="AB294" i="2"/>
  <c r="AB126" i="2"/>
  <c r="AB278" i="2"/>
  <c r="AB108" i="2"/>
  <c r="AB269" i="2"/>
  <c r="AB118" i="2"/>
  <c r="AB216" i="2"/>
  <c r="AB81" i="2"/>
  <c r="AB281" i="2"/>
  <c r="AB100" i="2"/>
  <c r="AB270" i="2"/>
  <c r="AN51" i="2"/>
  <c r="AN50" i="2"/>
  <c r="AN53" i="2"/>
  <c r="AL50" i="2"/>
  <c r="AL49" i="2"/>
  <c r="AM43" i="2"/>
  <c r="M126" i="2"/>
  <c r="M108" i="2"/>
  <c r="M294" i="2"/>
  <c r="M100" i="2"/>
  <c r="M105" i="2"/>
  <c r="M281" i="2"/>
  <c r="M297" i="2"/>
  <c r="M278" i="2"/>
  <c r="M80" i="2"/>
  <c r="M53" i="1"/>
  <c r="M81" i="2"/>
  <c r="M269" i="2"/>
  <c r="M353" i="2"/>
  <c r="M31" i="1"/>
  <c r="M120" i="2"/>
  <c r="M110" i="2"/>
  <c r="M325" i="2"/>
  <c r="M313" i="2"/>
  <c r="M118" i="2"/>
  <c r="M315" i="2"/>
  <c r="M216" i="2"/>
  <c r="M189" i="2"/>
  <c r="M207" i="2"/>
  <c r="N18" i="1"/>
  <c r="AI108" i="2"/>
  <c r="Y189" i="2"/>
  <c r="Y207" i="2"/>
  <c r="Z189" i="2"/>
  <c r="Z207" i="2"/>
  <c r="L51" i="1"/>
  <c r="Y313" i="2"/>
  <c r="Y294" i="2"/>
  <c r="Y297" i="2"/>
  <c r="Y80" i="2"/>
  <c r="Y278" i="2"/>
  <c r="Y269" i="2"/>
  <c r="Y108" i="2"/>
  <c r="Y81" i="2"/>
  <c r="Y315" i="2"/>
  <c r="Y118" i="2"/>
  <c r="Y110" i="2"/>
  <c r="Y113" i="2"/>
  <c r="Y281" i="2"/>
  <c r="Y270" i="2"/>
  <c r="Y126" i="2"/>
  <c r="Y120" i="2"/>
  <c r="Y325" i="2"/>
  <c r="L18" i="1"/>
  <c r="N270" i="2"/>
  <c r="O35" i="2"/>
  <c r="P35" i="2"/>
  <c r="Q35" i="2"/>
  <c r="R35" i="2"/>
  <c r="S35" i="2"/>
  <c r="O36" i="2"/>
  <c r="AM176" i="2"/>
  <c r="AM178" i="2"/>
  <c r="AN175" i="2"/>
  <c r="AL65" i="2"/>
  <c r="AL64" i="2"/>
  <c r="I252" i="2"/>
  <c r="I255" i="2"/>
  <c r="I211" i="2"/>
  <c r="I208" i="2"/>
  <c r="I242" i="2"/>
  <c r="I138" i="2"/>
  <c r="I129" i="2"/>
  <c r="I30" i="1"/>
  <c r="I150" i="2"/>
  <c r="I153" i="2"/>
  <c r="I157" i="2"/>
  <c r="I46" i="1"/>
  <c r="Z315" i="2"/>
  <c r="Z320" i="2"/>
  <c r="Z294" i="2"/>
  <c r="Z278" i="2"/>
  <c r="Z81" i="2"/>
  <c r="Z120" i="2"/>
  <c r="Z216" i="2"/>
  <c r="Z281" i="2"/>
  <c r="Z290" i="2"/>
  <c r="Z80" i="2"/>
  <c r="Z118" i="2"/>
  <c r="Z325" i="2"/>
  <c r="Z126" i="2"/>
  <c r="Z270" i="2"/>
  <c r="Z108" i="2"/>
  <c r="Z110" i="2"/>
  <c r="Z113" i="2"/>
  <c r="Z269" i="2"/>
  <c r="Z297" i="2"/>
  <c r="K150" i="2"/>
  <c r="K157" i="2"/>
  <c r="K129" i="2"/>
  <c r="K30" i="1"/>
  <c r="K138" i="2"/>
  <c r="AI118" i="2"/>
  <c r="AI281" i="2"/>
  <c r="AI325" i="2"/>
  <c r="AI313" i="2"/>
  <c r="AI294" i="2"/>
  <c r="AI81" i="2"/>
  <c r="AI120" i="2"/>
  <c r="AI80" i="2"/>
  <c r="AI100" i="2"/>
  <c r="AI315" i="2"/>
  <c r="AL315" i="2"/>
  <c r="AI105" i="2"/>
  <c r="AI110" i="2"/>
  <c r="AI216" i="2"/>
  <c r="AI278" i="2"/>
  <c r="AI126" i="2"/>
  <c r="AI297" i="2"/>
  <c r="AD294" i="2"/>
  <c r="AD110" i="2"/>
  <c r="AD189" i="2"/>
  <c r="AD297" i="2"/>
  <c r="AD278" i="2"/>
  <c r="AD81" i="2"/>
  <c r="AD315" i="2"/>
  <c r="AD105" i="2"/>
  <c r="AD313" i="2"/>
  <c r="AD118" i="2"/>
  <c r="AD216" i="2"/>
  <c r="AD126" i="2"/>
  <c r="AD120" i="2"/>
  <c r="AD325" i="2"/>
  <c r="AD100" i="2"/>
  <c r="AD80" i="2"/>
  <c r="AD281" i="2"/>
  <c r="AL281" i="2"/>
  <c r="AN47" i="2"/>
  <c r="AN46" i="2"/>
  <c r="AM46" i="2"/>
  <c r="L294" i="2"/>
  <c r="L216" i="2"/>
  <c r="L278" i="2"/>
  <c r="L120" i="2"/>
  <c r="L297" i="2"/>
  <c r="L126" i="2"/>
  <c r="L31" i="1"/>
  <c r="L108" i="2"/>
  <c r="L313" i="2"/>
  <c r="L353" i="2"/>
  <c r="L281" i="2"/>
  <c r="L290" i="2"/>
  <c r="L118" i="2"/>
  <c r="L325" i="2"/>
  <c r="L81" i="2"/>
  <c r="L110" i="2"/>
  <c r="L189" i="2"/>
  <c r="L207" i="2"/>
  <c r="L80" i="2"/>
  <c r="L53" i="1"/>
  <c r="L100" i="2"/>
  <c r="L315" i="2"/>
  <c r="AC297" i="2"/>
  <c r="AC313" i="2"/>
  <c r="AC216" i="2"/>
  <c r="AC325" i="2"/>
  <c r="AC315" i="2"/>
  <c r="AC281" i="2"/>
  <c r="AC120" i="2"/>
  <c r="AC110" i="2"/>
  <c r="AC118" i="2"/>
  <c r="AC278" i="2"/>
  <c r="AC189" i="2"/>
  <c r="AC207" i="2"/>
  <c r="AC269" i="2"/>
  <c r="AC105" i="2"/>
  <c r="AC80" i="2"/>
  <c r="AC100" i="2"/>
  <c r="AC108" i="2"/>
  <c r="AC270" i="2"/>
  <c r="AC126" i="2"/>
  <c r="AC81" i="2"/>
  <c r="AG80" i="2"/>
  <c r="AG270" i="2"/>
  <c r="AG105" i="2"/>
  <c r="AG81" i="2"/>
  <c r="AG100" i="2"/>
  <c r="AC294" i="2"/>
  <c r="AJ313" i="2"/>
  <c r="AJ315" i="2"/>
  <c r="AM315" i="2"/>
  <c r="AJ325" i="2"/>
  <c r="AJ80" i="2"/>
  <c r="AJ81" i="2"/>
  <c r="AJ270" i="2"/>
  <c r="AJ118" i="2"/>
  <c r="AJ278" i="2"/>
  <c r="AJ294" i="2"/>
  <c r="AJ120" i="2"/>
  <c r="AJ297" i="2"/>
  <c r="AJ110" i="2"/>
  <c r="AJ105" i="2"/>
  <c r="AJ269" i="2"/>
  <c r="AJ126" i="2"/>
  <c r="AJ216" i="2"/>
  <c r="AJ108" i="2"/>
  <c r="AJ100" i="2"/>
  <c r="AJ281" i="2"/>
  <c r="AD270" i="2"/>
  <c r="AN38" i="2"/>
  <c r="M270" i="2"/>
  <c r="O37" i="2"/>
  <c r="AN283" i="2"/>
  <c r="K244" i="2"/>
  <c r="AA211" i="2"/>
  <c r="X211" i="2"/>
  <c r="AE290" i="2"/>
  <c r="AE306" i="2"/>
  <c r="K208" i="2"/>
  <c r="AA141" i="2"/>
  <c r="K337" i="2"/>
  <c r="K350" i="2"/>
  <c r="K290" i="2"/>
  <c r="X252" i="2"/>
  <c r="X253" i="2"/>
  <c r="AM297" i="2"/>
  <c r="AE112" i="2"/>
  <c r="AE337" i="2"/>
  <c r="AE350" i="2"/>
  <c r="AE351" i="2"/>
  <c r="K306" i="2"/>
  <c r="X320" i="2"/>
  <c r="X337" i="2"/>
  <c r="X350" i="2"/>
  <c r="X351" i="2"/>
  <c r="AA320" i="2"/>
  <c r="AA337" i="2"/>
  <c r="AA350" i="2"/>
  <c r="AE151" i="2"/>
  <c r="AM281" i="2"/>
  <c r="AA306" i="2"/>
  <c r="AE111" i="2"/>
  <c r="J290" i="2"/>
  <c r="AG320" i="2"/>
  <c r="AG337" i="2"/>
  <c r="AG350" i="2"/>
  <c r="AE114" i="2"/>
  <c r="I351" i="2"/>
  <c r="AL118" i="2"/>
  <c r="AM118" i="2"/>
  <c r="L306" i="2"/>
  <c r="AC320" i="2"/>
  <c r="AE158" i="2"/>
  <c r="AG290" i="2"/>
  <c r="AG306" i="2"/>
  <c r="AG252" i="2"/>
  <c r="AG255" i="2"/>
  <c r="AG211" i="2"/>
  <c r="AG242" i="2"/>
  <c r="AG208" i="2"/>
  <c r="R231" i="2"/>
  <c r="Q259" i="2"/>
  <c r="Q260" i="2"/>
  <c r="AG157" i="2"/>
  <c r="AG150" i="2"/>
  <c r="AG129" i="2"/>
  <c r="AG138" i="2"/>
  <c r="AA160" i="2"/>
  <c r="U144" i="2"/>
  <c r="U141" i="2"/>
  <c r="AJ290" i="2"/>
  <c r="AJ306" i="2"/>
  <c r="AL58" i="2"/>
  <c r="N320" i="2"/>
  <c r="N337" i="2"/>
  <c r="N350" i="2"/>
  <c r="V144" i="2"/>
  <c r="V141" i="2"/>
  <c r="O214" i="2"/>
  <c r="AM222" i="2"/>
  <c r="O222" i="2"/>
  <c r="AN66" i="2"/>
  <c r="AN67" i="2"/>
  <c r="Z337" i="2"/>
  <c r="Z350" i="2"/>
  <c r="I44" i="1"/>
  <c r="AF320" i="2"/>
  <c r="AF337" i="2"/>
  <c r="AF350" i="2"/>
  <c r="K255" i="2"/>
  <c r="K24" i="1"/>
  <c r="AA246" i="2"/>
  <c r="AA248" i="2"/>
  <c r="AA244" i="2"/>
  <c r="P34" i="2"/>
  <c r="J306" i="2"/>
  <c r="AM189" i="2"/>
  <c r="X246" i="2"/>
  <c r="X248" i="2"/>
  <c r="X244" i="2"/>
  <c r="X144" i="2"/>
  <c r="X141" i="2"/>
  <c r="AD320" i="2"/>
  <c r="M320" i="2"/>
  <c r="M337" i="2"/>
  <c r="M350" i="2"/>
  <c r="M290" i="2"/>
  <c r="M306" i="2"/>
  <c r="AB290" i="2"/>
  <c r="AB306" i="2"/>
  <c r="J320" i="2"/>
  <c r="J337" i="2"/>
  <c r="J350" i="2"/>
  <c r="AA256" i="2"/>
  <c r="AA255" i="2"/>
  <c r="AA254" i="2"/>
  <c r="AA253" i="2"/>
  <c r="AL59" i="2"/>
  <c r="AN313" i="2"/>
  <c r="AJ320" i="2"/>
  <c r="AJ337" i="2"/>
  <c r="AJ350" i="2"/>
  <c r="AC113" i="2"/>
  <c r="AC111" i="2"/>
  <c r="AC112" i="2"/>
  <c r="AC114" i="2"/>
  <c r="AG114" i="2"/>
  <c r="AG111" i="2"/>
  <c r="AG112" i="2"/>
  <c r="Y320" i="2"/>
  <c r="Y337" i="2"/>
  <c r="Y350" i="2"/>
  <c r="AA163" i="2"/>
  <c r="AA147" i="2"/>
  <c r="AK112" i="2"/>
  <c r="AK111" i="2"/>
  <c r="AK114" i="2"/>
  <c r="AK113" i="2"/>
  <c r="AH111" i="2"/>
  <c r="AH113" i="2"/>
  <c r="AH112" i="2"/>
  <c r="AH114" i="2"/>
  <c r="AL57" i="2"/>
  <c r="AN189" i="2"/>
  <c r="AF207" i="2"/>
  <c r="AF209" i="2"/>
  <c r="O38" i="2"/>
  <c r="P38" i="2"/>
  <c r="Q38" i="2"/>
  <c r="R38" i="2"/>
  <c r="S38" i="2"/>
  <c r="O39" i="2"/>
  <c r="AC138" i="2"/>
  <c r="AC129" i="2"/>
  <c r="AC130" i="2"/>
  <c r="AC157" i="2"/>
  <c r="AC128" i="2"/>
  <c r="AC150" i="2"/>
  <c r="AG127" i="2"/>
  <c r="AG128" i="2"/>
  <c r="AG130" i="2"/>
  <c r="AC208" i="2"/>
  <c r="AC211" i="2"/>
  <c r="AC242" i="2"/>
  <c r="AC212" i="2"/>
  <c r="AC252" i="2"/>
  <c r="AC210" i="2"/>
  <c r="AG209" i="2"/>
  <c r="AG212" i="2"/>
  <c r="AG210" i="2"/>
  <c r="AM58" i="2"/>
  <c r="AM49" i="2"/>
  <c r="AM63" i="2"/>
  <c r="AL297" i="2"/>
  <c r="AI320" i="2"/>
  <c r="AI337" i="2"/>
  <c r="AI350" i="2"/>
  <c r="AM313" i="2"/>
  <c r="K127" i="2"/>
  <c r="K46" i="1"/>
  <c r="K160" i="2"/>
  <c r="Z242" i="2"/>
  <c r="Z208" i="2"/>
  <c r="Z252" i="2"/>
  <c r="Z211" i="2"/>
  <c r="I160" i="2"/>
  <c r="O175" i="2"/>
  <c r="AN178" i="2"/>
  <c r="AN176" i="2"/>
  <c r="Y290" i="2"/>
  <c r="Y306" i="2"/>
  <c r="Y242" i="2"/>
  <c r="Y252" i="2"/>
  <c r="Y208" i="2"/>
  <c r="AC209" i="2"/>
  <c r="Y211" i="2"/>
  <c r="M150" i="2"/>
  <c r="M157" i="2"/>
  <c r="M129" i="2"/>
  <c r="M30" i="1"/>
  <c r="M130" i="2"/>
  <c r="M127" i="2"/>
  <c r="M138" i="2"/>
  <c r="M128" i="2"/>
  <c r="N112" i="2"/>
  <c r="N114" i="2"/>
  <c r="N113" i="2"/>
  <c r="N29" i="1"/>
  <c r="N111" i="2"/>
  <c r="N54" i="1"/>
  <c r="J208" i="2"/>
  <c r="J212" i="2"/>
  <c r="J209" i="2"/>
  <c r="J56" i="1"/>
  <c r="J211" i="2"/>
  <c r="J210" i="2"/>
  <c r="J242" i="2"/>
  <c r="K210" i="2"/>
  <c r="J252" i="2"/>
  <c r="K209" i="2"/>
  <c r="K212" i="2"/>
  <c r="J50" i="1"/>
  <c r="J25" i="1"/>
  <c r="AE212" i="2"/>
  <c r="AE208" i="2"/>
  <c r="AE209" i="2"/>
  <c r="AE242" i="2"/>
  <c r="AE210" i="2"/>
  <c r="AE211" i="2"/>
  <c r="AI209" i="2"/>
  <c r="AE252" i="2"/>
  <c r="AK320" i="2"/>
  <c r="AK337" i="2"/>
  <c r="AK350" i="2"/>
  <c r="AK211" i="2"/>
  <c r="AK242" i="2"/>
  <c r="AK210" i="2"/>
  <c r="AK212" i="2"/>
  <c r="AK208" i="2"/>
  <c r="AK252" i="2"/>
  <c r="AK209" i="2"/>
  <c r="AN101" i="2"/>
  <c r="AN103" i="2"/>
  <c r="AN104" i="2"/>
  <c r="AN74" i="2"/>
  <c r="AN227" i="2"/>
  <c r="AN228" i="2"/>
  <c r="AL69" i="2"/>
  <c r="AN55" i="2"/>
  <c r="AN54" i="2"/>
  <c r="AN57" i="2"/>
  <c r="AF138" i="2"/>
  <c r="AF129" i="2"/>
  <c r="AF128" i="2"/>
  <c r="AF150" i="2"/>
  <c r="AF130" i="2"/>
  <c r="AF157" i="2"/>
  <c r="AJ127" i="2"/>
  <c r="AN297" i="2"/>
  <c r="AE160" i="2"/>
  <c r="AE159" i="2"/>
  <c r="AE161" i="2"/>
  <c r="AE141" i="2"/>
  <c r="AE144" i="2"/>
  <c r="AJ138" i="2"/>
  <c r="AJ129" i="2"/>
  <c r="AJ150" i="2"/>
  <c r="AJ130" i="2"/>
  <c r="AJ157" i="2"/>
  <c r="AJ128" i="2"/>
  <c r="AI138" i="2"/>
  <c r="AI130" i="2"/>
  <c r="AI129" i="2"/>
  <c r="AI157" i="2"/>
  <c r="AI150" i="2"/>
  <c r="AI151" i="2"/>
  <c r="AI128" i="2"/>
  <c r="AI111" i="2"/>
  <c r="AI112" i="2"/>
  <c r="AI113" i="2"/>
  <c r="AI114" i="2"/>
  <c r="M208" i="2"/>
  <c r="M242" i="2"/>
  <c r="M252" i="2"/>
  <c r="M210" i="2"/>
  <c r="M212" i="2"/>
  <c r="M211" i="2"/>
  <c r="M209" i="2"/>
  <c r="M56" i="1"/>
  <c r="M50" i="1"/>
  <c r="M25" i="1"/>
  <c r="AB242" i="2"/>
  <c r="AB211" i="2"/>
  <c r="AB208" i="2"/>
  <c r="AB209" i="2"/>
  <c r="AB252" i="2"/>
  <c r="AB212" i="2"/>
  <c r="AB210" i="2"/>
  <c r="AC290" i="2"/>
  <c r="AC306" i="2"/>
  <c r="AC337" i="2"/>
  <c r="AC350" i="2"/>
  <c r="L128" i="2"/>
  <c r="L129" i="2"/>
  <c r="L30" i="1"/>
  <c r="L150" i="2"/>
  <c r="L130" i="2"/>
  <c r="L138" i="2"/>
  <c r="L157" i="2"/>
  <c r="L127" i="2"/>
  <c r="AN49" i="2"/>
  <c r="AN58" i="2"/>
  <c r="AN63" i="2"/>
  <c r="AD207" i="2"/>
  <c r="AH212" i="2"/>
  <c r="AL189" i="2"/>
  <c r="K144" i="2"/>
  <c r="K141" i="2"/>
  <c r="Z138" i="2"/>
  <c r="AD127" i="2"/>
  <c r="Z157" i="2"/>
  <c r="Z129" i="2"/>
  <c r="Z150" i="2"/>
  <c r="Z306" i="2"/>
  <c r="Q34" i="2"/>
  <c r="P36" i="2"/>
  <c r="AM89" i="2"/>
  <c r="AM91" i="2"/>
  <c r="AM92" i="2"/>
  <c r="AM45" i="2"/>
  <c r="AM44" i="2"/>
  <c r="O50" i="2"/>
  <c r="O66" i="2"/>
  <c r="AL53" i="2"/>
  <c r="AL66" i="2"/>
  <c r="AB157" i="2"/>
  <c r="AB129" i="2"/>
  <c r="AB128" i="2"/>
  <c r="AF127" i="2"/>
  <c r="AB130" i="2"/>
  <c r="AB138" i="2"/>
  <c r="AB150" i="2"/>
  <c r="AB127" i="2"/>
  <c r="AN69" i="2"/>
  <c r="AN42" i="2"/>
  <c r="AL228" i="2"/>
  <c r="AL293" i="2"/>
  <c r="O189" i="2"/>
  <c r="P189" i="2"/>
  <c r="N207" i="2"/>
  <c r="N138" i="2"/>
  <c r="N127" i="2"/>
  <c r="N150" i="2"/>
  <c r="N128" i="2"/>
  <c r="N157" i="2"/>
  <c r="N129" i="2"/>
  <c r="N30" i="1"/>
  <c r="N130" i="2"/>
  <c r="J111" i="2"/>
  <c r="J54" i="1"/>
  <c r="J114" i="2"/>
  <c r="J112" i="2"/>
  <c r="K111" i="2"/>
  <c r="K54" i="1"/>
  <c r="J113" i="2"/>
  <c r="J29" i="1"/>
  <c r="K112" i="2"/>
  <c r="K114" i="2"/>
  <c r="AH157" i="2"/>
  <c r="AH150" i="2"/>
  <c r="AH129" i="2"/>
  <c r="AH128" i="2"/>
  <c r="AH130" i="2"/>
  <c r="AH138" i="2"/>
  <c r="AM325" i="2"/>
  <c r="AM68" i="2"/>
  <c r="AM67" i="2"/>
  <c r="AI127" i="2"/>
  <c r="L113" i="2"/>
  <c r="L29" i="1"/>
  <c r="L112" i="2"/>
  <c r="L114" i="2"/>
  <c r="L111" i="2"/>
  <c r="L54" i="1"/>
  <c r="AD138" i="2"/>
  <c r="AD130" i="2"/>
  <c r="AD128" i="2"/>
  <c r="AD150" i="2"/>
  <c r="AD129" i="2"/>
  <c r="AH127" i="2"/>
  <c r="AD157" i="2"/>
  <c r="I144" i="2"/>
  <c r="I141" i="2"/>
  <c r="J157" i="2"/>
  <c r="K161" i="2"/>
  <c r="J127" i="2"/>
  <c r="J150" i="2"/>
  <c r="K154" i="2"/>
  <c r="J129" i="2"/>
  <c r="J30" i="1"/>
  <c r="J128" i="2"/>
  <c r="J138" i="2"/>
  <c r="J130" i="2"/>
  <c r="AM101" i="2"/>
  <c r="AM103" i="2"/>
  <c r="AM104" i="2"/>
  <c r="AM74" i="2"/>
  <c r="AM227" i="2"/>
  <c r="AM228" i="2"/>
  <c r="AN89" i="2"/>
  <c r="AN91" i="2"/>
  <c r="AN92" i="2"/>
  <c r="AN44" i="2"/>
  <c r="AN45" i="2"/>
  <c r="AJ114" i="2"/>
  <c r="AJ113" i="2"/>
  <c r="AJ112" i="2"/>
  <c r="AJ111" i="2"/>
  <c r="AJ252" i="2"/>
  <c r="AJ211" i="2"/>
  <c r="AJ242" i="2"/>
  <c r="AJ208" i="2"/>
  <c r="L242" i="2"/>
  <c r="L212" i="2"/>
  <c r="L252" i="2"/>
  <c r="L208" i="2"/>
  <c r="L211" i="2"/>
  <c r="L210" i="2"/>
  <c r="L209" i="2"/>
  <c r="L56" i="1"/>
  <c r="L50" i="1"/>
  <c r="L25" i="1"/>
  <c r="L320" i="2"/>
  <c r="L337" i="2"/>
  <c r="L350" i="2"/>
  <c r="L351" i="2"/>
  <c r="AD290" i="2"/>
  <c r="AD306" i="2"/>
  <c r="AD337" i="2"/>
  <c r="AD350" i="2"/>
  <c r="AD113" i="2"/>
  <c r="AD112" i="2"/>
  <c r="AD114" i="2"/>
  <c r="AD111" i="2"/>
  <c r="AI212" i="2"/>
  <c r="AI252" i="2"/>
  <c r="AI211" i="2"/>
  <c r="AI208" i="2"/>
  <c r="AI210" i="2"/>
  <c r="AI242" i="2"/>
  <c r="AI290" i="2"/>
  <c r="AI306" i="2"/>
  <c r="K128" i="2"/>
  <c r="K153" i="2"/>
  <c r="K44" i="1"/>
  <c r="I212" i="2"/>
  <c r="I209" i="2"/>
  <c r="I210" i="2"/>
  <c r="Y138" i="2"/>
  <c r="Y150" i="2"/>
  <c r="L45" i="1"/>
  <c r="Y129" i="2"/>
  <c r="AC127" i="2"/>
  <c r="Y157" i="2"/>
  <c r="L47" i="1"/>
  <c r="M113" i="2"/>
  <c r="M29" i="1"/>
  <c r="M114" i="2"/>
  <c r="M111" i="2"/>
  <c r="M54" i="1"/>
  <c r="M112" i="2"/>
  <c r="O46" i="2"/>
  <c r="AB114" i="2"/>
  <c r="AB113" i="2"/>
  <c r="AB111" i="2"/>
  <c r="AB112" i="2"/>
  <c r="AB320" i="2"/>
  <c r="AB337" i="2"/>
  <c r="AB350" i="2"/>
  <c r="I24" i="1"/>
  <c r="I19" i="1"/>
  <c r="O72" i="2"/>
  <c r="AL89" i="2"/>
  <c r="AL91" i="2"/>
  <c r="AL92" i="2"/>
  <c r="AL44" i="2"/>
  <c r="AL45" i="2"/>
  <c r="Q315" i="2"/>
  <c r="N290" i="2"/>
  <c r="N306" i="2"/>
  <c r="N351" i="2"/>
  <c r="R186" i="2"/>
  <c r="AK138" i="2"/>
  <c r="AK128" i="2"/>
  <c r="AK157" i="2"/>
  <c r="AK130" i="2"/>
  <c r="AK129" i="2"/>
  <c r="AK150" i="2"/>
  <c r="AK127" i="2"/>
  <c r="AK290" i="2"/>
  <c r="AK306" i="2"/>
  <c r="AH211" i="2"/>
  <c r="AH252" i="2"/>
  <c r="AH242" i="2"/>
  <c r="AH208" i="2"/>
  <c r="AH290" i="2"/>
  <c r="AH306" i="2"/>
  <c r="AH320" i="2"/>
  <c r="AH337" i="2"/>
  <c r="AH350" i="2"/>
  <c r="O40" i="2"/>
  <c r="O43" i="2"/>
  <c r="AM69" i="2"/>
  <c r="AN281" i="2"/>
  <c r="AF290" i="2"/>
  <c r="AF306" i="2"/>
  <c r="AF111" i="2"/>
  <c r="AF114" i="2"/>
  <c r="AF112" i="2"/>
  <c r="AF113" i="2"/>
  <c r="AE152" i="2"/>
  <c r="AE153" i="2"/>
  <c r="AE154" i="2"/>
  <c r="AG160" i="2"/>
  <c r="N47" i="1"/>
  <c r="M47" i="1"/>
  <c r="M51" i="1"/>
  <c r="M45" i="1"/>
  <c r="AG153" i="2"/>
  <c r="N45" i="1"/>
  <c r="AA351" i="2"/>
  <c r="K351" i="2"/>
  <c r="AN68" i="2"/>
  <c r="AK351" i="2"/>
  <c r="X255" i="2"/>
  <c r="X254" i="2"/>
  <c r="AJ210" i="2"/>
  <c r="AL61" i="2"/>
  <c r="AH351" i="2"/>
  <c r="AG351" i="2"/>
  <c r="O101" i="2"/>
  <c r="O103" i="2"/>
  <c r="Y351" i="2"/>
  <c r="AI351" i="2"/>
  <c r="M351" i="2"/>
  <c r="AJ351" i="2"/>
  <c r="AH210" i="2"/>
  <c r="AJ212" i="2"/>
  <c r="Z351" i="2"/>
  <c r="AL95" i="2"/>
  <c r="AL310" i="2"/>
  <c r="AL196" i="2"/>
  <c r="AG144" i="2"/>
  <c r="AG141" i="2"/>
  <c r="AG244" i="2"/>
  <c r="AG246" i="2"/>
  <c r="AG248" i="2"/>
  <c r="P37" i="2"/>
  <c r="P39" i="2"/>
  <c r="AB351" i="2"/>
  <c r="U147" i="2"/>
  <c r="U163" i="2"/>
  <c r="U167" i="2"/>
  <c r="S231" i="2"/>
  <c r="S259" i="2"/>
  <c r="R259" i="2"/>
  <c r="R260" i="2"/>
  <c r="X163" i="2"/>
  <c r="X167" i="2"/>
  <c r="X147" i="2"/>
  <c r="P214" i="2"/>
  <c r="O215" i="2"/>
  <c r="M20" i="1"/>
  <c r="O54" i="2"/>
  <c r="O57" i="2"/>
  <c r="J351" i="2"/>
  <c r="AF351" i="2"/>
  <c r="K151" i="2"/>
  <c r="K55" i="1"/>
  <c r="V163" i="2"/>
  <c r="V167" i="2"/>
  <c r="V147" i="2"/>
  <c r="O67" i="2"/>
  <c r="O68" i="2"/>
  <c r="O45" i="2"/>
  <c r="O44" i="2"/>
  <c r="R315" i="2"/>
  <c r="I147" i="2"/>
  <c r="I163" i="2"/>
  <c r="I36" i="1"/>
  <c r="I35" i="1"/>
  <c r="I42" i="1"/>
  <c r="I39" i="1"/>
  <c r="L161" i="2"/>
  <c r="M158" i="2"/>
  <c r="L160" i="2"/>
  <c r="L159" i="2"/>
  <c r="L46" i="1"/>
  <c r="AB246" i="2"/>
  <c r="AB248" i="2"/>
  <c r="AB244" i="2"/>
  <c r="AE163" i="2"/>
  <c r="AE164" i="2"/>
  <c r="AE146" i="2"/>
  <c r="AE147" i="2"/>
  <c r="AE148" i="2"/>
  <c r="AJ158" i="2"/>
  <c r="AF160" i="2"/>
  <c r="AF159" i="2"/>
  <c r="AF161" i="2"/>
  <c r="AK256" i="2"/>
  <c r="AK253" i="2"/>
  <c r="AK254" i="2"/>
  <c r="AK255" i="2"/>
  <c r="O55" i="2"/>
  <c r="P55" i="2"/>
  <c r="Q55" i="2"/>
  <c r="R55" i="2"/>
  <c r="S55" i="2"/>
  <c r="AA167" i="2"/>
  <c r="AM70" i="2"/>
  <c r="AM71" i="2"/>
  <c r="AJ255" i="2"/>
  <c r="J144" i="2"/>
  <c r="J145" i="2"/>
  <c r="J141" i="2"/>
  <c r="AH158" i="2"/>
  <c r="AD160" i="2"/>
  <c r="AD159" i="2"/>
  <c r="AD161" i="2"/>
  <c r="AN325" i="2"/>
  <c r="N154" i="2"/>
  <c r="N152" i="2"/>
  <c r="N151" i="2"/>
  <c r="N55" i="1"/>
  <c r="N153" i="2"/>
  <c r="N44" i="1"/>
  <c r="Q189" i="2"/>
  <c r="AB152" i="2"/>
  <c r="AB154" i="2"/>
  <c r="AB153" i="2"/>
  <c r="AF151" i="2"/>
  <c r="AB151" i="2"/>
  <c r="AL67" i="2"/>
  <c r="AL68" i="2"/>
  <c r="AL79" i="2"/>
  <c r="AL296" i="2"/>
  <c r="AD151" i="2"/>
  <c r="Z153" i="2"/>
  <c r="Z144" i="2"/>
  <c r="Z141" i="2"/>
  <c r="AN59" i="2"/>
  <c r="AN95" i="2"/>
  <c r="AN97" i="2"/>
  <c r="AN98" i="2"/>
  <c r="AN61" i="2"/>
  <c r="L141" i="2"/>
  <c r="L144" i="2"/>
  <c r="L145" i="2"/>
  <c r="AF144" i="2"/>
  <c r="AF141" i="2"/>
  <c r="J246" i="2"/>
  <c r="J248" i="2"/>
  <c r="J244" i="2"/>
  <c r="Z255" i="2"/>
  <c r="Z253" i="2"/>
  <c r="Z256" i="2"/>
  <c r="Z254" i="2"/>
  <c r="AM65" i="2"/>
  <c r="AM64" i="2"/>
  <c r="AM79" i="2"/>
  <c r="AM93" i="2"/>
  <c r="AC255" i="2"/>
  <c r="AC253" i="2"/>
  <c r="AC254" i="2"/>
  <c r="AC256" i="2"/>
  <c r="AG253" i="2"/>
  <c r="AG254" i="2"/>
  <c r="AG256" i="2"/>
  <c r="AC152" i="2"/>
  <c r="AG151" i="2"/>
  <c r="AC153" i="2"/>
  <c r="AC154" i="2"/>
  <c r="AG154" i="2"/>
  <c r="AG152" i="2"/>
  <c r="AF212" i="2"/>
  <c r="AJ209" i="2"/>
  <c r="AF211" i="2"/>
  <c r="AF208" i="2"/>
  <c r="AF210" i="2"/>
  <c r="AF252" i="2"/>
  <c r="AJ256" i="2"/>
  <c r="AF242" i="2"/>
  <c r="AN64" i="2"/>
  <c r="AN65" i="2"/>
  <c r="AN79" i="2"/>
  <c r="AN280" i="2"/>
  <c r="O280" i="2"/>
  <c r="AB255" i="2"/>
  <c r="AB254" i="2"/>
  <c r="AB253" i="2"/>
  <c r="AB256" i="2"/>
  <c r="M246" i="2"/>
  <c r="M248" i="2"/>
  <c r="M244" i="2"/>
  <c r="O173" i="2"/>
  <c r="O9" i="1"/>
  <c r="O10" i="1"/>
  <c r="O176" i="2"/>
  <c r="P176" i="2"/>
  <c r="Q176" i="2"/>
  <c r="R176" i="2"/>
  <c r="S176" i="2"/>
  <c r="O178" i="2"/>
  <c r="Q37" i="2"/>
  <c r="AK161" i="2"/>
  <c r="AK160" i="2"/>
  <c r="AK159" i="2"/>
  <c r="AK158" i="2"/>
  <c r="O41" i="2"/>
  <c r="P41" i="2"/>
  <c r="Q41" i="2"/>
  <c r="R41" i="2"/>
  <c r="S41" i="2"/>
  <c r="O42" i="2"/>
  <c r="L20" i="1"/>
  <c r="L244" i="2"/>
  <c r="L246" i="2"/>
  <c r="L248" i="2"/>
  <c r="J159" i="2"/>
  <c r="J161" i="2"/>
  <c r="J160" i="2"/>
  <c r="K158" i="2"/>
  <c r="J46" i="1"/>
  <c r="AH144" i="2"/>
  <c r="AH141" i="2"/>
  <c r="AM185" i="2"/>
  <c r="AM293" i="2"/>
  <c r="AN70" i="2"/>
  <c r="AN71" i="2"/>
  <c r="AB144" i="2"/>
  <c r="AB141" i="2"/>
  <c r="R34" i="2"/>
  <c r="Q36" i="2"/>
  <c r="AJ159" i="2"/>
  <c r="AJ160" i="2"/>
  <c r="AJ161" i="2"/>
  <c r="AJ144" i="2"/>
  <c r="AJ141" i="2"/>
  <c r="AF153" i="2"/>
  <c r="AF152" i="2"/>
  <c r="AJ151" i="2"/>
  <c r="AF154" i="2"/>
  <c r="K56" i="1"/>
  <c r="K20" i="1"/>
  <c r="M144" i="2"/>
  <c r="M141" i="2"/>
  <c r="M160" i="2"/>
  <c r="M161" i="2"/>
  <c r="N158" i="2"/>
  <c r="M159" i="2"/>
  <c r="M46" i="1"/>
  <c r="J158" i="2"/>
  <c r="L158" i="2"/>
  <c r="AC144" i="2"/>
  <c r="AC141" i="2"/>
  <c r="AE145" i="2"/>
  <c r="AH255" i="2"/>
  <c r="O74" i="2"/>
  <c r="O73" i="2"/>
  <c r="Y160" i="2"/>
  <c r="AC158" i="2"/>
  <c r="Y144" i="2"/>
  <c r="Y141" i="2"/>
  <c r="AI246" i="2"/>
  <c r="AI248" i="2"/>
  <c r="AI244" i="2"/>
  <c r="AI256" i="2"/>
  <c r="AI255" i="2"/>
  <c r="AI254" i="2"/>
  <c r="AI253" i="2"/>
  <c r="L255" i="2"/>
  <c r="L254" i="2"/>
  <c r="L256" i="2"/>
  <c r="L253" i="2"/>
  <c r="L57" i="1"/>
  <c r="L24" i="1"/>
  <c r="J154" i="2"/>
  <c r="J152" i="2"/>
  <c r="J151" i="2"/>
  <c r="J55" i="1"/>
  <c r="J153" i="2"/>
  <c r="J44" i="1"/>
  <c r="AH151" i="2"/>
  <c r="AD153" i="2"/>
  <c r="AD154" i="2"/>
  <c r="AD152" i="2"/>
  <c r="AH159" i="2"/>
  <c r="AH161" i="2"/>
  <c r="AH160" i="2"/>
  <c r="N210" i="2"/>
  <c r="N211" i="2"/>
  <c r="N212" i="2"/>
  <c r="N209" i="2"/>
  <c r="N56" i="1"/>
  <c r="N242" i="2"/>
  <c r="N252" i="2"/>
  <c r="N208" i="2"/>
  <c r="N50" i="1"/>
  <c r="N25" i="1"/>
  <c r="AI159" i="2"/>
  <c r="AI161" i="2"/>
  <c r="AI160" i="2"/>
  <c r="AJ152" i="2"/>
  <c r="AJ153" i="2"/>
  <c r="AJ154" i="2"/>
  <c r="AK244" i="2"/>
  <c r="AK246" i="2"/>
  <c r="Y246" i="2"/>
  <c r="Y248" i="2"/>
  <c r="Y244" i="2"/>
  <c r="S186" i="2"/>
  <c r="AK153" i="2"/>
  <c r="AK152" i="2"/>
  <c r="AK154" i="2"/>
  <c r="AK151" i="2"/>
  <c r="AH246" i="2"/>
  <c r="AH248" i="2"/>
  <c r="AH244" i="2"/>
  <c r="AK144" i="2"/>
  <c r="AO143" i="2"/>
  <c r="AK141" i="2"/>
  <c r="AL107" i="2"/>
  <c r="O89" i="2"/>
  <c r="O91" i="2"/>
  <c r="O47" i="2"/>
  <c r="P47" i="2"/>
  <c r="Q47" i="2"/>
  <c r="R47" i="2"/>
  <c r="S47" i="2"/>
  <c r="O49" i="2"/>
  <c r="O63" i="2"/>
  <c r="AC151" i="2"/>
  <c r="Y153" i="2"/>
  <c r="K152" i="2"/>
  <c r="AD351" i="2"/>
  <c r="AJ246" i="2"/>
  <c r="AJ248" i="2"/>
  <c r="AJ244" i="2"/>
  <c r="AD144" i="2"/>
  <c r="AD141" i="2"/>
  <c r="AH152" i="2"/>
  <c r="AH154" i="2"/>
  <c r="AH153" i="2"/>
  <c r="N160" i="2"/>
  <c r="N161" i="2"/>
  <c r="N159" i="2"/>
  <c r="N46" i="1"/>
  <c r="N144" i="2"/>
  <c r="N141" i="2"/>
  <c r="O227" i="2"/>
  <c r="I20" i="1"/>
  <c r="AB161" i="2"/>
  <c r="AB159" i="2"/>
  <c r="AB160" i="2"/>
  <c r="AB158" i="2"/>
  <c r="AF158" i="2"/>
  <c r="O51" i="2"/>
  <c r="P51" i="2"/>
  <c r="Q51" i="2"/>
  <c r="R51" i="2"/>
  <c r="S51" i="2"/>
  <c r="O53" i="2"/>
  <c r="AD158" i="2"/>
  <c r="Z160" i="2"/>
  <c r="K163" i="2"/>
  <c r="K35" i="1"/>
  <c r="K147" i="2"/>
  <c r="K36" i="1"/>
  <c r="K42" i="1"/>
  <c r="AD211" i="2"/>
  <c r="AD252" i="2"/>
  <c r="AH254" i="2"/>
  <c r="AD242" i="2"/>
  <c r="AD208" i="2"/>
  <c r="AD210" i="2"/>
  <c r="AD212" i="2"/>
  <c r="AH209" i="2"/>
  <c r="L154" i="2"/>
  <c r="L152" i="2"/>
  <c r="L151" i="2"/>
  <c r="L55" i="1"/>
  <c r="L153" i="2"/>
  <c r="L44" i="1"/>
  <c r="AC351" i="2"/>
  <c r="M255" i="2"/>
  <c r="M254" i="2"/>
  <c r="M253" i="2"/>
  <c r="M57" i="1"/>
  <c r="M256" i="2"/>
  <c r="M24" i="1"/>
  <c r="AI153" i="2"/>
  <c r="AI154" i="2"/>
  <c r="AI152" i="2"/>
  <c r="AI144" i="2"/>
  <c r="AI145" i="2"/>
  <c r="AI141" i="2"/>
  <c r="AI158" i="2"/>
  <c r="AL70" i="2"/>
  <c r="AL71" i="2"/>
  <c r="AE255" i="2"/>
  <c r="AE254" i="2"/>
  <c r="AE253" i="2"/>
  <c r="AE256" i="2"/>
  <c r="AE244" i="2"/>
  <c r="AE246" i="2"/>
  <c r="AE248" i="2"/>
  <c r="J20" i="1"/>
  <c r="J255" i="2"/>
  <c r="J256" i="2"/>
  <c r="J254" i="2"/>
  <c r="J253" i="2"/>
  <c r="J57" i="1"/>
  <c r="K254" i="2"/>
  <c r="K253" i="2"/>
  <c r="K256" i="2"/>
  <c r="J24" i="1"/>
  <c r="J19" i="1"/>
  <c r="M153" i="2"/>
  <c r="M151" i="2"/>
  <c r="M55" i="1"/>
  <c r="M152" i="2"/>
  <c r="M154" i="2"/>
  <c r="M44" i="1"/>
  <c r="Y255" i="2"/>
  <c r="Y254" i="2"/>
  <c r="Y253" i="2"/>
  <c r="Y256" i="2"/>
  <c r="AD209" i="2"/>
  <c r="Z246" i="2"/>
  <c r="Z248" i="2"/>
  <c r="Z244" i="2"/>
  <c r="K159" i="2"/>
  <c r="AM95" i="2"/>
  <c r="AM97" i="2"/>
  <c r="AM98" i="2"/>
  <c r="AM59" i="2"/>
  <c r="AM61" i="2"/>
  <c r="AC244" i="2"/>
  <c r="AC246" i="2"/>
  <c r="AC248" i="2"/>
  <c r="AG158" i="2"/>
  <c r="AC160" i="2"/>
  <c r="AC161" i="2"/>
  <c r="AC159" i="2"/>
  <c r="AG161" i="2"/>
  <c r="AG159" i="2"/>
  <c r="O102" i="2"/>
  <c r="P102" i="2"/>
  <c r="Q102" i="2"/>
  <c r="K146" i="2"/>
  <c r="K148" i="2"/>
  <c r="O104" i="2"/>
  <c r="O92" i="2"/>
  <c r="AL93" i="2"/>
  <c r="AN93" i="2"/>
  <c r="AL97" i="2"/>
  <c r="AL98" i="2"/>
  <c r="AN188" i="2"/>
  <c r="P74" i="2"/>
  <c r="Q74" i="2"/>
  <c r="R74" i="2"/>
  <c r="S74" i="2"/>
  <c r="S260" i="2"/>
  <c r="AN296" i="2"/>
  <c r="O296" i="2"/>
  <c r="O58" i="2"/>
  <c r="O59" i="2"/>
  <c r="AL294" i="2"/>
  <c r="O95" i="2"/>
  <c r="O107" i="2"/>
  <c r="P50" i="2"/>
  <c r="P66" i="2"/>
  <c r="O69" i="2"/>
  <c r="O70" i="2"/>
  <c r="AG147" i="2"/>
  <c r="AG163" i="2"/>
  <c r="AG167" i="2"/>
  <c r="AM105" i="2"/>
  <c r="AH253" i="2"/>
  <c r="P40" i="2"/>
  <c r="P43" i="2"/>
  <c r="Q214" i="2"/>
  <c r="P222" i="2"/>
  <c r="AM100" i="2"/>
  <c r="P46" i="2"/>
  <c r="P49" i="2"/>
  <c r="AN105" i="2"/>
  <c r="AN100" i="2"/>
  <c r="AJ253" i="2"/>
  <c r="AL100" i="2"/>
  <c r="L19" i="1"/>
  <c r="AL188" i="2"/>
  <c r="AL280" i="2"/>
  <c r="AL194" i="2"/>
  <c r="AN323" i="2"/>
  <c r="O323" i="2"/>
  <c r="AN185" i="2"/>
  <c r="AN293" i="2"/>
  <c r="AM294" i="2"/>
  <c r="AL192" i="2"/>
  <c r="O230" i="2"/>
  <c r="O228" i="2"/>
  <c r="AH256" i="2"/>
  <c r="AC148" i="2"/>
  <c r="AC163" i="2"/>
  <c r="AG145" i="2"/>
  <c r="AC146" i="2"/>
  <c r="AC147" i="2"/>
  <c r="AG148" i="2"/>
  <c r="AG146" i="2"/>
  <c r="S34" i="2"/>
  <c r="R36" i="2"/>
  <c r="AH148" i="2"/>
  <c r="AH147" i="2"/>
  <c r="AH146" i="2"/>
  <c r="AH163" i="2"/>
  <c r="AN310" i="2"/>
  <c r="L35" i="1"/>
  <c r="L163" i="2"/>
  <c r="L148" i="2"/>
  <c r="M145" i="2"/>
  <c r="L42" i="1"/>
  <c r="L146" i="2"/>
  <c r="L36" i="1"/>
  <c r="L147" i="2"/>
  <c r="AJ254" i="2"/>
  <c r="M36" i="1"/>
  <c r="M35" i="1"/>
  <c r="M147" i="2"/>
  <c r="M163" i="2"/>
  <c r="M148" i="2"/>
  <c r="M42" i="1"/>
  <c r="N145" i="2"/>
  <c r="M146" i="2"/>
  <c r="O22" i="1"/>
  <c r="O17" i="1"/>
  <c r="K57" i="1"/>
  <c r="K19" i="1"/>
  <c r="AD244" i="2"/>
  <c r="AD246" i="2"/>
  <c r="AD248" i="2"/>
  <c r="AD147" i="2"/>
  <c r="AD146" i="2"/>
  <c r="AD148" i="2"/>
  <c r="AD163" i="2"/>
  <c r="AH145" i="2"/>
  <c r="O64" i="2"/>
  <c r="O65" i="2"/>
  <c r="AL108" i="2"/>
  <c r="AL282" i="2"/>
  <c r="N253" i="2"/>
  <c r="N57" i="1"/>
  <c r="N255" i="2"/>
  <c r="N256" i="2"/>
  <c r="N254" i="2"/>
  <c r="N24" i="1"/>
  <c r="N19" i="1"/>
  <c r="Y147" i="2"/>
  <c r="AC145" i="2"/>
  <c r="Y163" i="2"/>
  <c r="AM310" i="2"/>
  <c r="AB163" i="2"/>
  <c r="AB146" i="2"/>
  <c r="AB148" i="2"/>
  <c r="AB147" i="2"/>
  <c r="AF145" i="2"/>
  <c r="AB145" i="2"/>
  <c r="AN81" i="2"/>
  <c r="AN80" i="2"/>
  <c r="AN119" i="2"/>
  <c r="AN216" i="2"/>
  <c r="AN314" i="2"/>
  <c r="AF244" i="2"/>
  <c r="AF246" i="2"/>
  <c r="AF248" i="2"/>
  <c r="AM119" i="2"/>
  <c r="AM81" i="2"/>
  <c r="AM117" i="2"/>
  <c r="AM80" i="2"/>
  <c r="AM216" i="2"/>
  <c r="AM296" i="2"/>
  <c r="AM314" i="2"/>
  <c r="AM188" i="2"/>
  <c r="AM280" i="2"/>
  <c r="AN194" i="2"/>
  <c r="AL117" i="2"/>
  <c r="AL119" i="2"/>
  <c r="AL81" i="2"/>
  <c r="AL80" i="2"/>
  <c r="AL110" i="2"/>
  <c r="AL216" i="2"/>
  <c r="AL105" i="2"/>
  <c r="AL323" i="2"/>
  <c r="AL314" i="2"/>
  <c r="AL199" i="2"/>
  <c r="K145" i="2"/>
  <c r="J36" i="1"/>
  <c r="J163" i="2"/>
  <c r="J148" i="2"/>
  <c r="J35" i="1"/>
  <c r="J147" i="2"/>
  <c r="J42" i="1"/>
  <c r="J146" i="2"/>
  <c r="S315" i="2"/>
  <c r="O90" i="2"/>
  <c r="P90" i="2"/>
  <c r="AK148" i="2"/>
  <c r="AK146" i="2"/>
  <c r="AK163" i="2"/>
  <c r="AK147" i="2"/>
  <c r="AK145" i="2"/>
  <c r="AM107" i="2"/>
  <c r="AF163" i="2"/>
  <c r="AF147" i="2"/>
  <c r="AJ145" i="2"/>
  <c r="AF148" i="2"/>
  <c r="AF146" i="2"/>
  <c r="R189" i="2"/>
  <c r="AI147" i="2"/>
  <c r="AI163" i="2"/>
  <c r="AI164" i="2"/>
  <c r="AI146" i="2"/>
  <c r="AI148" i="2"/>
  <c r="M19" i="1"/>
  <c r="AD256" i="2"/>
  <c r="AD253" i="2"/>
  <c r="AD255" i="2"/>
  <c r="AD254" i="2"/>
  <c r="N163" i="2"/>
  <c r="N147" i="2"/>
  <c r="N35" i="1"/>
  <c r="N146" i="2"/>
  <c r="N36" i="1"/>
  <c r="N148" i="2"/>
  <c r="N42" i="1"/>
  <c r="AK248" i="2"/>
  <c r="AL243" i="2"/>
  <c r="N20" i="1"/>
  <c r="N244" i="2"/>
  <c r="N246" i="2"/>
  <c r="N248" i="2"/>
  <c r="AJ147" i="2"/>
  <c r="AJ148" i="2"/>
  <c r="AJ163" i="2"/>
  <c r="AJ146" i="2"/>
  <c r="R37" i="2"/>
  <c r="Q39" i="2"/>
  <c r="P175" i="2"/>
  <c r="AN107" i="2"/>
  <c r="AF254" i="2"/>
  <c r="AF253" i="2"/>
  <c r="AF255" i="2"/>
  <c r="AF256" i="2"/>
  <c r="AD145" i="2"/>
  <c r="Z163" i="2"/>
  <c r="Z147" i="2"/>
  <c r="AM323" i="2"/>
  <c r="P54" i="2"/>
  <c r="P69" i="2"/>
  <c r="AE167" i="2"/>
  <c r="AE165" i="2"/>
  <c r="P44" i="2"/>
  <c r="O61" i="2"/>
  <c r="O97" i="2"/>
  <c r="P72" i="2"/>
  <c r="Q72" i="2"/>
  <c r="AN192" i="2"/>
  <c r="P53" i="2"/>
  <c r="Q40" i="2"/>
  <c r="Q46" i="2"/>
  <c r="R46" i="2"/>
  <c r="O71" i="2"/>
  <c r="P42" i="2"/>
  <c r="O79" i="2"/>
  <c r="P63" i="2"/>
  <c r="P65" i="2"/>
  <c r="P45" i="2"/>
  <c r="O96" i="2"/>
  <c r="P96" i="2"/>
  <c r="Q96" i="2"/>
  <c r="O188" i="2"/>
  <c r="Q50" i="2"/>
  <c r="Q66" i="2"/>
  <c r="Q68" i="2"/>
  <c r="AN132" i="2"/>
  <c r="AN136" i="2"/>
  <c r="O185" i="2"/>
  <c r="R214" i="2"/>
  <c r="Q222" i="2"/>
  <c r="AM194" i="2"/>
  <c r="O194" i="2"/>
  <c r="P70" i="2"/>
  <c r="P71" i="2"/>
  <c r="P178" i="2"/>
  <c r="P9" i="1"/>
  <c r="P10" i="1"/>
  <c r="P173" i="2"/>
  <c r="Q175" i="2"/>
  <c r="AL225" i="2"/>
  <c r="AL132" i="2"/>
  <c r="AL121" i="2"/>
  <c r="AN117" i="2"/>
  <c r="O117" i="2"/>
  <c r="AM121" i="2"/>
  <c r="AM124" i="2"/>
  <c r="AB165" i="2"/>
  <c r="AF164" i="2"/>
  <c r="AB164" i="2"/>
  <c r="AB167" i="2"/>
  <c r="M165" i="2"/>
  <c r="M164" i="2"/>
  <c r="M39" i="1"/>
  <c r="S36" i="2"/>
  <c r="AM132" i="2"/>
  <c r="AM136" i="2"/>
  <c r="AM225" i="2"/>
  <c r="AN108" i="2"/>
  <c r="AN282" i="2"/>
  <c r="O282" i="2"/>
  <c r="AF167" i="2"/>
  <c r="AF165" i="2"/>
  <c r="AJ164" i="2"/>
  <c r="AK167" i="2"/>
  <c r="AK165" i="2"/>
  <c r="AK164" i="2"/>
  <c r="AN110" i="2"/>
  <c r="Y167" i="2"/>
  <c r="T43" i="1"/>
  <c r="T42" i="1"/>
  <c r="AC164" i="2"/>
  <c r="AL195" i="2"/>
  <c r="L165" i="2"/>
  <c r="L164" i="2"/>
  <c r="L39" i="1"/>
  <c r="O293" i="2"/>
  <c r="AN294" i="2"/>
  <c r="Q54" i="2"/>
  <c r="P57" i="2"/>
  <c r="AI167" i="2"/>
  <c r="AI165" i="2"/>
  <c r="J164" i="2"/>
  <c r="J39" i="1"/>
  <c r="J165" i="2"/>
  <c r="R102" i="2"/>
  <c r="S189" i="2"/>
  <c r="P67" i="2"/>
  <c r="P68" i="2"/>
  <c r="AM108" i="2"/>
  <c r="AM282" i="2"/>
  <c r="AM196" i="2"/>
  <c r="AD167" i="2"/>
  <c r="AD165" i="2"/>
  <c r="AH164" i="2"/>
  <c r="K165" i="2"/>
  <c r="AH167" i="2"/>
  <c r="AH165" i="2"/>
  <c r="AN225" i="2"/>
  <c r="AD164" i="2"/>
  <c r="Z167" i="2"/>
  <c r="R39" i="2"/>
  <c r="S37" i="2"/>
  <c r="AJ165" i="2"/>
  <c r="AJ167" i="2"/>
  <c r="N164" i="2"/>
  <c r="N39" i="1"/>
  <c r="N165" i="2"/>
  <c r="R40" i="2"/>
  <c r="P89" i="2"/>
  <c r="P91" i="2"/>
  <c r="Q90" i="2"/>
  <c r="AL113" i="2"/>
  <c r="AL111" i="2"/>
  <c r="AL112" i="2"/>
  <c r="AL114" i="2"/>
  <c r="O119" i="2"/>
  <c r="AM199" i="2"/>
  <c r="AM110" i="2"/>
  <c r="AN199" i="2"/>
  <c r="O314" i="2"/>
  <c r="O81" i="2"/>
  <c r="K164" i="2"/>
  <c r="K39" i="1"/>
  <c r="P58" i="2"/>
  <c r="AN196" i="2"/>
  <c r="O310" i="2"/>
  <c r="AC165" i="2"/>
  <c r="AG164" i="2"/>
  <c r="AC167" i="2"/>
  <c r="AG165" i="2"/>
  <c r="P230" i="2"/>
  <c r="AM192" i="2"/>
  <c r="P92" i="2"/>
  <c r="O98" i="2"/>
  <c r="P64" i="2"/>
  <c r="Q67" i="2"/>
  <c r="Q53" i="2"/>
  <c r="P73" i="2"/>
  <c r="O192" i="2"/>
  <c r="O297" i="2"/>
  <c r="P297" i="2"/>
  <c r="Q297" i="2"/>
  <c r="O93" i="2"/>
  <c r="Q58" i="2"/>
  <c r="Q59" i="2"/>
  <c r="Q63" i="2"/>
  <c r="Q65" i="2"/>
  <c r="Q49" i="2"/>
  <c r="Q73" i="2"/>
  <c r="P79" i="2"/>
  <c r="P80" i="2"/>
  <c r="P53" i="1"/>
  <c r="P101" i="2"/>
  <c r="R50" i="2"/>
  <c r="R66" i="2"/>
  <c r="R67" i="2"/>
  <c r="Q69" i="2"/>
  <c r="Q70" i="2"/>
  <c r="O105" i="2"/>
  <c r="O110" i="2"/>
  <c r="O114" i="2"/>
  <c r="Q43" i="2"/>
  <c r="O353" i="2"/>
  <c r="O120" i="2"/>
  <c r="P120" i="2"/>
  <c r="Q120" i="2"/>
  <c r="Q42" i="2"/>
  <c r="O325" i="2"/>
  <c r="P325" i="2"/>
  <c r="Q325" i="2"/>
  <c r="O80" i="2"/>
  <c r="O53" i="1"/>
  <c r="O216" i="2"/>
  <c r="O31" i="1"/>
  <c r="R72" i="2"/>
  <c r="R73" i="2"/>
  <c r="O108" i="2"/>
  <c r="O281" i="2"/>
  <c r="P281" i="2"/>
  <c r="Q281" i="2"/>
  <c r="R281" i="2"/>
  <c r="O100" i="2"/>
  <c r="Q101" i="2"/>
  <c r="Q103" i="2"/>
  <c r="AN195" i="2"/>
  <c r="O199" i="2"/>
  <c r="O196" i="2"/>
  <c r="R222" i="2"/>
  <c r="S214" i="2"/>
  <c r="S222" i="2"/>
  <c r="R68" i="2"/>
  <c r="O294" i="2"/>
  <c r="P185" i="2"/>
  <c r="AM266" i="2"/>
  <c r="AM238" i="2"/>
  <c r="R297" i="2"/>
  <c r="AM327" i="2"/>
  <c r="AM122" i="2"/>
  <c r="AL136" i="2"/>
  <c r="O132" i="2"/>
  <c r="S40" i="2"/>
  <c r="R42" i="2"/>
  <c r="R43" i="2"/>
  <c r="S46" i="2"/>
  <c r="R49" i="2"/>
  <c r="R63" i="2"/>
  <c r="S102" i="2"/>
  <c r="R101" i="2"/>
  <c r="AN112" i="2"/>
  <c r="AN113" i="2"/>
  <c r="AN111" i="2"/>
  <c r="AN114" i="2"/>
  <c r="O283" i="2"/>
  <c r="P283" i="2"/>
  <c r="AN118" i="2"/>
  <c r="AN121" i="2"/>
  <c r="AL266" i="2"/>
  <c r="O225" i="2"/>
  <c r="AL238" i="2"/>
  <c r="Q178" i="2"/>
  <c r="Q173" i="2"/>
  <c r="Q9" i="1"/>
  <c r="Q10" i="1"/>
  <c r="R175" i="2"/>
  <c r="Q230" i="2"/>
  <c r="P227" i="2"/>
  <c r="P228" i="2"/>
  <c r="P59" i="2"/>
  <c r="P61" i="2"/>
  <c r="AM114" i="2"/>
  <c r="AM113" i="2"/>
  <c r="AM111" i="2"/>
  <c r="AM112" i="2"/>
  <c r="R90" i="2"/>
  <c r="O311" i="2"/>
  <c r="P311" i="2"/>
  <c r="O32" i="1"/>
  <c r="Q45" i="2"/>
  <c r="AM312" i="2"/>
  <c r="AM126" i="2"/>
  <c r="R54" i="2"/>
  <c r="Q57" i="2"/>
  <c r="S50" i="2"/>
  <c r="S53" i="2"/>
  <c r="O118" i="2"/>
  <c r="P118" i="2"/>
  <c r="O121" i="2"/>
  <c r="R96" i="2"/>
  <c r="S39" i="2"/>
  <c r="AN266" i="2"/>
  <c r="AN238" i="2"/>
  <c r="AM195" i="2"/>
  <c r="AL327" i="2"/>
  <c r="AL122" i="2"/>
  <c r="AL124" i="2"/>
  <c r="P95" i="2"/>
  <c r="P22" i="1"/>
  <c r="P17" i="1"/>
  <c r="P100" i="2"/>
  <c r="Q95" i="2"/>
  <c r="Q97" i="2"/>
  <c r="Q61" i="2"/>
  <c r="Q71" i="2"/>
  <c r="O111" i="2"/>
  <c r="O54" i="1"/>
  <c r="Q64" i="2"/>
  <c r="Q89" i="2"/>
  <c r="Q91" i="2"/>
  <c r="O112" i="2"/>
  <c r="P119" i="2"/>
  <c r="P216" i="2"/>
  <c r="P93" i="2"/>
  <c r="P105" i="2"/>
  <c r="R53" i="2"/>
  <c r="Q44" i="2"/>
  <c r="P103" i="2"/>
  <c r="S72" i="2"/>
  <c r="S73" i="2"/>
  <c r="P323" i="2"/>
  <c r="P225" i="2"/>
  <c r="P266" i="2"/>
  <c r="P23" i="1"/>
  <c r="R58" i="2"/>
  <c r="R61" i="2"/>
  <c r="O113" i="2"/>
  <c r="O29" i="1"/>
  <c r="P188" i="2"/>
  <c r="P81" i="2"/>
  <c r="Q79" i="2"/>
  <c r="P296" i="2"/>
  <c r="P192" i="2"/>
  <c r="P314" i="2"/>
  <c r="P199" i="2"/>
  <c r="R103" i="2"/>
  <c r="P97" i="2"/>
  <c r="P280" i="2"/>
  <c r="O195" i="2"/>
  <c r="P293" i="2"/>
  <c r="P294" i="2"/>
  <c r="R69" i="2"/>
  <c r="R79" i="2"/>
  <c r="R89" i="2"/>
  <c r="R91" i="2"/>
  <c r="S90" i="2"/>
  <c r="Q22" i="1"/>
  <c r="Q17" i="1"/>
  <c r="O266" i="2"/>
  <c r="O238" i="2"/>
  <c r="R59" i="2"/>
  <c r="O133" i="2"/>
  <c r="P133" i="2"/>
  <c r="O136" i="2"/>
  <c r="AN267" i="2"/>
  <c r="AN270" i="2"/>
  <c r="AN269" i="2"/>
  <c r="AN268" i="2"/>
  <c r="Q311" i="2"/>
  <c r="AL270" i="2"/>
  <c r="AL269" i="2"/>
  <c r="AL268" i="2"/>
  <c r="AL267" i="2"/>
  <c r="R44" i="2"/>
  <c r="R45" i="2"/>
  <c r="S297" i="2"/>
  <c r="S96" i="2"/>
  <c r="R95" i="2"/>
  <c r="R97" i="2"/>
  <c r="R98" i="2"/>
  <c r="AL312" i="2"/>
  <c r="AM200" i="2"/>
  <c r="AM205" i="2"/>
  <c r="AL126" i="2"/>
  <c r="O122" i="2"/>
  <c r="O124" i="2"/>
  <c r="O126" i="2"/>
  <c r="AM130" i="2"/>
  <c r="AM157" i="2"/>
  <c r="AM128" i="2"/>
  <c r="AM129" i="2"/>
  <c r="AM138" i="2"/>
  <c r="AM150" i="2"/>
  <c r="AM127" i="2"/>
  <c r="S281" i="2"/>
  <c r="Q227" i="2"/>
  <c r="Q228" i="2"/>
  <c r="R230" i="2"/>
  <c r="AN327" i="2"/>
  <c r="AN122" i="2"/>
  <c r="AN124" i="2"/>
  <c r="S49" i="2"/>
  <c r="S63" i="2"/>
  <c r="S66" i="2"/>
  <c r="Q118" i="2"/>
  <c r="P117" i="2"/>
  <c r="S54" i="2"/>
  <c r="S57" i="2"/>
  <c r="R57" i="2"/>
  <c r="AM320" i="2"/>
  <c r="AM337" i="2"/>
  <c r="R120" i="2"/>
  <c r="R325" i="2"/>
  <c r="R173" i="2"/>
  <c r="R9" i="1"/>
  <c r="R10" i="1"/>
  <c r="R178" i="2"/>
  <c r="S175" i="2"/>
  <c r="Q283" i="2"/>
  <c r="R65" i="2"/>
  <c r="R64" i="2"/>
  <c r="S42" i="2"/>
  <c r="S43" i="2"/>
  <c r="P107" i="2"/>
  <c r="P310" i="2"/>
  <c r="AM269" i="2"/>
  <c r="AM270" i="2"/>
  <c r="AM268" i="2"/>
  <c r="AM267" i="2"/>
  <c r="Q93" i="2"/>
  <c r="Q104" i="2"/>
  <c r="P104" i="2"/>
  <c r="R104" i="2"/>
  <c r="R92" i="2"/>
  <c r="Q92" i="2"/>
  <c r="Q98" i="2"/>
  <c r="P98" i="2"/>
  <c r="Q314" i="2"/>
  <c r="Q199" i="2"/>
  <c r="Q296" i="2"/>
  <c r="Q323" i="2"/>
  <c r="Q225" i="2"/>
  <c r="Q266" i="2"/>
  <c r="Q268" i="2"/>
  <c r="Q107" i="2"/>
  <c r="Q108" i="2"/>
  <c r="P121" i="2"/>
  <c r="P122" i="2"/>
  <c r="P238" i="2"/>
  <c r="P268" i="2"/>
  <c r="P269" i="2"/>
  <c r="S101" i="2"/>
  <c r="S103" i="2"/>
  <c r="S104" i="2"/>
  <c r="Q119" i="2"/>
  <c r="Q100" i="2"/>
  <c r="Q81" i="2"/>
  <c r="Q105" i="2"/>
  <c r="Q188" i="2"/>
  <c r="Q80" i="2"/>
  <c r="Q53" i="1"/>
  <c r="Q280" i="2"/>
  <c r="Q194" i="2"/>
  <c r="Q216" i="2"/>
  <c r="R93" i="2"/>
  <c r="Q192" i="2"/>
  <c r="R71" i="2"/>
  <c r="S69" i="2"/>
  <c r="S71" i="2"/>
  <c r="P270" i="2"/>
  <c r="P31" i="1"/>
  <c r="P194" i="2"/>
  <c r="Q185" i="2"/>
  <c r="R70" i="2"/>
  <c r="R100" i="2"/>
  <c r="S58" i="2"/>
  <c r="S61" i="2"/>
  <c r="Q293" i="2"/>
  <c r="Q294" i="2"/>
  <c r="Q270" i="2"/>
  <c r="Q238" i="2"/>
  <c r="R107" i="2"/>
  <c r="P108" i="2"/>
  <c r="P110" i="2"/>
  <c r="P282" i="2"/>
  <c r="P195" i="2"/>
  <c r="R22" i="1"/>
  <c r="R17" i="1"/>
  <c r="Q117" i="2"/>
  <c r="R118" i="2"/>
  <c r="Q267" i="2"/>
  <c r="AM153" i="2"/>
  <c r="AM152" i="2"/>
  <c r="AM154" i="2"/>
  <c r="AM151" i="2"/>
  <c r="AM159" i="2"/>
  <c r="AM160" i="2"/>
  <c r="AM161" i="2"/>
  <c r="AM158" i="2"/>
  <c r="AL138" i="2"/>
  <c r="AL157" i="2"/>
  <c r="AL130" i="2"/>
  <c r="AL129" i="2"/>
  <c r="AL150" i="2"/>
  <c r="AL128" i="2"/>
  <c r="AL127" i="2"/>
  <c r="P132" i="2"/>
  <c r="P136" i="2"/>
  <c r="Q133" i="2"/>
  <c r="Q23" i="1"/>
  <c r="S64" i="2"/>
  <c r="S65" i="2"/>
  <c r="AN312" i="2"/>
  <c r="AN126" i="2"/>
  <c r="P196" i="2"/>
  <c r="P32" i="1"/>
  <c r="S45" i="2"/>
  <c r="S44" i="2"/>
  <c r="R81" i="2"/>
  <c r="R80" i="2"/>
  <c r="R53" i="1"/>
  <c r="R216" i="2"/>
  <c r="R314" i="2"/>
  <c r="R188" i="2"/>
  <c r="R283" i="2"/>
  <c r="S120" i="2"/>
  <c r="R119" i="2"/>
  <c r="S67" i="2"/>
  <c r="S68" i="2"/>
  <c r="R280" i="2"/>
  <c r="AM140" i="2"/>
  <c r="AM144" i="2"/>
  <c r="AL200" i="2"/>
  <c r="AL320" i="2"/>
  <c r="AL337" i="2"/>
  <c r="R296" i="2"/>
  <c r="R105" i="2"/>
  <c r="S178" i="2"/>
  <c r="S9" i="1"/>
  <c r="S10" i="1"/>
  <c r="S173" i="2"/>
  <c r="R323" i="2"/>
  <c r="R225" i="2"/>
  <c r="R266" i="2"/>
  <c r="R23" i="1"/>
  <c r="S325" i="2"/>
  <c r="S230" i="2"/>
  <c r="R227" i="2"/>
  <c r="R228" i="2"/>
  <c r="O150" i="2"/>
  <c r="O157" i="2"/>
  <c r="O128" i="2"/>
  <c r="O127" i="2"/>
  <c r="O130" i="2"/>
  <c r="O129" i="2"/>
  <c r="O30" i="1"/>
  <c r="O138" i="2"/>
  <c r="R311" i="2"/>
  <c r="O270" i="2"/>
  <c r="O269" i="2"/>
  <c r="P267" i="2"/>
  <c r="P18" i="1"/>
  <c r="O268" i="2"/>
  <c r="O267" i="2"/>
  <c r="O23" i="1"/>
  <c r="S89" i="2"/>
  <c r="S91" i="2"/>
  <c r="S92" i="2"/>
  <c r="Q269" i="2"/>
  <c r="Q110" i="2"/>
  <c r="Q114" i="2"/>
  <c r="Q310" i="2"/>
  <c r="Q196" i="2"/>
  <c r="Q282" i="2"/>
  <c r="Q195" i="2"/>
  <c r="R199" i="2"/>
  <c r="Q121" i="2"/>
  <c r="Q122" i="2"/>
  <c r="P124" i="2"/>
  <c r="P126" i="2"/>
  <c r="P138" i="2"/>
  <c r="Q31" i="1"/>
  <c r="R194" i="2"/>
  <c r="S79" i="2"/>
  <c r="S280" i="2"/>
  <c r="S70" i="2"/>
  <c r="S93" i="2"/>
  <c r="R238" i="2"/>
  <c r="S59" i="2"/>
  <c r="S95" i="2"/>
  <c r="S97" i="2"/>
  <c r="S98" i="2"/>
  <c r="S296" i="2"/>
  <c r="S192" i="2"/>
  <c r="Q18" i="1"/>
  <c r="R267" i="2"/>
  <c r="R18" i="1"/>
  <c r="R185" i="2"/>
  <c r="R293" i="2"/>
  <c r="R294" i="2"/>
  <c r="AN200" i="2"/>
  <c r="AN205" i="2"/>
  <c r="O312" i="2"/>
  <c r="O313" i="2"/>
  <c r="AN320" i="2"/>
  <c r="AN337" i="2"/>
  <c r="AL205" i="2"/>
  <c r="S194" i="2"/>
  <c r="P113" i="2"/>
  <c r="P29" i="1"/>
  <c r="P112" i="2"/>
  <c r="P111" i="2"/>
  <c r="P54" i="1"/>
  <c r="P114" i="2"/>
  <c r="S22" i="1"/>
  <c r="S17" i="1"/>
  <c r="Q132" i="2"/>
  <c r="Q136" i="2"/>
  <c r="R133" i="2"/>
  <c r="AL159" i="2"/>
  <c r="AL160" i="2"/>
  <c r="AL161" i="2"/>
  <c r="AL158" i="2"/>
  <c r="R108" i="2"/>
  <c r="O159" i="2"/>
  <c r="O160" i="2"/>
  <c r="O161" i="2"/>
  <c r="O158" i="2"/>
  <c r="AM146" i="2"/>
  <c r="AM163" i="2"/>
  <c r="AM148" i="2"/>
  <c r="AM184" i="2"/>
  <c r="AM207" i="2"/>
  <c r="AM147" i="2"/>
  <c r="AM145" i="2"/>
  <c r="S283" i="2"/>
  <c r="R282" i="2"/>
  <c r="R31" i="1"/>
  <c r="R110" i="2"/>
  <c r="AL153" i="2"/>
  <c r="AL154" i="2"/>
  <c r="AL152" i="2"/>
  <c r="AL151" i="2"/>
  <c r="AL140" i="2"/>
  <c r="AL144" i="2"/>
  <c r="R117" i="2"/>
  <c r="R121" i="2"/>
  <c r="R122" i="2"/>
  <c r="S118" i="2"/>
  <c r="S117" i="2"/>
  <c r="O18" i="1"/>
  <c r="R310" i="2"/>
  <c r="R196" i="2"/>
  <c r="S311" i="2"/>
  <c r="O154" i="2"/>
  <c r="O153" i="2"/>
  <c r="O152" i="2"/>
  <c r="O151" i="2"/>
  <c r="O55" i="1"/>
  <c r="S227" i="2"/>
  <c r="S228" i="2"/>
  <c r="R268" i="2"/>
  <c r="R269" i="2"/>
  <c r="R270" i="2"/>
  <c r="R192" i="2"/>
  <c r="AN130" i="2"/>
  <c r="AN150" i="2"/>
  <c r="AN129" i="2"/>
  <c r="AN138" i="2"/>
  <c r="AN157" i="2"/>
  <c r="AN128" i="2"/>
  <c r="AN127" i="2"/>
  <c r="S81" i="2"/>
  <c r="S31" i="1"/>
  <c r="S314" i="2"/>
  <c r="S199" i="2"/>
  <c r="S216" i="2"/>
  <c r="S105" i="2"/>
  <c r="S100" i="2"/>
  <c r="Q124" i="2"/>
  <c r="Q126" i="2"/>
  <c r="P150" i="2"/>
  <c r="P151" i="2"/>
  <c r="P55" i="1"/>
  <c r="Q112" i="2"/>
  <c r="Q113" i="2"/>
  <c r="Q29" i="1"/>
  <c r="Q111" i="2"/>
  <c r="Q54" i="1"/>
  <c r="Q32" i="1"/>
  <c r="P157" i="2"/>
  <c r="P158" i="2"/>
  <c r="P129" i="2"/>
  <c r="P30" i="1"/>
  <c r="P130" i="2"/>
  <c r="P127" i="2"/>
  <c r="S107" i="2"/>
  <c r="S282" i="2"/>
  <c r="S195" i="2"/>
  <c r="P128" i="2"/>
  <c r="S188" i="2"/>
  <c r="S80" i="2"/>
  <c r="S53" i="1"/>
  <c r="S323" i="2"/>
  <c r="S225" i="2"/>
  <c r="S266" i="2"/>
  <c r="S23" i="1"/>
  <c r="S119" i="2"/>
  <c r="S121" i="2"/>
  <c r="O200" i="2"/>
  <c r="O205" i="2"/>
  <c r="R32" i="1"/>
  <c r="S185" i="2"/>
  <c r="S293" i="2"/>
  <c r="S294" i="2"/>
  <c r="Q138" i="2"/>
  <c r="Q130" i="2"/>
  <c r="Q157" i="2"/>
  <c r="Q128" i="2"/>
  <c r="Q150" i="2"/>
  <c r="Q129" i="2"/>
  <c r="Q30" i="1"/>
  <c r="Q127" i="2"/>
  <c r="AN140" i="2"/>
  <c r="AN144" i="2"/>
  <c r="AL148" i="2"/>
  <c r="AL184" i="2"/>
  <c r="AL147" i="2"/>
  <c r="AL163" i="2"/>
  <c r="AL146" i="2"/>
  <c r="AL145" i="2"/>
  <c r="AM210" i="2"/>
  <c r="AM208" i="2"/>
  <c r="AM252" i="2"/>
  <c r="AM211" i="2"/>
  <c r="AM242" i="2"/>
  <c r="AM209" i="2"/>
  <c r="AM212" i="2"/>
  <c r="R124" i="2"/>
  <c r="R126" i="2"/>
  <c r="AN152" i="2"/>
  <c r="AN154" i="2"/>
  <c r="AN153" i="2"/>
  <c r="AN151" i="2"/>
  <c r="P313" i="2"/>
  <c r="O320" i="2"/>
  <c r="P152" i="2"/>
  <c r="P153" i="2"/>
  <c r="P154" i="2"/>
  <c r="R132" i="2"/>
  <c r="R136" i="2"/>
  <c r="S133" i="2"/>
  <c r="AN160" i="2"/>
  <c r="AN161" i="2"/>
  <c r="AN159" i="2"/>
  <c r="AN158" i="2"/>
  <c r="R114" i="2"/>
  <c r="R111" i="2"/>
  <c r="R54" i="1"/>
  <c r="R112" i="2"/>
  <c r="R113" i="2"/>
  <c r="R29" i="1"/>
  <c r="AM165" i="2"/>
  <c r="AM167" i="2"/>
  <c r="AM164" i="2"/>
  <c r="P161" i="2"/>
  <c r="R195" i="2"/>
  <c r="Q158" i="2"/>
  <c r="S269" i="2"/>
  <c r="P160" i="2"/>
  <c r="P159" i="2"/>
  <c r="S310" i="2"/>
  <c r="S32" i="1"/>
  <c r="S110" i="2"/>
  <c r="S108" i="2"/>
  <c r="S132" i="2"/>
  <c r="S136" i="2"/>
  <c r="S238" i="2"/>
  <c r="S267" i="2"/>
  <c r="S18" i="1"/>
  <c r="S268" i="2"/>
  <c r="S270" i="2"/>
  <c r="S124" i="2"/>
  <c r="S126" i="2"/>
  <c r="S157" i="2"/>
  <c r="S122" i="2"/>
  <c r="O140" i="2"/>
  <c r="O141" i="2"/>
  <c r="P141" i="2"/>
  <c r="AN148" i="2"/>
  <c r="AN184" i="2"/>
  <c r="AN207" i="2"/>
  <c r="AN163" i="2"/>
  <c r="AN146" i="2"/>
  <c r="AN147" i="2"/>
  <c r="AN145" i="2"/>
  <c r="P312" i="2"/>
  <c r="P200" i="2"/>
  <c r="P205" i="2"/>
  <c r="Q313" i="2"/>
  <c r="R130" i="2"/>
  <c r="R157" i="2"/>
  <c r="R158" i="2"/>
  <c r="R129" i="2"/>
  <c r="R30" i="1"/>
  <c r="R127" i="2"/>
  <c r="R150" i="2"/>
  <c r="R138" i="2"/>
  <c r="R128" i="2"/>
  <c r="AM255" i="2"/>
  <c r="AM253" i="2"/>
  <c r="AM256" i="2"/>
  <c r="AM254" i="2"/>
  <c r="AL349" i="2"/>
  <c r="AL207" i="2"/>
  <c r="Q154" i="2"/>
  <c r="Q152" i="2"/>
  <c r="Q153" i="2"/>
  <c r="Q151" i="2"/>
  <c r="Q55" i="1"/>
  <c r="AL165" i="2"/>
  <c r="AL167" i="2"/>
  <c r="AL164" i="2"/>
  <c r="Q159" i="2"/>
  <c r="Q161" i="2"/>
  <c r="Q160" i="2"/>
  <c r="S138" i="2"/>
  <c r="S150" i="2"/>
  <c r="S154" i="2"/>
  <c r="S128" i="2"/>
  <c r="S196" i="2"/>
  <c r="S127" i="2"/>
  <c r="S114" i="2"/>
  <c r="S112" i="2"/>
  <c r="S111" i="2"/>
  <c r="S54" i="1"/>
  <c r="S113" i="2"/>
  <c r="S29" i="1"/>
  <c r="S130" i="2"/>
  <c r="S129" i="2"/>
  <c r="S30" i="1"/>
  <c r="O184" i="2"/>
  <c r="O349" i="2"/>
  <c r="O144" i="2"/>
  <c r="O148" i="2"/>
  <c r="AL208" i="2"/>
  <c r="AL212" i="2"/>
  <c r="AL211" i="2"/>
  <c r="AL210" i="2"/>
  <c r="AL242" i="2"/>
  <c r="AL209" i="2"/>
  <c r="AL252" i="2"/>
  <c r="O207" i="2"/>
  <c r="S160" i="2"/>
  <c r="S159" i="2"/>
  <c r="S161" i="2"/>
  <c r="R154" i="2"/>
  <c r="R153" i="2"/>
  <c r="R151" i="2"/>
  <c r="R55" i="1"/>
  <c r="R152" i="2"/>
  <c r="AM349" i="2"/>
  <c r="AM353" i="2"/>
  <c r="AL350" i="2"/>
  <c r="AL353" i="2"/>
  <c r="AN165" i="2"/>
  <c r="AN167" i="2"/>
  <c r="AN164" i="2"/>
  <c r="Q141" i="2"/>
  <c r="P140" i="2"/>
  <c r="P144" i="2"/>
  <c r="P320" i="2"/>
  <c r="P337" i="2"/>
  <c r="AN242" i="2"/>
  <c r="AN252" i="2"/>
  <c r="AN209" i="2"/>
  <c r="AN212" i="2"/>
  <c r="AN211" i="2"/>
  <c r="AN210" i="2"/>
  <c r="AN208" i="2"/>
  <c r="S153" i="2"/>
  <c r="R159" i="2"/>
  <c r="S158" i="2"/>
  <c r="R161" i="2"/>
  <c r="R160" i="2"/>
  <c r="R313" i="2"/>
  <c r="Q312" i="2"/>
  <c r="Q200" i="2"/>
  <c r="Q205" i="2"/>
  <c r="O163" i="2"/>
  <c r="O164" i="2"/>
  <c r="S152" i="2"/>
  <c r="S151" i="2"/>
  <c r="S55" i="1"/>
  <c r="O145" i="2"/>
  <c r="O147" i="2"/>
  <c r="O167" i="2"/>
  <c r="O42" i="1"/>
  <c r="O35" i="1"/>
  <c r="O146" i="2"/>
  <c r="Q320" i="2"/>
  <c r="Q337" i="2"/>
  <c r="O208" i="2"/>
  <c r="O210" i="2"/>
  <c r="O209" i="2"/>
  <c r="O56" i="1"/>
  <c r="O211" i="2"/>
  <c r="O212" i="2"/>
  <c r="O252" i="2"/>
  <c r="O242" i="2"/>
  <c r="S313" i="2"/>
  <c r="R312" i="2"/>
  <c r="R200" i="2"/>
  <c r="R205" i="2"/>
  <c r="AN256" i="2"/>
  <c r="AN254" i="2"/>
  <c r="AN255" i="2"/>
  <c r="AN253" i="2"/>
  <c r="P184" i="2"/>
  <c r="P146" i="2"/>
  <c r="P163" i="2"/>
  <c r="P167" i="2"/>
  <c r="P147" i="2"/>
  <c r="P148" i="2"/>
  <c r="P42" i="1"/>
  <c r="P145" i="2"/>
  <c r="AL255" i="2"/>
  <c r="AL254" i="2"/>
  <c r="AL256" i="2"/>
  <c r="AL253" i="2"/>
  <c r="R141" i="2"/>
  <c r="Q140" i="2"/>
  <c r="Q144" i="2"/>
  <c r="AM350" i="2"/>
  <c r="AN349" i="2"/>
  <c r="AN350" i="2"/>
  <c r="AL246" i="2"/>
  <c r="AM243" i="2"/>
  <c r="AL244" i="2"/>
  <c r="AL277" i="2"/>
  <c r="O165" i="2"/>
  <c r="O39" i="1"/>
  <c r="AN353" i="2"/>
  <c r="AL278" i="2"/>
  <c r="AL290" i="2"/>
  <c r="AL306" i="2"/>
  <c r="AL351" i="2"/>
  <c r="AL247" i="2"/>
  <c r="AL248" i="2"/>
  <c r="S312" i="2"/>
  <c r="S200" i="2"/>
  <c r="S205" i="2"/>
  <c r="AM244" i="2"/>
  <c r="AM277" i="2"/>
  <c r="AM246" i="2"/>
  <c r="AN243" i="2"/>
  <c r="Q184" i="2"/>
  <c r="Q207" i="2"/>
  <c r="Q148" i="2"/>
  <c r="Q146" i="2"/>
  <c r="Q167" i="2"/>
  <c r="Q163" i="2"/>
  <c r="Q147" i="2"/>
  <c r="Q42" i="1"/>
  <c r="P165" i="2"/>
  <c r="P164" i="2"/>
  <c r="P39" i="1"/>
  <c r="P207" i="2"/>
  <c r="P349" i="2"/>
  <c r="O244" i="2"/>
  <c r="O277" i="2"/>
  <c r="O246" i="2"/>
  <c r="S141" i="2"/>
  <c r="S140" i="2"/>
  <c r="S144" i="2"/>
  <c r="R140" i="2"/>
  <c r="R144" i="2"/>
  <c r="R145" i="2"/>
  <c r="Q145" i="2"/>
  <c r="R320" i="2"/>
  <c r="R337" i="2"/>
  <c r="O256" i="2"/>
  <c r="O254" i="2"/>
  <c r="O253" i="2"/>
  <c r="O57" i="1"/>
  <c r="O255" i="2"/>
  <c r="S148" i="2"/>
  <c r="S147" i="2"/>
  <c r="S184" i="2"/>
  <c r="S207" i="2"/>
  <c r="S163" i="2"/>
  <c r="S146" i="2"/>
  <c r="S167" i="2"/>
  <c r="S42" i="1"/>
  <c r="Q211" i="2"/>
  <c r="Q242" i="2"/>
  <c r="Q208" i="2"/>
  <c r="Q212" i="2"/>
  <c r="Q252" i="2"/>
  <c r="Q210" i="2"/>
  <c r="Q209" i="2"/>
  <c r="Q56" i="1"/>
  <c r="Q165" i="2"/>
  <c r="Q164" i="2"/>
  <c r="AN246" i="2"/>
  <c r="AN244" i="2"/>
  <c r="AN277" i="2"/>
  <c r="P210" i="2"/>
  <c r="P212" i="2"/>
  <c r="P252" i="2"/>
  <c r="P242" i="2"/>
  <c r="P208" i="2"/>
  <c r="P209" i="2"/>
  <c r="P56" i="1"/>
  <c r="P211" i="2"/>
  <c r="O278" i="2"/>
  <c r="O290" i="2"/>
  <c r="O306" i="2"/>
  <c r="O324" i="2"/>
  <c r="O337" i="2"/>
  <c r="O350" i="2"/>
  <c r="O36" i="1"/>
  <c r="P243" i="2"/>
  <c r="O12" i="1"/>
  <c r="O13" i="1"/>
  <c r="O247" i="2"/>
  <c r="O248" i="2"/>
  <c r="AM247" i="2"/>
  <c r="AM248" i="2"/>
  <c r="AM278" i="2"/>
  <c r="AM290" i="2"/>
  <c r="AM306" i="2"/>
  <c r="AM351" i="2"/>
  <c r="R148" i="2"/>
  <c r="R146" i="2"/>
  <c r="R167" i="2"/>
  <c r="R147" i="2"/>
  <c r="S145" i="2"/>
  <c r="R163" i="2"/>
  <c r="R184" i="2"/>
  <c r="R207" i="2"/>
  <c r="R42" i="1"/>
  <c r="P350" i="2"/>
  <c r="P36" i="1"/>
  <c r="Q349" i="2"/>
  <c r="P35" i="1"/>
  <c r="Q39" i="1"/>
  <c r="S320" i="2"/>
  <c r="S337" i="2"/>
  <c r="O51" i="1"/>
  <c r="O49" i="1"/>
  <c r="O47" i="1"/>
  <c r="O45" i="1"/>
  <c r="O351" i="2"/>
  <c r="S210" i="2"/>
  <c r="S209" i="2"/>
  <c r="S56" i="1"/>
  <c r="S212" i="2"/>
  <c r="S252" i="2"/>
  <c r="S208" i="2"/>
  <c r="S242" i="2"/>
  <c r="S211" i="2"/>
  <c r="R208" i="2"/>
  <c r="R242" i="2"/>
  <c r="R212" i="2"/>
  <c r="R211" i="2"/>
  <c r="R209" i="2"/>
  <c r="R56" i="1"/>
  <c r="R252" i="2"/>
  <c r="R210" i="2"/>
  <c r="O50" i="1"/>
  <c r="O44" i="1"/>
  <c r="O25" i="1"/>
  <c r="O20" i="1"/>
  <c r="O46" i="1"/>
  <c r="O48" i="1"/>
  <c r="O24" i="1"/>
  <c r="O19" i="1"/>
  <c r="P253" i="2"/>
  <c r="P57" i="1"/>
  <c r="P254" i="2"/>
  <c r="P256" i="2"/>
  <c r="P255" i="2"/>
  <c r="AN278" i="2"/>
  <c r="AN290" i="2"/>
  <c r="AN306" i="2"/>
  <c r="AN351" i="2"/>
  <c r="AN247" i="2"/>
  <c r="AN248" i="2"/>
  <c r="R349" i="2"/>
  <c r="Q350" i="2"/>
  <c r="Q36" i="1"/>
  <c r="Q35" i="1"/>
  <c r="R164" i="2"/>
  <c r="R39" i="1"/>
  <c r="R165" i="2"/>
  <c r="P246" i="2"/>
  <c r="P244" i="2"/>
  <c r="P277" i="2"/>
  <c r="Q255" i="2"/>
  <c r="Q253" i="2"/>
  <c r="Q57" i="1"/>
  <c r="Q256" i="2"/>
  <c r="Q254" i="2"/>
  <c r="S164" i="2"/>
  <c r="S39" i="1"/>
  <c r="S165" i="2"/>
  <c r="R350" i="2"/>
  <c r="R36" i="1"/>
  <c r="S349" i="2"/>
  <c r="R35" i="1"/>
  <c r="P12" i="1"/>
  <c r="P13" i="1"/>
  <c r="P247" i="2"/>
  <c r="P248" i="2"/>
  <c r="Q243" i="2"/>
  <c r="P278" i="2"/>
  <c r="P290" i="2"/>
  <c r="P306" i="2"/>
  <c r="P351" i="2"/>
  <c r="R256" i="2"/>
  <c r="R255" i="2"/>
  <c r="R253" i="2"/>
  <c r="R57" i="1"/>
  <c r="R254" i="2"/>
  <c r="S254" i="2"/>
  <c r="S255" i="2"/>
  <c r="S253" i="2"/>
  <c r="S57" i="1"/>
  <c r="S256" i="2"/>
  <c r="Q244" i="2"/>
  <c r="Q277" i="2"/>
  <c r="Q246" i="2"/>
  <c r="S350" i="2"/>
  <c r="S36" i="1"/>
  <c r="S35" i="1"/>
  <c r="P48" i="1"/>
  <c r="P25" i="1"/>
  <c r="P20" i="1"/>
  <c r="P44" i="1"/>
  <c r="P50" i="1"/>
  <c r="P24" i="1"/>
  <c r="P19" i="1"/>
  <c r="P46" i="1"/>
  <c r="R243" i="2"/>
  <c r="Q247" i="2"/>
  <c r="Q248" i="2"/>
  <c r="Q278" i="2"/>
  <c r="Q290" i="2"/>
  <c r="Q306" i="2"/>
  <c r="Q351" i="2"/>
  <c r="Q12" i="1"/>
  <c r="Q13" i="1"/>
  <c r="Q44" i="1"/>
  <c r="Q48" i="1"/>
  <c r="Q25" i="1"/>
  <c r="Q20" i="1"/>
  <c r="Q50" i="1"/>
  <c r="Q46" i="1"/>
  <c r="Q24" i="1"/>
  <c r="Q19" i="1"/>
  <c r="Q6" i="1"/>
  <c r="Q7" i="1"/>
  <c r="R244" i="2"/>
  <c r="R277" i="2"/>
  <c r="R246" i="2"/>
  <c r="R247" i="2"/>
  <c r="R248" i="2"/>
  <c r="R278" i="2"/>
  <c r="R290" i="2"/>
  <c r="R306" i="2"/>
  <c r="R351" i="2"/>
  <c r="R12" i="1"/>
  <c r="R13" i="1"/>
  <c r="S243" i="2"/>
  <c r="S246" i="2"/>
  <c r="S244" i="2"/>
  <c r="S277" i="2"/>
  <c r="R50" i="1"/>
  <c r="R44" i="1"/>
  <c r="R25" i="1"/>
  <c r="R20" i="1"/>
  <c r="R46" i="1"/>
  <c r="R48" i="1"/>
  <c r="R24" i="1"/>
  <c r="R19" i="1"/>
  <c r="R6" i="1"/>
  <c r="R7" i="1"/>
  <c r="S247" i="2"/>
  <c r="S248" i="2"/>
  <c r="S278" i="2"/>
  <c r="S290" i="2"/>
  <c r="S306" i="2"/>
  <c r="S351" i="2"/>
  <c r="S12" i="1"/>
  <c r="S13" i="1"/>
  <c r="S25" i="1"/>
  <c r="S20" i="1"/>
  <c r="S46" i="1"/>
  <c r="S24" i="1"/>
  <c r="S19" i="1"/>
  <c r="S6" i="1"/>
  <c r="S7" i="1"/>
  <c r="S44" i="1"/>
  <c r="S48" i="1"/>
  <c r="S50" i="1"/>
</calcChain>
</file>

<file path=xl/comments1.xml><?xml version="1.0" encoding="utf-8"?>
<comments xmlns="http://schemas.openxmlformats.org/spreadsheetml/2006/main">
  <authors>
    <author>Bhardwaj</author>
    <author>Microsoft Office User</author>
    <author>Bhardwaj, Praveer</author>
    <author>Walt Roloson</author>
  </authors>
  <commentList>
    <comment ref="N5" authorId="0">
      <text>
        <r>
          <rPr>
            <b/>
            <sz val="9"/>
            <color indexed="81"/>
            <rFont val="Tahoma"/>
            <family val="2"/>
          </rPr>
          <t>Bhardwaj:</t>
        </r>
        <r>
          <rPr>
            <sz val="9"/>
            <color indexed="81"/>
            <rFont val="Tahoma"/>
            <family val="2"/>
          </rPr>
          <t xml:space="preserve">
as on 12/31/2015</t>
        </r>
      </text>
    </comment>
    <comment ref="O5" authorId="0">
      <text>
        <r>
          <rPr>
            <sz val="9"/>
            <color indexed="81"/>
            <rFont val="Tahoma"/>
            <family val="2"/>
          </rPr>
          <t>Updated May 2, 2016</t>
        </r>
      </text>
    </comment>
    <comment ref="Q6" authorId="1">
      <text>
        <r>
          <rPr>
            <b/>
            <sz val="10"/>
            <color indexed="81"/>
            <rFont val="Calibri"/>
            <family val="2"/>
          </rPr>
          <t>Microsoft Office User:</t>
        </r>
        <r>
          <rPr>
            <sz val="10"/>
            <color indexed="81"/>
            <rFont val="Calibri"/>
            <family val="2"/>
          </rPr>
          <t xml:space="preserve">
Expected fair value is 1.1x FCG</t>
        </r>
      </text>
    </comment>
    <comment ref="F18" authorId="2">
      <text>
        <r>
          <rPr>
            <b/>
            <sz val="9"/>
            <color indexed="81"/>
            <rFont val="Tahoma"/>
            <family val="2"/>
          </rPr>
          <t>Bhardwaj, Praveer:</t>
        </r>
        <r>
          <rPr>
            <sz val="9"/>
            <color indexed="81"/>
            <rFont val="Tahoma"/>
            <family val="2"/>
          </rPr>
          <t xml:space="preserve">
please check the for mat and *100</t>
        </r>
      </text>
    </comment>
    <comment ref="E28" authorId="3">
      <text>
        <r>
          <rPr>
            <b/>
            <sz val="9"/>
            <color indexed="81"/>
            <rFont val="Calibri"/>
            <family val="2"/>
          </rPr>
          <t>Walt Roloson:</t>
        </r>
        <r>
          <rPr>
            <sz val="9"/>
            <color indexed="81"/>
            <rFont val="Calibri"/>
            <family val="2"/>
          </rPr>
          <t xml:space="preserve">
Incremental Gross Margin / Sales, Marketing, General Expenses</t>
        </r>
      </text>
    </comment>
  </commentList>
</comments>
</file>

<file path=xl/comments2.xml><?xml version="1.0" encoding="utf-8"?>
<comments xmlns="http://schemas.openxmlformats.org/spreadsheetml/2006/main">
  <authors>
    <author>Bhardwaj, Praveer</author>
    <author>Microsoft Office User</author>
    <author>Bhardwaj</author>
  </authors>
  <commentList>
    <comment ref="AI7" authorId="0">
      <text>
        <r>
          <rPr>
            <b/>
            <sz val="9"/>
            <color indexed="81"/>
            <rFont val="Tahoma"/>
            <family val="2"/>
          </rPr>
          <t>Bhardwaj, Praveer:</t>
        </r>
        <r>
          <rPr>
            <sz val="9"/>
            <color indexed="81"/>
            <rFont val="Tahoma"/>
            <family val="2"/>
          </rPr>
          <t xml:space="preserve">
http://www.fool.com/investing/general/2016/01/26/how-many-prime-members-does-amazon-have-and-why-it.aspx</t>
        </r>
      </text>
    </comment>
    <comment ref="AJ7" authorId="1">
      <text>
        <r>
          <rPr>
            <b/>
            <sz val="10"/>
            <color indexed="81"/>
            <rFont val="Calibri"/>
            <family val="2"/>
          </rPr>
          <t>Microsoft Office User:</t>
        </r>
        <r>
          <rPr>
            <sz val="10"/>
            <color indexed="81"/>
            <rFont val="Calibri"/>
            <family val="2"/>
          </rPr>
          <t xml:space="preserve">
Walt saw an industry survey in 3/16 that referenced this number</t>
        </r>
      </text>
    </comment>
    <comment ref="AK8" authorId="0">
      <text>
        <r>
          <rPr>
            <b/>
            <sz val="9"/>
            <color indexed="81"/>
            <rFont val="Tahoma"/>
            <family val="2"/>
          </rPr>
          <t>Bhardwaj, Praveer:</t>
        </r>
        <r>
          <rPr>
            <sz val="9"/>
            <color indexed="81"/>
            <rFont val="Tahoma"/>
            <family val="2"/>
          </rPr>
          <t xml:space="preserve">
Average of FY2014 and FY2015 growth rate is close to management guidance.
Prime subscriptions were up 51% year-over-year in 2015, 47% of that was -- 47% in the U.S. and a higher rate than that internationally. </t>
        </r>
      </text>
    </comment>
    <comment ref="N9" authorId="0">
      <text>
        <r>
          <rPr>
            <b/>
            <sz val="9"/>
            <color indexed="81"/>
            <rFont val="Tahoma"/>
            <family val="2"/>
          </rPr>
          <t>Bhardwaj, Praveer:</t>
        </r>
        <r>
          <rPr>
            <sz val="9"/>
            <color indexed="81"/>
            <rFont val="Tahoma"/>
            <family val="2"/>
          </rPr>
          <t xml:space="preserve">
25 International</t>
        </r>
      </text>
    </comment>
    <comment ref="N15" authorId="2">
      <text>
        <r>
          <rPr>
            <b/>
            <sz val="9"/>
            <color indexed="81"/>
            <rFont val="Tahoma"/>
            <family val="2"/>
          </rPr>
          <t>Bhardwaj:</t>
        </r>
        <r>
          <rPr>
            <sz val="9"/>
            <color indexed="81"/>
            <rFont val="Tahoma"/>
            <family val="2"/>
          </rPr>
          <t xml:space="preserve">
http://www.mwpvl.com/html/amazon_com.html</t>
        </r>
      </text>
    </comment>
    <comment ref="K18" authorId="2">
      <text>
        <r>
          <rPr>
            <b/>
            <sz val="9"/>
            <color indexed="81"/>
            <rFont val="Tahoma"/>
            <family val="2"/>
          </rPr>
          <t>Bhardwaj:</t>
        </r>
        <r>
          <rPr>
            <sz val="9"/>
            <color indexed="81"/>
            <rFont val="Tahoma"/>
            <family val="2"/>
          </rPr>
          <t xml:space="preserve">
http://harish11g.blogspot.in/2012/07/amazon-availability-zones-aws-az.html</t>
        </r>
      </text>
    </comment>
    <comment ref="L18" authorId="2">
      <text>
        <r>
          <rPr>
            <b/>
            <sz val="9"/>
            <color indexed="81"/>
            <rFont val="Tahoma"/>
            <family val="2"/>
          </rPr>
          <t>Bhardwaj:</t>
        </r>
        <r>
          <rPr>
            <sz val="9"/>
            <color indexed="81"/>
            <rFont val="Tahoma"/>
            <family val="2"/>
          </rPr>
          <t xml:space="preserve">
http://www.allthingsdistributed.com/2013/11/rds-cross-region-replicas.html</t>
        </r>
      </text>
    </comment>
    <comment ref="M18" authorId="2">
      <text>
        <r>
          <rPr>
            <b/>
            <sz val="9"/>
            <color indexed="81"/>
            <rFont val="Tahoma"/>
            <family val="2"/>
          </rPr>
          <t>Bhardwaj:</t>
        </r>
        <r>
          <rPr>
            <sz val="9"/>
            <color indexed="81"/>
            <rFont val="Tahoma"/>
            <family val="2"/>
          </rPr>
          <t xml:space="preserve">
https://en.wikipedia.org/wiki/Amazon_Web_Services</t>
        </r>
      </text>
    </comment>
    <comment ref="N18" authorId="2">
      <text>
        <r>
          <rPr>
            <b/>
            <sz val="9"/>
            <color indexed="81"/>
            <rFont val="Tahoma"/>
            <family val="2"/>
          </rPr>
          <t>Bhardwaj:</t>
        </r>
        <r>
          <rPr>
            <sz val="9"/>
            <color indexed="81"/>
            <rFont val="Tahoma"/>
            <family val="2"/>
          </rPr>
          <t xml:space="preserve">
https://aws.amazon.com/about-aws/global-infrastructure/</t>
        </r>
      </text>
    </comment>
    <comment ref="AJ29" authorId="2">
      <text>
        <r>
          <rPr>
            <b/>
            <sz val="9"/>
            <color indexed="81"/>
            <rFont val="Tahoma"/>
            <family val="2"/>
          </rPr>
          <t>Bhardwaj:</t>
        </r>
        <r>
          <rPr>
            <sz val="9"/>
            <color indexed="81"/>
            <rFont val="Tahoma"/>
            <family val="2"/>
          </rPr>
          <t xml:space="preserve">
Ranked fourth with Unique Visitors/Viewers, Desktop and Mobile, Dec,2015</t>
        </r>
      </text>
    </comment>
    <comment ref="AK29" authorId="2">
      <text>
        <r>
          <rPr>
            <b/>
            <sz val="9"/>
            <color indexed="81"/>
            <rFont val="Tahoma"/>
            <family val="2"/>
          </rPr>
          <t>Bhardwaj:</t>
        </r>
        <r>
          <rPr>
            <sz val="9"/>
            <color indexed="81"/>
            <rFont val="Tahoma"/>
            <family val="2"/>
          </rPr>
          <t xml:space="preserve">
March- Com score yet to publish </t>
        </r>
      </text>
    </comment>
    <comment ref="AJ30" authorId="2">
      <text>
        <r>
          <rPr>
            <b/>
            <sz val="9"/>
            <color indexed="81"/>
            <rFont val="Tahoma"/>
            <family val="2"/>
          </rPr>
          <t>Bhardwaj:</t>
        </r>
        <r>
          <rPr>
            <sz val="9"/>
            <color indexed="81"/>
            <rFont val="Tahoma"/>
            <family val="2"/>
          </rPr>
          <t xml:space="preserve">
Ranked 10th Total U.S. Smartphone Mobile Media Users, Age 18+ (iOS and Android Platforms), Dec,2015</t>
        </r>
      </text>
    </comment>
    <comment ref="AF36" authorId="2">
      <text>
        <r>
          <rPr>
            <b/>
            <sz val="9"/>
            <color indexed="81"/>
            <rFont val="Tahoma"/>
            <family val="2"/>
          </rPr>
          <t>Bhardwaj:</t>
        </r>
        <r>
          <rPr>
            <sz val="9"/>
            <color indexed="81"/>
            <rFont val="Tahoma"/>
            <family val="2"/>
          </rPr>
          <t xml:space="preserve">
last year it was a very strong year for new console launches. And so what happens is, when you have those launches, you also have video games that are -- the video game sales themselves are also strong. So for example, if you look at North American media growth rate in Q4 of this past year, you are seeing that impact. So that's what you are seeing there.</t>
        </r>
      </text>
    </comment>
    <comment ref="J37" authorId="0">
      <text>
        <r>
          <rPr>
            <b/>
            <sz val="9"/>
            <color indexed="81"/>
            <rFont val="Tahoma"/>
            <family val="2"/>
          </rPr>
          <t>Bhardwaj, Praveer:</t>
        </r>
        <r>
          <rPr>
            <sz val="9"/>
            <color indexed="81"/>
            <rFont val="Tahoma"/>
            <family val="2"/>
          </rPr>
          <t xml:space="preserve">
Revenue growth majorly due to Kindle Fire was launched in Sept. 2011</t>
        </r>
      </text>
    </comment>
    <comment ref="AL43" authorId="2">
      <text>
        <r>
          <rPr>
            <b/>
            <sz val="9"/>
            <color indexed="81"/>
            <rFont val="Tahoma"/>
            <family val="2"/>
          </rPr>
          <t>Bhardwaj:</t>
        </r>
        <r>
          <rPr>
            <sz val="9"/>
            <color indexed="81"/>
            <rFont val="Tahoma"/>
            <family val="2"/>
          </rPr>
          <t xml:space="preserve">
in the U.S., which is our most mature by years of launch, we still grew last year at 47% year-over-year membership growth, and we continue to make the program better and better.</t>
        </r>
      </text>
    </comment>
    <comment ref="AJ47" authorId="2">
      <text>
        <r>
          <rPr>
            <b/>
            <sz val="9"/>
            <color indexed="81"/>
            <rFont val="Tahoma"/>
            <family val="2"/>
          </rPr>
          <t>Bhardwaj:</t>
        </r>
        <r>
          <rPr>
            <sz val="9"/>
            <color indexed="81"/>
            <rFont val="Tahoma"/>
            <family val="2"/>
          </rPr>
          <t xml:space="preserve">
Down 3% Y/Y; Up
5% F/X adjusted
</t>
        </r>
      </text>
    </comment>
    <comment ref="J50" authorId="0">
      <text>
        <r>
          <rPr>
            <b/>
            <sz val="9"/>
            <color indexed="81"/>
            <rFont val="Tahoma"/>
            <family val="2"/>
          </rPr>
          <t>Bhardwaj, Praveer:</t>
        </r>
        <r>
          <rPr>
            <sz val="9"/>
            <color indexed="81"/>
            <rFont val="Tahoma"/>
            <family val="2"/>
          </rPr>
          <t xml:space="preserve">
Revenue growth majorly due to Kindle Fire was launched in Sept. 2011</t>
        </r>
      </text>
    </comment>
    <comment ref="AJ51" authorId="2">
      <text>
        <r>
          <rPr>
            <b/>
            <sz val="9"/>
            <color indexed="81"/>
            <rFont val="Tahoma"/>
            <family val="2"/>
          </rPr>
          <t>Bhardwaj:</t>
        </r>
        <r>
          <rPr>
            <sz val="9"/>
            <color indexed="81"/>
            <rFont val="Tahoma"/>
            <family val="2"/>
          </rPr>
          <t xml:space="preserve">
INT- Up 19% Y/Y; 31%
F/X adjusted
</t>
        </r>
      </text>
    </comment>
    <comment ref="AK58" authorId="0">
      <text>
        <r>
          <rPr>
            <b/>
            <sz val="9"/>
            <color indexed="81"/>
            <rFont val="Tahoma"/>
            <family val="2"/>
          </rPr>
          <t>Bhardwaj, Praveer:</t>
        </r>
        <r>
          <rPr>
            <sz val="9"/>
            <color indexed="81"/>
            <rFont val="Tahoma"/>
            <family val="2"/>
          </rPr>
          <t xml:space="preserve">
International's 26% for FX-neutral growth rate was actually the strongest we've seen in 3.5 years.
</t>
        </r>
      </text>
    </comment>
    <comment ref="AK79" authorId="0">
      <text>
        <r>
          <rPr>
            <b/>
            <sz val="9"/>
            <color indexed="81"/>
            <rFont val="Tahoma"/>
            <family val="2"/>
          </rPr>
          <t>Bhardwaj, Praveer:</t>
        </r>
        <r>
          <rPr>
            <sz val="9"/>
            <color indexed="81"/>
            <rFont val="Tahoma"/>
            <family val="2"/>
          </rPr>
          <t xml:space="preserve">
Worldwide revenue increased 28% to $29.1 billion or 29% excluding the $210 million unfavorable impact from year-over-year changes in foreign exchange.
Leap year estimate it was worth about
150 basis points to our growth rate in revenue.  </t>
        </r>
      </text>
    </comment>
    <comment ref="AL79" authorId="2">
      <text>
        <r>
          <rPr>
            <b/>
            <sz val="9"/>
            <color indexed="81"/>
            <rFont val="Tahoma"/>
            <family val="2"/>
          </rPr>
          <t>Bhardwaj:</t>
        </r>
        <r>
          <rPr>
            <sz val="9"/>
            <color indexed="81"/>
            <rFont val="Tahoma"/>
            <family val="2"/>
          </rPr>
          <t xml:space="preserve">
Net sales are expected to be between $28.0 billion and $30.5 billion, or to grow between 21% and 32% compared with second quarter 2015.</t>
        </r>
      </text>
    </comment>
    <comment ref="AL101" authorId="0">
      <text>
        <r>
          <rPr>
            <b/>
            <sz val="9"/>
            <color indexed="81"/>
            <rFont val="Tahoma"/>
            <family val="2"/>
          </rPr>
          <t>Bhardwaj, Praveer:</t>
        </r>
        <r>
          <rPr>
            <sz val="9"/>
            <color indexed="81"/>
            <rFont val="Tahoma"/>
            <family val="2"/>
          </rPr>
          <t xml:space="preserve">
AWS on the margin side it is
very early to start drawing too many conclusions on the long-term margins in this business. They'll be
bumpy over time. At any point in time, they're going to reflect the balance of investing, including global
expansion talked about. Price reductions, we may offer and also driving cost efficiency, which for us is a
very important driver now in this business but also the North America and international segments.</t>
        </r>
      </text>
    </comment>
    <comment ref="AJ117" authorId="1">
      <text>
        <r>
          <rPr>
            <sz val="10"/>
            <color indexed="81"/>
            <rFont val="Calibri"/>
            <family val="2"/>
          </rPr>
          <t>There must be a disclosed adjustment. Q4 should be higher - Walt</t>
        </r>
      </text>
    </comment>
    <comment ref="AN117" authorId="1">
      <text>
        <r>
          <rPr>
            <sz val="10"/>
            <color indexed="81"/>
            <rFont val="Calibri"/>
            <family val="2"/>
          </rPr>
          <t>Based on Q4 growth in years prior to 2015 - Walt 5/3/16</t>
        </r>
      </text>
    </comment>
    <comment ref="AL126" authorId="2">
      <text>
        <r>
          <rPr>
            <b/>
            <sz val="9"/>
            <color indexed="81"/>
            <rFont val="Tahoma"/>
            <family val="2"/>
          </rPr>
          <t>Bhardwaj:</t>
        </r>
        <r>
          <rPr>
            <sz val="9"/>
            <color indexed="81"/>
            <rFont val="Tahoma"/>
            <family val="2"/>
          </rPr>
          <t xml:space="preserve">
Operating income is expected to be between $375 million and $975 million, compared with $464 million in second quarter 2015.</t>
        </r>
      </text>
    </comment>
    <comment ref="G176" authorId="2">
      <text>
        <r>
          <rPr>
            <b/>
            <sz val="9"/>
            <color indexed="81"/>
            <rFont val="Tahoma"/>
            <family val="2"/>
          </rPr>
          <t>Bhardwaj:</t>
        </r>
        <r>
          <rPr>
            <sz val="9"/>
            <color indexed="81"/>
            <rFont val="Tahoma"/>
            <family val="2"/>
          </rPr>
          <t xml:space="preserve">
Share buy back amount projection per year</t>
        </r>
      </text>
    </comment>
    <comment ref="G177" authorId="2">
      <text>
        <r>
          <rPr>
            <b/>
            <sz val="9"/>
            <color indexed="81"/>
            <rFont val="Tahoma"/>
            <family val="2"/>
          </rPr>
          <t>Bhardwaj:</t>
        </r>
        <r>
          <rPr>
            <sz val="9"/>
            <color indexed="81"/>
            <rFont val="Tahoma"/>
            <family val="2"/>
          </rPr>
          <t xml:space="preserve">
Average share price for buy back</t>
        </r>
      </text>
    </comment>
    <comment ref="G178" authorId="2">
      <text>
        <r>
          <rPr>
            <b/>
            <sz val="9"/>
            <color indexed="81"/>
            <rFont val="Tahoma"/>
            <family val="2"/>
          </rPr>
          <t>Bhardwaj:</t>
        </r>
        <r>
          <rPr>
            <sz val="9"/>
            <color indexed="81"/>
            <rFont val="Tahoma"/>
            <family val="2"/>
          </rPr>
          <t xml:space="preserve">
Number of share buy back per year</t>
        </r>
      </text>
    </comment>
    <comment ref="AK282" authorId="0">
      <text>
        <r>
          <rPr>
            <b/>
            <sz val="9"/>
            <color indexed="81"/>
            <rFont val="Tahoma"/>
            <family val="2"/>
          </rPr>
          <t>Bhardwaj, Praveer:</t>
        </r>
        <r>
          <rPr>
            <sz val="9"/>
            <color indexed="81"/>
            <rFont val="Tahoma"/>
            <family val="2"/>
          </rPr>
          <t xml:space="preserve">
Inventory increased 30% to $9.6 billion, and inventory turns were 8.6, down from 8.8 turns
a year ago as we expand selection, improved in-stock levels and introduced new product categories.</t>
        </r>
      </text>
    </comment>
    <comment ref="AK310" authorId="0">
      <text>
        <r>
          <rPr>
            <b/>
            <sz val="9"/>
            <color indexed="81"/>
            <rFont val="Tahoma"/>
            <family val="2"/>
          </rPr>
          <t>Bhardwaj, Praveer:</t>
        </r>
        <r>
          <rPr>
            <sz val="9"/>
            <color indexed="81"/>
            <rFont val="Tahoma"/>
            <family val="2"/>
          </rPr>
          <t xml:space="preserve">
Accounts payable increased 26% to $15 billion, and accounts payable days increased to 72 from 70 in the
prior year.</t>
        </r>
      </text>
    </comment>
  </commentList>
</comments>
</file>

<file path=xl/comments3.xml><?xml version="1.0" encoding="utf-8"?>
<comments xmlns="http://schemas.openxmlformats.org/spreadsheetml/2006/main">
  <authors>
    <author>Bhardwaj</author>
  </authors>
  <commentList>
    <comment ref="G42" authorId="0">
      <text>
        <r>
          <rPr>
            <b/>
            <sz val="9"/>
            <color indexed="81"/>
            <rFont val="Tahoma"/>
            <family val="2"/>
          </rPr>
          <t>Bhardwaj:</t>
        </r>
        <r>
          <rPr>
            <sz val="9"/>
            <color indexed="81"/>
            <rFont val="Tahoma"/>
            <family val="2"/>
          </rPr>
          <t xml:space="preserve">
Include Deferred tax asset</t>
        </r>
      </text>
    </comment>
    <comment ref="H42" authorId="0">
      <text>
        <r>
          <rPr>
            <b/>
            <sz val="9"/>
            <color indexed="81"/>
            <rFont val="Tahoma"/>
            <family val="2"/>
          </rPr>
          <t>Bhardwaj:</t>
        </r>
        <r>
          <rPr>
            <sz val="9"/>
            <color indexed="81"/>
            <rFont val="Tahoma"/>
            <family val="2"/>
          </rPr>
          <t xml:space="preserve">
Include Deferred tax asset</t>
        </r>
      </text>
    </comment>
    <comment ref="I42" authorId="0">
      <text>
        <r>
          <rPr>
            <b/>
            <sz val="9"/>
            <color indexed="81"/>
            <rFont val="Tahoma"/>
            <family val="2"/>
          </rPr>
          <t>Bhardwaj:</t>
        </r>
        <r>
          <rPr>
            <sz val="9"/>
            <color indexed="81"/>
            <rFont val="Tahoma"/>
            <family val="2"/>
          </rPr>
          <t xml:space="preserve">
Include Deferred tax asset</t>
        </r>
      </text>
    </comment>
    <comment ref="U42" authorId="0">
      <text>
        <r>
          <rPr>
            <b/>
            <sz val="9"/>
            <color indexed="81"/>
            <rFont val="Tahoma"/>
            <family val="2"/>
          </rPr>
          <t>Bhardwaj:</t>
        </r>
        <r>
          <rPr>
            <sz val="9"/>
            <color indexed="81"/>
            <rFont val="Tahoma"/>
            <family val="2"/>
          </rPr>
          <t xml:space="preserve">
Include Deferred tax asset</t>
        </r>
      </text>
    </comment>
    <comment ref="V42" authorId="0">
      <text>
        <r>
          <rPr>
            <b/>
            <sz val="9"/>
            <color indexed="81"/>
            <rFont val="Tahoma"/>
            <family val="2"/>
          </rPr>
          <t>Bhardwaj:</t>
        </r>
        <r>
          <rPr>
            <sz val="9"/>
            <color indexed="81"/>
            <rFont val="Tahoma"/>
            <family val="2"/>
          </rPr>
          <t xml:space="preserve">
Include Deferred tax asset</t>
        </r>
      </text>
    </comment>
  </commentList>
</comments>
</file>

<file path=xl/sharedStrings.xml><?xml version="1.0" encoding="utf-8"?>
<sst xmlns="http://schemas.openxmlformats.org/spreadsheetml/2006/main" count="1161" uniqueCount="323">
  <si>
    <t>Comments</t>
  </si>
  <si>
    <t>Bloomberg</t>
  </si>
  <si>
    <t>Google</t>
  </si>
  <si>
    <t>Yahoo</t>
  </si>
  <si>
    <t>Ticker(s)</t>
  </si>
  <si>
    <t xml:space="preserve">% Change </t>
  </si>
  <si>
    <t>Price in USD</t>
  </si>
  <si>
    <t>Expected Price</t>
  </si>
  <si>
    <t>ROI</t>
  </si>
  <si>
    <t>DSO</t>
  </si>
  <si>
    <t>MV</t>
  </si>
  <si>
    <t>Net Debt</t>
  </si>
  <si>
    <t>EV</t>
  </si>
  <si>
    <t>PREFERRED VALUATIONS</t>
  </si>
  <si>
    <t>ShYG</t>
  </si>
  <si>
    <t>StYG</t>
  </si>
  <si>
    <t>Stakeholder yield divided by projected growth rate</t>
  </si>
  <si>
    <t>FCG</t>
  </si>
  <si>
    <t>Operating cash flow divided by projected growth rate</t>
  </si>
  <si>
    <t>OCG</t>
  </si>
  <si>
    <t>Free cash flow divided by projected growth rate</t>
  </si>
  <si>
    <t>Shareholder Yield</t>
  </si>
  <si>
    <t>Higher - Negative</t>
  </si>
  <si>
    <t>Stakeholder Yield</t>
  </si>
  <si>
    <t>EV/FCF</t>
  </si>
  <si>
    <t>EV/OCF</t>
  </si>
  <si>
    <t>The bull case for value businesses (eg, special situation)</t>
  </si>
  <si>
    <t>Sales Efficiency</t>
  </si>
  <si>
    <t>Operating Margin</t>
  </si>
  <si>
    <t>Account Recivable Turnover</t>
  </si>
  <si>
    <t>Account Payable Turnover</t>
  </si>
  <si>
    <t>Return</t>
  </si>
  <si>
    <t>ROE</t>
  </si>
  <si>
    <t>ROA</t>
  </si>
  <si>
    <t>MARKET VALUATIONS</t>
  </si>
  <si>
    <t>PEG</t>
  </si>
  <si>
    <t>The bull case for growth businesses</t>
  </si>
  <si>
    <t>EBG</t>
  </si>
  <si>
    <t>PER</t>
  </si>
  <si>
    <t>PER Peak</t>
  </si>
  <si>
    <t>EV/EBITDA</t>
  </si>
  <si>
    <t>The bull case for growth companies or unsustainable business (eg, cloud)</t>
  </si>
  <si>
    <t>EV/EBITDA Peak</t>
  </si>
  <si>
    <t>EV/EBIT</t>
  </si>
  <si>
    <t>EV/EBIT Peak</t>
  </si>
  <si>
    <t>EV/Revenue</t>
  </si>
  <si>
    <t>EV/Revenue Peak</t>
  </si>
  <si>
    <t>GROWTH</t>
  </si>
  <si>
    <t xml:space="preserve">Revenue </t>
  </si>
  <si>
    <t>Gross Profit</t>
  </si>
  <si>
    <t>EBITDA</t>
  </si>
  <si>
    <t>OCF</t>
  </si>
  <si>
    <t>FCF</t>
  </si>
  <si>
    <t>Year Ending</t>
  </si>
  <si>
    <t>Quarter Ending</t>
  </si>
  <si>
    <t>OPERATIONS</t>
  </si>
  <si>
    <t>Prime Subscribers in Millions</t>
  </si>
  <si>
    <t>Prime now metro areas</t>
  </si>
  <si>
    <t>US Office Sq Ft</t>
  </si>
  <si>
    <t>IntlOffice Sq Ft</t>
  </si>
  <si>
    <t>USFacilities Square Footage</t>
  </si>
  <si>
    <t>Int.Facilities Square Footage</t>
  </si>
  <si>
    <t>Facilities (US)</t>
  </si>
  <si>
    <t>Facilities (Int)</t>
  </si>
  <si>
    <t>AWS Availability Zones</t>
  </si>
  <si>
    <t>Information is considered from different sources</t>
  </si>
  <si>
    <t>AWS Geographic Regions</t>
  </si>
  <si>
    <t>AWS leased office Sq. Ft.</t>
  </si>
  <si>
    <t>Information available from 2015</t>
  </si>
  <si>
    <t>Employees</t>
  </si>
  <si>
    <t xml:space="preserve">Significant new services </t>
  </si>
  <si>
    <t>Fulfillment by Amazon Y/Y% growth</t>
  </si>
  <si>
    <t>ChannelAdvisor Amazon Results</t>
  </si>
  <si>
    <t>Google Trends</t>
  </si>
  <si>
    <t>comScore Traffic</t>
  </si>
  <si>
    <t>US Digital Media Properties</t>
  </si>
  <si>
    <t>US Smartphone Subscriber Market Share</t>
  </si>
  <si>
    <t>Revenue by Segment</t>
  </si>
  <si>
    <t>Y/Y %</t>
  </si>
  <si>
    <t xml:space="preserve">NA </t>
  </si>
  <si>
    <t>Y/Y $</t>
  </si>
  <si>
    <t>North America</t>
  </si>
  <si>
    <t>Dollar appreciation has negative effect (Down 3% Y/Y; Up 5% F/X adjusted for 12/31/2015)</t>
  </si>
  <si>
    <t>International</t>
  </si>
  <si>
    <t>Media</t>
  </si>
  <si>
    <t>Worldwide</t>
  </si>
  <si>
    <t>INCOME STATEMENT</t>
  </si>
  <si>
    <t>Total Net Revenue</t>
  </si>
  <si>
    <t>Management Guidance</t>
  </si>
  <si>
    <t>Estimize Wall St Estimate</t>
  </si>
  <si>
    <t>Segment operating expenses</t>
  </si>
  <si>
    <t>Margin %</t>
  </si>
  <si>
    <t>Incremental Margin Y/Y</t>
  </si>
  <si>
    <t xml:space="preserve">Down 7% Y/Y; Up 65% F/X adjusted
</t>
  </si>
  <si>
    <t>AWS</t>
  </si>
  <si>
    <t>Total Gross Expense</t>
  </si>
  <si>
    <t>Incr. Margin %</t>
  </si>
  <si>
    <t>SG&amp;A</t>
  </si>
  <si>
    <t>Total S&amp;GA</t>
  </si>
  <si>
    <t>Operating Expense</t>
  </si>
  <si>
    <t>Operating Profit</t>
  </si>
  <si>
    <t>Margin % Debt</t>
  </si>
  <si>
    <t>NA</t>
  </si>
  <si>
    <t>Margin % Marketable Securities</t>
  </si>
  <si>
    <t>Net Interest Expense</t>
  </si>
  <si>
    <t>Income before income taxes</t>
  </si>
  <si>
    <t>Income tax rate %</t>
  </si>
  <si>
    <t>Difference in Actual and Segment Reporting</t>
  </si>
  <si>
    <t>Net Income</t>
  </si>
  <si>
    <t>EBIT (GAAP &amp; SEC)</t>
  </si>
  <si>
    <t>EPS</t>
  </si>
  <si>
    <t>Normalized EPS Estimize Wall St Estimate</t>
  </si>
  <si>
    <t>Basic Shares Outstanding</t>
  </si>
  <si>
    <t>Diluted Shares Outstanding</t>
  </si>
  <si>
    <t>Q/Q %</t>
  </si>
  <si>
    <t>Change</t>
  </si>
  <si>
    <t>STATEMENT OF CASH FLOWS</t>
  </si>
  <si>
    <t>Depreciatoin as % of PPE</t>
  </si>
  <si>
    <t>Stock based compensation as % of Revenue</t>
  </si>
  <si>
    <t>Net Unearned revnue</t>
  </si>
  <si>
    <t>Unearned revenue projected</t>
  </si>
  <si>
    <t>Working Capital</t>
  </si>
  <si>
    <t>Operating Cash Flow</t>
  </si>
  <si>
    <t>Net cash used in operating activities after adjusting WC</t>
  </si>
  <si>
    <t>Maintainance and Acquisition Capex % of Revenue</t>
  </si>
  <si>
    <t>Investing Cash Flow</t>
  </si>
  <si>
    <t>Lease include AWS , Facilities, prime now, redistribution and others. The spike in FY2014 and FY15 is in line with AWS revenue. Increase in projection ratios considering the investment require due to expansion planned in FY16 and FY17. The Y/Y$ seems fine to me currently.</t>
  </si>
  <si>
    <t>Lease as % AWS Revenue</t>
  </si>
  <si>
    <t>New $5 billion share repurchase program, replaces the previous $2 billion program announced in 2010</t>
  </si>
  <si>
    <t>Financing Cash Flow</t>
  </si>
  <si>
    <t>Financing cash flow in FY2015 is Negative (Adjusted with Finance and capital lease)</t>
  </si>
  <si>
    <t>Change in Cash</t>
  </si>
  <si>
    <t>Cash and cash equivalents at beginning of period</t>
  </si>
  <si>
    <t>Cash and cash equivalents at end of period</t>
  </si>
  <si>
    <t>Cash as per cash flow statement</t>
  </si>
  <si>
    <t>Cash as per Balance sheet</t>
  </si>
  <si>
    <t>Difference</t>
  </si>
  <si>
    <t>Free Cash Flow</t>
  </si>
  <si>
    <t>Shareholder Return</t>
  </si>
  <si>
    <t>Stakeholder Return</t>
  </si>
  <si>
    <t>BALANCE SHEET</t>
  </si>
  <si>
    <t>ASSET</t>
  </si>
  <si>
    <t>Inventories as % of cost of sales</t>
  </si>
  <si>
    <t>Addition of lease</t>
  </si>
  <si>
    <t>LIABILITIES</t>
  </si>
  <si>
    <t>Account payable % Gross expense</t>
  </si>
  <si>
    <t>Long-term Debt % Net Revenue</t>
  </si>
  <si>
    <t>-</t>
  </si>
  <si>
    <t>Total Liabilities</t>
  </si>
  <si>
    <t>Check</t>
  </si>
  <si>
    <t>Amazon.com, Inc. (NasdaqGS:AMZN)</t>
  </si>
  <si>
    <t>USD$ Millions</t>
  </si>
  <si>
    <t>Income statement</t>
  </si>
  <si>
    <t>Revenues</t>
  </si>
  <si>
    <t xml:space="preserve">  Net Product Sales</t>
  </si>
  <si>
    <t xml:space="preserve">  Net Service Sales</t>
  </si>
  <si>
    <t xml:space="preserve">  Total Revenues</t>
  </si>
  <si>
    <t>Expenses</t>
  </si>
  <si>
    <t xml:space="preserve">  Cost of Sales</t>
  </si>
  <si>
    <t>Marketing</t>
  </si>
  <si>
    <t>General and Administrative</t>
  </si>
  <si>
    <t>Fulfillment</t>
  </si>
  <si>
    <t>Technology and Content</t>
  </si>
  <si>
    <t>Other Operating Income/expense, Net</t>
  </si>
  <si>
    <t>Interest Expense</t>
  </si>
  <si>
    <t>Interest Income</t>
  </si>
  <si>
    <t>Other Income/expense-net</t>
  </si>
  <si>
    <t xml:space="preserve">  Earnings before Taxes</t>
  </si>
  <si>
    <t>Taxes and Other Expenses</t>
  </si>
  <si>
    <t>Provision for Income Tax</t>
  </si>
  <si>
    <t>Income(Loss) from Equity Investments, After-Tax</t>
  </si>
  <si>
    <t>Net Income (Loss)</t>
  </si>
  <si>
    <t>Supplementary Info</t>
  </si>
  <si>
    <t xml:space="preserve">  Operating Income (Loss)</t>
  </si>
  <si>
    <t xml:space="preserve">  Basic EPS - Continuing Operations</t>
  </si>
  <si>
    <t xml:space="preserve">  Diluted EPS - Continuing Operations</t>
  </si>
  <si>
    <t>Weighted average shares used in computation of earnings per share:</t>
  </si>
  <si>
    <t>Basic</t>
  </si>
  <si>
    <t>Diluted</t>
  </si>
  <si>
    <t>Balance Sheet</t>
  </si>
  <si>
    <t>Balance Sheet as of:</t>
  </si>
  <si>
    <t>Current Assets</t>
  </si>
  <si>
    <t>Cash and Cash Equivalents</t>
  </si>
  <si>
    <t>Marketable Securities</t>
  </si>
  <si>
    <t>Accounts Receivable, Net and Other Current Assets</t>
  </si>
  <si>
    <t>Inventories</t>
  </si>
  <si>
    <t>Deferred Tax Assets</t>
  </si>
  <si>
    <t>Total Current Assets</t>
  </si>
  <si>
    <t>Non Current Assets</t>
  </si>
  <si>
    <t>Property and Equipment, net</t>
  </si>
  <si>
    <t>Goodwill</t>
  </si>
  <si>
    <t>Other Assets</t>
  </si>
  <si>
    <t>Total Assets</t>
  </si>
  <si>
    <t>Current Liabilities</t>
  </si>
  <si>
    <t>Accounts Payable</t>
  </si>
  <si>
    <t>Accrued Expenses and Other Current Liabilities</t>
  </si>
  <si>
    <t>Unearned Revenue</t>
  </si>
  <si>
    <t>Total Current Liabilities</t>
  </si>
  <si>
    <t>Non Current Liabilities</t>
  </si>
  <si>
    <t>Long-term Debt</t>
  </si>
  <si>
    <t>Long-term Liabilities</t>
  </si>
  <si>
    <t>Shareholders' Equity</t>
  </si>
  <si>
    <t>Common Stock - Par Value</t>
  </si>
  <si>
    <t>Additional Paid in Capital</t>
  </si>
  <si>
    <t>Treasury Stock - Common</t>
  </si>
  <si>
    <t>Retained Earnings (Accumulated Deficit)</t>
  </si>
  <si>
    <t>Accumulated Other Comprehensive (Loss) income</t>
  </si>
  <si>
    <t>Total Shareholders Equity</t>
  </si>
  <si>
    <t>Total Liabilities &amp; Shareholders Equity</t>
  </si>
  <si>
    <t>Cash Flow</t>
  </si>
  <si>
    <t>For the Fiscal Period Ending</t>
  </si>
  <si>
    <t xml:space="preserve">
Dec-31-2012</t>
  </si>
  <si>
    <t xml:space="preserve">
Mar-31-2013</t>
  </si>
  <si>
    <t xml:space="preserve">
Jun-30-2013</t>
  </si>
  <si>
    <t xml:space="preserve">
Sep-30-2013</t>
  </si>
  <si>
    <t xml:space="preserve">
Dec-31-2013</t>
  </si>
  <si>
    <t xml:space="preserve">
Mar-31-2014</t>
  </si>
  <si>
    <t xml:space="preserve">
Jun-30-2014</t>
  </si>
  <si>
    <t xml:space="preserve">
Sep-30-2014</t>
  </si>
  <si>
    <t xml:space="preserve">
Dec-31-2014</t>
  </si>
  <si>
    <t xml:space="preserve">
Mar-31-2015</t>
  </si>
  <si>
    <t xml:space="preserve">
Jun-30-2015</t>
  </si>
  <si>
    <t xml:space="preserve">
Sep-30-2015</t>
  </si>
  <si>
    <t xml:space="preserve">
Dec-31-2015</t>
  </si>
  <si>
    <t xml:space="preserve">
Dec-31-2010</t>
  </si>
  <si>
    <t xml:space="preserve">
Dec-31-2011</t>
  </si>
  <si>
    <t>12 months
Dec-31-2012</t>
  </si>
  <si>
    <t>3 months
Mar-31-2013</t>
  </si>
  <si>
    <t>6 months
Jun-30-2013</t>
  </si>
  <si>
    <t>9 months
Sep-30-2013</t>
  </si>
  <si>
    <t>12 months
Dec-31-2013</t>
  </si>
  <si>
    <t>3 months
Mar-31-2014</t>
  </si>
  <si>
    <t>6 months
Jun-30-2014</t>
  </si>
  <si>
    <t>9 months
Sep-30-2014</t>
  </si>
  <si>
    <t>12 months
Dec-31-2014</t>
  </si>
  <si>
    <t>3 months
Mar-31-2015</t>
  </si>
  <si>
    <t>6 months
Jun-30-2015</t>
  </si>
  <si>
    <t>9 months
Sep-30-2015</t>
  </si>
  <si>
    <t>12 months
Dec-31-2015</t>
  </si>
  <si>
    <t>Operating Activities</t>
  </si>
  <si>
    <t>Depreciation of Property and Equipment &amp; Software</t>
  </si>
  <si>
    <t>Gain/loss on Sale of Marketable Securities, Net</t>
  </si>
  <si>
    <t>Stock based Compensation</t>
  </si>
  <si>
    <t>Excess Tax Charges (benefits) from Stock-based Compensation</t>
  </si>
  <si>
    <t>Deferred Income Taxes</t>
  </si>
  <si>
    <t>Other Gain/loss, Net</t>
  </si>
  <si>
    <t>Other Operating Income/expense</t>
  </si>
  <si>
    <t>Amortization of Previously Unearned Revenue</t>
  </si>
  <si>
    <t>Additions to Unearned Revenue</t>
  </si>
  <si>
    <t>Cash Flow from Operating Activities</t>
  </si>
  <si>
    <t>Investing Activities</t>
  </si>
  <si>
    <t>Purchases of Property and Equipment, Including Internal-use Software and Website Development, Net2</t>
  </si>
  <si>
    <t>Acquisitions, Net of Cash Acquired: Other</t>
  </si>
  <si>
    <t>Purchase of Marketable Securities and Other Investments</t>
  </si>
  <si>
    <t>Sales and Maturities of Marketable Securities and Other Investments</t>
  </si>
  <si>
    <t>Cash Flow from Investing Activities</t>
  </si>
  <si>
    <t>Financing Activities</t>
  </si>
  <si>
    <t xml:space="preserve">  Proceeds from Long-term Debt and Other</t>
  </si>
  <si>
    <t xml:space="preserve">  Repayment of Long-term Debt and Other</t>
  </si>
  <si>
    <t xml:space="preserve">  Principal Repayment of Capital Lease Obligations</t>
  </si>
  <si>
    <t xml:space="preserve">  Principal Repayments of Finance Lease Obligations</t>
  </si>
  <si>
    <t xml:space="preserve">  Common Stock-repurchased</t>
  </si>
  <si>
    <t xml:space="preserve">  Excess Tax Benefits from Stock-based Compensation</t>
  </si>
  <si>
    <t xml:space="preserve">  Cash Flow from Financing Activities</t>
  </si>
  <si>
    <t>Other Adjustments</t>
  </si>
  <si>
    <t xml:space="preserve">  Foreign Exchange Rate Effect on Cash and Cash Equivalents</t>
  </si>
  <si>
    <t xml:space="preserve">  Cash Flow Net Changes in Cash</t>
  </si>
  <si>
    <t>Segment Information</t>
  </si>
  <si>
    <t xml:space="preserve">For the Fiscal Period Ending
</t>
  </si>
  <si>
    <t>3 months
Dec-31-2012</t>
  </si>
  <si>
    <t>3 months
Jun-30-2013</t>
  </si>
  <si>
    <t>3 months
Sep-30-2013</t>
  </si>
  <si>
    <t>3 months
Dec-31-2013</t>
  </si>
  <si>
    <t>3 months
Jun-30-2014</t>
  </si>
  <si>
    <t>3 months
Sep-30-2014</t>
  </si>
  <si>
    <t>3 months
Dec-31-2014</t>
  </si>
  <si>
    <t>3 months
Jun-30-2015</t>
  </si>
  <si>
    <t>3 months
Sep-30-2015</t>
  </si>
  <si>
    <t>3 months
Dec-31-2015</t>
  </si>
  <si>
    <t>Net Sales:</t>
  </si>
  <si>
    <t>Electronics and other general merchandise</t>
  </si>
  <si>
    <t>Other</t>
  </si>
  <si>
    <t>Total North America</t>
  </si>
  <si>
    <t>Total International</t>
  </si>
  <si>
    <t>Product Segment</t>
  </si>
  <si>
    <t>Total consolidated</t>
  </si>
  <si>
    <t>Geographic Segment</t>
  </si>
  <si>
    <t>Total Operating Expense</t>
  </si>
  <si>
    <t>Segment Operating Income (Loss)</t>
  </si>
  <si>
    <t>Total Operating  Income (Loss)</t>
  </si>
  <si>
    <t>Outbound Shipping Activity:</t>
  </si>
  <si>
    <t>Shipping revenue</t>
  </si>
  <si>
    <t>Shipping costs</t>
  </si>
  <si>
    <t>Net shipping cost</t>
  </si>
  <si>
    <t>Working capital is increasing in absolute number fir the forecasted year</t>
  </si>
  <si>
    <t>Long-term Debt % Cash</t>
  </si>
  <si>
    <t>Long-term Liabilities % of SG&amp;A</t>
  </si>
  <si>
    <t>Variance analysis</t>
  </si>
  <si>
    <t>Projected quarter</t>
  </si>
  <si>
    <t>Actual quarter</t>
  </si>
  <si>
    <t/>
  </si>
  <si>
    <t xml:space="preserve">
Mar-31-2016</t>
  </si>
  <si>
    <t>3 months
Mar-31-2016</t>
  </si>
  <si>
    <t>Cap IQ projection</t>
  </si>
  <si>
    <t>Operating income is expected to be between $375 million and $975 million, compared with $464 million in second quarter 2015.</t>
  </si>
  <si>
    <t>Net sales are expected to be between $28.0 billion and $30.5 billion, or to grow between 21% and 32% compared with second quarter 2015.</t>
  </si>
  <si>
    <t>This sheet is reserved for data that is loaded via macros</t>
  </si>
  <si>
    <t>Did they comment on the turnaround?</t>
  </si>
  <si>
    <t>We should have assumed the absolute $ amount would grow in the period</t>
  </si>
  <si>
    <t>We should have researched the competitor margins and pricing</t>
  </si>
  <si>
    <t>We should have predicted this given the y/y declines in Q3 and Q4</t>
  </si>
  <si>
    <t>Assuming most recent margin until we have a strong opinion on where this is going</t>
  </si>
  <si>
    <t>Y/Y FX adjst. %</t>
  </si>
  <si>
    <t>Increase in Inventory led an increase to A/P</t>
  </si>
  <si>
    <t>Really good adding Prime subscribers leading to growth to it's the whole array of Prime offering</t>
  </si>
  <si>
    <t>"I think the 2016 to 2015 comparison probably stands on its own and 2014 falls by the wayside."</t>
  </si>
  <si>
    <t>Y/Y $ %</t>
  </si>
  <si>
    <t>Projection based on Y/Y$%</t>
  </si>
  <si>
    <t>Transcript 1Q16</t>
  </si>
  <si>
    <t>The revenue growth can pick more than expected due to addition of more zones and region</t>
  </si>
  <si>
    <t>Use a formula like for PER Peak</t>
  </si>
  <si>
    <t>Comments in quarterly number</t>
  </si>
  <si>
    <t>Shareholder yield divided by projected growth rate. Please put an if statement so that negative multiples are "NM"</t>
  </si>
</sst>
</file>

<file path=xl/styles.xml><?xml version="1.0" encoding="utf-8"?>
<styleSheet xmlns="http://schemas.openxmlformats.org/spreadsheetml/2006/main" xmlns:mc="http://schemas.openxmlformats.org/markup-compatibility/2006" xmlns:x14ac="http://schemas.microsoft.com/office/spreadsheetml/2009/9/ac" mc:Ignorable="x14ac">
  <numFmts count="37">
    <numFmt numFmtId="5" formatCode="&quot;$&quot;#,##0_);\(&quot;$&quot;#,##0\)"/>
    <numFmt numFmtId="6" formatCode="&quot;$&quot;#,##0_);[Red]\(&quot;$&quot;#,##0\)"/>
    <numFmt numFmtId="7" formatCode="&quot;$&quot;#,##0.00_);\(&quot;$&quot;#,##0.00\)"/>
    <numFmt numFmtId="8" formatCode="&quot;$&quot;#,##0.00_);[Red]\(&quot;$&quot;#,##0.00\)"/>
    <numFmt numFmtId="41" formatCode="_(* #,##0_);_(* \(#,##0\);_(* &quot;-&quot;_);_(@_)"/>
    <numFmt numFmtId="43" formatCode="_(* #,##0.00_);_(* \(#,##0.00\);_(* &quot;-&quot;??_);_(@_)"/>
    <numFmt numFmtId="164" formatCode="#,##0.0_);\(#,##0.0\)"/>
    <numFmt numFmtId="165" formatCode="_(&quot;$ &quot;#,##0.00_);_(&quot;$ &quot;\(#,##0.00\)"/>
    <numFmt numFmtId="166" formatCode="0.0%"/>
    <numFmt numFmtId="167" formatCode="0.0"/>
    <numFmt numFmtId="168" formatCode="#,##0.000_);\(#,##0.000\)"/>
    <numFmt numFmtId="169" formatCode="_(* #,##0.000_);_(* \(#,##0.000\);_(* &quot;-&quot;_);_(@_)"/>
    <numFmt numFmtId="170" formatCode="0_);\(0\)"/>
    <numFmt numFmtId="171" formatCode="0.0\x"/>
    <numFmt numFmtId="172" formatCode="_(* #,##0.0_);_(* \(#,##0.0\)_)\ ;_(* 0_)"/>
    <numFmt numFmtId="173" formatCode="_(* #,##0.0#_);_(* \(#,##0.0#\)_)\ ;_(* 0_)"/>
    <numFmt numFmtId="174" formatCode="mmm\-dd\-yyyy"/>
    <numFmt numFmtId="175" formatCode="m/d/yy&quot;A&quot;"/>
    <numFmt numFmtId="176" formatCode="m/d/yy&quot;E&quot;"/>
    <numFmt numFmtId="177" formatCode="&quot;$&quot;#,##0"/>
    <numFmt numFmtId="178" formatCode="&quot;$&quot;#,##0.00"/>
    <numFmt numFmtId="179" formatCode="#,##0.0%&quot; &quot;;\(#,##0.0%\)&quot; &quot;"/>
    <numFmt numFmtId="180" formatCode="&quot;$&quot;#,##0_);\(&quot;$&quot;#,##0\)&quot; &quot;"/>
    <numFmt numFmtId="181" formatCode="#,##0_);\(#,##0\)&quot; &quot;"/>
    <numFmt numFmtId="182" formatCode="\ \ #,##0_);\(#,##0\)&quot; &quot;"/>
    <numFmt numFmtId="183" formatCode="&quot;$&quot;#,##0.00_);\(&quot;$&quot;#,##0.00\)&quot; &quot;"/>
    <numFmt numFmtId="184" formatCode="_(&quot;$ &quot;#,##0.00_);_(&quot;$ &quot;\(#,##0.00\)&quot; &quot;"/>
    <numFmt numFmtId="185" formatCode="#,##0_);\(#,##0\);&quot;-&quot;_)"/>
    <numFmt numFmtId="186" formatCode="#,##0.0%_);\(#,##0.0%\)"/>
    <numFmt numFmtId="187" formatCode="#,##0.0%_);\(#,##0.0%\);&quot;-&quot;_)"/>
    <numFmt numFmtId="188" formatCode="@&quot; &quot;"/>
    <numFmt numFmtId="189" formatCode="#,##0.0%&quot; &quot;;\(#,##0.0%\)"/>
    <numFmt numFmtId="190" formatCode="\ \ #,##0_);\(#,##0\)"/>
    <numFmt numFmtId="191" formatCode="0.00_);\(0.00\)"/>
    <numFmt numFmtId="192" formatCode="#,##0_);\(#,##0\);"/>
    <numFmt numFmtId="193" formatCode="#,##0.0%_);\(###0.0%\)"/>
    <numFmt numFmtId="194" formatCode="#,##0.0_);\(#,##0.0\)&quot; &quot;"/>
  </numFmts>
  <fonts count="63" x14ac:knownFonts="1">
    <font>
      <sz val="11"/>
      <color theme="1"/>
      <name val="Calibri"/>
      <family val="2"/>
      <scheme val="minor"/>
    </font>
    <font>
      <sz val="11"/>
      <color theme="4"/>
      <name val="Calibri"/>
      <family val="2"/>
      <scheme val="minor"/>
    </font>
    <font>
      <u/>
      <sz val="11"/>
      <color theme="10"/>
      <name val="Calibri"/>
      <family val="2"/>
      <scheme val="minor"/>
    </font>
    <font>
      <u/>
      <sz val="11"/>
      <color theme="11"/>
      <name val="Calibri"/>
      <family val="2"/>
      <scheme val="minor"/>
    </font>
    <font>
      <i/>
      <sz val="11"/>
      <color theme="1"/>
      <name val="Calibri"/>
      <family val="2"/>
      <scheme val="minor"/>
    </font>
    <font>
      <sz val="11"/>
      <name val="Calibri"/>
      <family val="2"/>
      <scheme val="minor"/>
    </font>
    <font>
      <i/>
      <sz val="11"/>
      <color theme="4"/>
      <name val="Calibri"/>
      <family val="2"/>
      <scheme val="minor"/>
    </font>
    <font>
      <sz val="11"/>
      <color theme="9"/>
      <name val="Calibri"/>
      <family val="2"/>
      <scheme val="minor"/>
    </font>
    <font>
      <i/>
      <sz val="11"/>
      <name val="Calibri"/>
      <family val="2"/>
      <scheme val="minor"/>
    </font>
    <font>
      <i/>
      <sz val="11"/>
      <color theme="9"/>
      <name val="Calibri"/>
      <family val="2"/>
      <scheme val="minor"/>
    </font>
    <font>
      <sz val="9"/>
      <color indexed="81"/>
      <name val="Calibri"/>
      <family val="2"/>
    </font>
    <font>
      <b/>
      <sz val="9"/>
      <color indexed="81"/>
      <name val="Calibri"/>
      <family val="2"/>
    </font>
    <font>
      <sz val="11"/>
      <color rgb="FF0000FF"/>
      <name val="Calibri"/>
      <family val="2"/>
      <scheme val="minor"/>
    </font>
    <font>
      <b/>
      <sz val="11"/>
      <color theme="1"/>
      <name val="Calibri"/>
      <family val="2"/>
      <scheme val="minor"/>
    </font>
    <font>
      <sz val="11"/>
      <color theme="4" tint="-0.499984740745262"/>
      <name val="Calibri"/>
      <family val="2"/>
      <scheme val="minor"/>
    </font>
    <font>
      <b/>
      <sz val="11"/>
      <color rgb="FF7030A0"/>
      <name val="Calibri"/>
      <family val="2"/>
      <scheme val="minor"/>
    </font>
    <font>
      <sz val="11"/>
      <color theme="1"/>
      <name val="Calibri"/>
      <family val="2"/>
      <scheme val="minor"/>
    </font>
    <font>
      <b/>
      <sz val="11"/>
      <name val="Calibri"/>
      <family val="2"/>
      <scheme val="minor"/>
    </font>
    <font>
      <sz val="9"/>
      <color indexed="81"/>
      <name val="Tahoma"/>
      <family val="2"/>
    </font>
    <font>
      <b/>
      <sz val="9"/>
      <color indexed="81"/>
      <name val="Tahoma"/>
      <family val="2"/>
    </font>
    <font>
      <i/>
      <sz val="11"/>
      <color rgb="FFFF0000"/>
      <name val="Calibri"/>
      <family val="2"/>
      <scheme val="minor"/>
    </font>
    <font>
      <sz val="11"/>
      <color theme="4" tint="-0.249977111117893"/>
      <name val="Calibri"/>
      <family val="2"/>
      <scheme val="minor"/>
    </font>
    <font>
      <sz val="11"/>
      <color theme="9" tint="-0.499984740745262"/>
      <name val="Calibri"/>
      <family val="2"/>
      <scheme val="minor"/>
    </font>
    <font>
      <sz val="11"/>
      <color rgb="FF00B050"/>
      <name val="Calibri"/>
      <family val="2"/>
      <scheme val="minor"/>
    </font>
    <font>
      <sz val="11"/>
      <color rgb="FFFF0000"/>
      <name val="Calibri"/>
      <family val="2"/>
      <scheme val="minor"/>
    </font>
    <font>
      <sz val="11"/>
      <color rgb="FF92D050"/>
      <name val="Calibri"/>
      <family val="2"/>
      <scheme val="minor"/>
    </font>
    <font>
      <b/>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000000"/>
      <name val="Calibri"/>
      <family val="2"/>
      <scheme val="minor"/>
    </font>
    <font>
      <b/>
      <sz val="8"/>
      <color indexed="8"/>
      <name val="Arial"/>
      <family val="2"/>
    </font>
    <font>
      <sz val="15"/>
      <color theme="1"/>
      <name val="Calibri"/>
      <family val="2"/>
      <scheme val="minor"/>
    </font>
    <font>
      <sz val="8"/>
      <color indexed="8"/>
      <name val="Arial"/>
      <family val="2"/>
    </font>
    <font>
      <b/>
      <sz val="8"/>
      <color theme="1"/>
      <name val="Arial"/>
      <family val="2"/>
    </font>
    <font>
      <sz val="8"/>
      <color theme="1"/>
      <name val="Arial"/>
      <family val="2"/>
    </font>
    <font>
      <i/>
      <sz val="8"/>
      <color theme="1"/>
      <name val="Arial"/>
      <family val="2"/>
    </font>
    <font>
      <b/>
      <sz val="10"/>
      <color indexed="8"/>
      <name val="Arial"/>
      <family val="2"/>
    </font>
    <font>
      <sz val="11"/>
      <color rgb="FF0070C0"/>
      <name val="Calibri"/>
      <family val="2"/>
      <scheme val="minor"/>
    </font>
    <font>
      <i/>
      <sz val="11"/>
      <color rgb="FF00B050"/>
      <name val="Calibri"/>
      <family val="2"/>
      <scheme val="minor"/>
    </font>
    <font>
      <i/>
      <sz val="11"/>
      <color theme="0" tint="-0.34998626667073579"/>
      <name val="Calibri"/>
      <family val="2"/>
      <scheme val="minor"/>
    </font>
    <font>
      <sz val="11"/>
      <color rgb="FF000000"/>
      <name val="Calibri"/>
      <family val="2"/>
    </font>
    <font>
      <b/>
      <sz val="11"/>
      <color theme="4"/>
      <name val="Calibri"/>
      <family val="2"/>
      <scheme val="minor"/>
    </font>
    <font>
      <sz val="11"/>
      <color theme="0" tint="-0.34998626667073579"/>
      <name val="Calibri"/>
      <family val="2"/>
      <scheme val="minor"/>
    </font>
    <font>
      <i/>
      <sz val="11"/>
      <color rgb="FF0070C0"/>
      <name val="Calibri"/>
      <family val="2"/>
      <scheme val="minor"/>
    </font>
    <font>
      <i/>
      <sz val="11"/>
      <color rgb="FFA6A6A6"/>
      <name val="Calibri"/>
      <family val="2"/>
      <scheme val="minor"/>
    </font>
    <font>
      <sz val="11"/>
      <color rgb="FFA6A6A6"/>
      <name val="Calibri"/>
      <family val="2"/>
      <scheme val="minor"/>
    </font>
    <font>
      <sz val="8"/>
      <color rgb="FFFF0000"/>
      <name val="Arial"/>
      <family val="2"/>
    </font>
    <font>
      <sz val="8"/>
      <color rgb="FFA6A6A6"/>
      <name val="Arial"/>
      <family val="2"/>
    </font>
    <font>
      <b/>
      <sz val="11"/>
      <color rgb="FFA6A6A6"/>
      <name val="Calibri"/>
      <family val="2"/>
      <scheme val="minor"/>
    </font>
    <font>
      <sz val="10"/>
      <color indexed="81"/>
      <name val="Calibri"/>
      <family val="2"/>
    </font>
    <font>
      <b/>
      <sz val="10"/>
      <color indexed="81"/>
      <name val="Calibri"/>
      <family val="2"/>
    </font>
  </fonts>
  <fills count="3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4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6" fillId="0" borderId="0" applyFon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3" borderId="0" applyNumberFormat="0" applyBorder="0" applyAlignment="0" applyProtection="0"/>
    <xf numFmtId="0" fontId="32" fillId="4" borderId="0" applyNumberFormat="0" applyBorder="0" applyAlignment="0" applyProtection="0"/>
    <xf numFmtId="0" fontId="33" fillId="5" borderId="0" applyNumberFormat="0" applyBorder="0" applyAlignment="0" applyProtection="0"/>
    <xf numFmtId="0" fontId="34" fillId="6" borderId="4" applyNumberFormat="0" applyAlignment="0" applyProtection="0"/>
    <xf numFmtId="0" fontId="35" fillId="7" borderId="5" applyNumberFormat="0" applyAlignment="0" applyProtection="0"/>
    <xf numFmtId="0" fontId="36" fillId="7" borderId="4" applyNumberFormat="0" applyAlignment="0" applyProtection="0"/>
    <xf numFmtId="0" fontId="37" fillId="0" borderId="6" applyNumberFormat="0" applyFill="0" applyAlignment="0" applyProtection="0"/>
    <xf numFmtId="0" fontId="38" fillId="8" borderId="7" applyNumberFormat="0" applyAlignment="0" applyProtection="0"/>
    <xf numFmtId="0" fontId="24" fillId="0" borderId="0" applyNumberFormat="0" applyFill="0" applyBorder="0" applyAlignment="0" applyProtection="0"/>
    <xf numFmtId="0" fontId="16" fillId="9" borderId="8" applyNumberFormat="0" applyFont="0" applyAlignment="0" applyProtection="0"/>
    <xf numFmtId="0" fontId="39" fillId="0" borderId="0" applyNumberFormat="0" applyFill="0" applyBorder="0" applyAlignment="0" applyProtection="0"/>
    <xf numFmtId="0" fontId="13" fillId="0" borderId="9" applyNumberFormat="0" applyFill="0" applyAlignment="0" applyProtection="0"/>
    <xf numFmtId="0" fontId="40"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16" fillId="31" borderId="0" applyNumberFormat="0" applyBorder="0" applyAlignment="0" applyProtection="0"/>
    <xf numFmtId="0" fontId="16" fillId="32" borderId="0" applyNumberFormat="0" applyBorder="0" applyAlignment="0" applyProtection="0"/>
    <xf numFmtId="0" fontId="40" fillId="33" borderId="0" applyNumberFormat="0" applyBorder="0" applyAlignment="0" applyProtection="0"/>
    <xf numFmtId="0" fontId="4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369">
    <xf numFmtId="0" fontId="0" fillId="0" borderId="0" xfId="0"/>
    <xf numFmtId="14" fontId="0" fillId="0" borderId="0" xfId="0" applyNumberFormat="1"/>
    <xf numFmtId="2" fontId="0" fillId="0" borderId="0" xfId="0" applyNumberFormat="1"/>
    <xf numFmtId="2" fontId="0" fillId="0" borderId="0" xfId="0" applyNumberFormat="1" applyAlignment="1">
      <alignment horizontal="right"/>
    </xf>
    <xf numFmtId="0" fontId="1" fillId="0" borderId="0" xfId="0" applyFont="1"/>
    <xf numFmtId="37" fontId="5" fillId="0" borderId="0" xfId="0" applyNumberFormat="1" applyFont="1"/>
    <xf numFmtId="0" fontId="0" fillId="0" borderId="0" xfId="0" applyAlignment="1">
      <alignment horizontal="left"/>
    </xf>
    <xf numFmtId="37" fontId="7" fillId="0" borderId="0" xfId="0" applyNumberFormat="1" applyFont="1"/>
    <xf numFmtId="39" fontId="1" fillId="0" borderId="0" xfId="0" applyNumberFormat="1" applyFont="1"/>
    <xf numFmtId="164" fontId="0" fillId="0" borderId="0" xfId="0" applyNumberFormat="1"/>
    <xf numFmtId="164" fontId="0" fillId="0" borderId="0" xfId="0" applyNumberFormat="1" applyAlignment="1">
      <alignment horizontal="right"/>
    </xf>
    <xf numFmtId="39" fontId="7" fillId="0" borderId="0" xfId="0" applyNumberFormat="1" applyFont="1"/>
    <xf numFmtId="0" fontId="5" fillId="0" borderId="0" xfId="0" applyFont="1"/>
    <xf numFmtId="14" fontId="0" fillId="0" borderId="0" xfId="0" applyNumberFormat="1" applyAlignment="1">
      <alignment horizontal="center"/>
    </xf>
    <xf numFmtId="14" fontId="12" fillId="0" borderId="0" xfId="0" applyNumberFormat="1" applyFont="1" applyAlignment="1">
      <alignment horizontal="center"/>
    </xf>
    <xf numFmtId="0" fontId="13" fillId="0" borderId="0" xfId="0" applyFont="1"/>
    <xf numFmtId="0" fontId="0" fillId="0" borderId="0" xfId="0" applyFill="1" applyAlignment="1">
      <alignment horizontal="left" indent="1"/>
    </xf>
    <xf numFmtId="0" fontId="0" fillId="0" borderId="0" xfId="0" applyFill="1"/>
    <xf numFmtId="9" fontId="0" fillId="0" borderId="0" xfId="495" applyFont="1"/>
    <xf numFmtId="166" fontId="0" fillId="0" borderId="0" xfId="495" applyNumberFormat="1" applyFont="1"/>
    <xf numFmtId="0" fontId="0" fillId="0" borderId="0" xfId="0" applyFont="1"/>
    <xf numFmtId="1" fontId="14" fillId="0" borderId="0" xfId="0" applyNumberFormat="1" applyFont="1" applyFill="1" applyBorder="1"/>
    <xf numFmtId="0" fontId="4" fillId="0" borderId="0" xfId="0" applyFont="1" applyFill="1" applyAlignment="1">
      <alignment horizontal="left" indent="2"/>
    </xf>
    <xf numFmtId="0" fontId="0" fillId="0" borderId="0" xfId="0" applyFill="1" applyBorder="1"/>
    <xf numFmtId="0" fontId="22" fillId="0" borderId="0" xfId="0" applyFont="1" applyFill="1" applyBorder="1"/>
    <xf numFmtId="167" fontId="0" fillId="0" borderId="0" xfId="495" applyNumberFormat="1" applyFont="1"/>
    <xf numFmtId="10" fontId="9" fillId="0" borderId="0" xfId="0" applyNumberFormat="1" applyFont="1" applyFill="1" applyBorder="1"/>
    <xf numFmtId="0" fontId="24" fillId="0" borderId="0" xfId="0" applyFont="1" applyAlignment="1">
      <alignment horizontal="left"/>
    </xf>
    <xf numFmtId="9" fontId="0" fillId="0" borderId="0" xfId="495" applyFont="1" applyFill="1" applyBorder="1" applyAlignment="1">
      <alignment horizontal="right"/>
    </xf>
    <xf numFmtId="167" fontId="13" fillId="0" borderId="0" xfId="0" applyNumberFormat="1" applyFont="1" applyFill="1" applyBorder="1"/>
    <xf numFmtId="0" fontId="43" fillId="0" borderId="0" xfId="0" applyFont="1"/>
    <xf numFmtId="0" fontId="42" fillId="0" borderId="0" xfId="0" applyFont="1" applyAlignment="1">
      <alignment horizontal="left" vertical="top"/>
    </xf>
    <xf numFmtId="0" fontId="44" fillId="0" borderId="0" xfId="0" applyFont="1" applyAlignment="1">
      <alignment horizontal="left" vertical="top"/>
    </xf>
    <xf numFmtId="172" fontId="44" fillId="0" borderId="0" xfId="0" applyNumberFormat="1" applyFont="1" applyAlignment="1">
      <alignment horizontal="right" vertical="top" wrapText="1"/>
    </xf>
    <xf numFmtId="172" fontId="42" fillId="0" borderId="0" xfId="0" applyNumberFormat="1" applyFont="1" applyAlignment="1">
      <alignment horizontal="right" vertical="top" wrapText="1"/>
    </xf>
    <xf numFmtId="173" fontId="44" fillId="0" borderId="0" xfId="0" applyNumberFormat="1" applyFont="1" applyAlignment="1">
      <alignment horizontal="right" vertical="top" wrapText="1"/>
    </xf>
    <xf numFmtId="0" fontId="45" fillId="0" borderId="0" xfId="0" applyFont="1"/>
    <xf numFmtId="0" fontId="46" fillId="0" borderId="0" xfId="0" applyFont="1"/>
    <xf numFmtId="0" fontId="47" fillId="0" borderId="0" xfId="0" applyFont="1"/>
    <xf numFmtId="3" fontId="46" fillId="0" borderId="0" xfId="0" applyNumberFormat="1" applyFont="1"/>
    <xf numFmtId="3" fontId="45" fillId="0" borderId="0" xfId="0" applyNumberFormat="1" applyFont="1"/>
    <xf numFmtId="172" fontId="44" fillId="0" borderId="0" xfId="0" applyNumberFormat="1" applyFont="1" applyAlignment="1">
      <alignment horizontal="left" vertical="top"/>
    </xf>
    <xf numFmtId="1" fontId="7" fillId="0" borderId="0" xfId="0" applyNumberFormat="1" applyFont="1" applyFill="1" applyBorder="1"/>
    <xf numFmtId="14" fontId="26" fillId="0" borderId="0" xfId="0" applyNumberFormat="1" applyFont="1" applyAlignment="1">
      <alignment horizontal="right"/>
    </xf>
    <xf numFmtId="0" fontId="13" fillId="0" borderId="0" xfId="0" applyFont="1" applyFill="1" applyAlignment="1">
      <alignment horizontal="center"/>
    </xf>
    <xf numFmtId="0" fontId="15" fillId="0" borderId="0" xfId="0" applyFont="1" applyFill="1"/>
    <xf numFmtId="0" fontId="15" fillId="0" borderId="0" xfId="0" applyFont="1" applyFill="1" applyAlignment="1">
      <alignment horizontal="center"/>
    </xf>
    <xf numFmtId="14" fontId="15" fillId="0" borderId="0" xfId="0" applyNumberFormat="1" applyFont="1" applyFill="1" applyBorder="1"/>
    <xf numFmtId="0" fontId="0" fillId="0" borderId="0" xfId="0" applyFont="1" applyFill="1" applyBorder="1"/>
    <xf numFmtId="0" fontId="42" fillId="0" borderId="0" xfId="0" applyFont="1" applyFill="1" applyAlignment="1">
      <alignment horizontal="left" wrapText="1"/>
    </xf>
    <xf numFmtId="0" fontId="42" fillId="0" borderId="0" xfId="0" applyFont="1" applyFill="1" applyAlignment="1">
      <alignment horizontal="left" vertical="center" wrapText="1"/>
    </xf>
    <xf numFmtId="0" fontId="0" fillId="0" borderId="0" xfId="0" applyFill="1" applyAlignment="1">
      <alignment horizontal="left" vertical="center"/>
    </xf>
    <xf numFmtId="0" fontId="42" fillId="0" borderId="0" xfId="0" applyFont="1" applyFill="1" applyAlignment="1">
      <alignment wrapText="1"/>
    </xf>
    <xf numFmtId="174" fontId="42" fillId="0" borderId="0" xfId="0" applyNumberFormat="1" applyFont="1" applyFill="1" applyAlignment="1">
      <alignment horizontal="right" wrapText="1"/>
    </xf>
    <xf numFmtId="0" fontId="42" fillId="0" borderId="0" xfId="0" applyFont="1" applyFill="1" applyAlignment="1">
      <alignment horizontal="right" wrapText="1"/>
    </xf>
    <xf numFmtId="0" fontId="17" fillId="0" borderId="0" xfId="0" applyFont="1"/>
    <xf numFmtId="0" fontId="48" fillId="0" borderId="0" xfId="0" applyFont="1" applyFill="1" applyAlignment="1">
      <alignment horizontal="right" wrapText="1"/>
    </xf>
    <xf numFmtId="0" fontId="44" fillId="0" borderId="0" xfId="0" applyFont="1" applyFill="1" applyAlignment="1">
      <alignment horizontal="right" wrapText="1"/>
    </xf>
    <xf numFmtId="175" fontId="0" fillId="0" borderId="0" xfId="0" applyNumberFormat="1" applyFont="1" applyFill="1"/>
    <xf numFmtId="175" fontId="0" fillId="0" borderId="0" xfId="0" applyNumberFormat="1" applyFont="1" applyFill="1" applyBorder="1"/>
    <xf numFmtId="176" fontId="0" fillId="0" borderId="0" xfId="0" applyNumberFormat="1" applyFont="1" applyFill="1"/>
    <xf numFmtId="1" fontId="23" fillId="0" borderId="0" xfId="0" applyNumberFormat="1" applyFont="1" applyFill="1"/>
    <xf numFmtId="1" fontId="23" fillId="0" borderId="0" xfId="0" applyNumberFormat="1" applyFont="1" applyFill="1" applyBorder="1"/>
    <xf numFmtId="0" fontId="4" fillId="0" borderId="0" xfId="0" applyFont="1" applyFill="1" applyAlignment="1">
      <alignment horizontal="left" indent="1"/>
    </xf>
    <xf numFmtId="166" fontId="4" fillId="0" borderId="0" xfId="0" applyNumberFormat="1" applyFont="1" applyFill="1"/>
    <xf numFmtId="165" fontId="23" fillId="0" borderId="0" xfId="0" applyNumberFormat="1" applyFont="1" applyFill="1" applyAlignment="1">
      <alignment horizontal="right" vertical="top"/>
    </xf>
    <xf numFmtId="165" fontId="23" fillId="0" borderId="0" xfId="0" applyNumberFormat="1" applyFont="1" applyFill="1" applyBorder="1" applyAlignment="1">
      <alignment horizontal="right" vertical="top"/>
    </xf>
    <xf numFmtId="0" fontId="23" fillId="0" borderId="0" xfId="0" applyFont="1" applyFill="1"/>
    <xf numFmtId="0" fontId="23" fillId="0" borderId="0" xfId="0" applyFont="1" applyFill="1" applyBorder="1"/>
    <xf numFmtId="10" fontId="50" fillId="0" borderId="0" xfId="0" applyNumberFormat="1" applyFont="1" applyFill="1" applyBorder="1"/>
    <xf numFmtId="166" fontId="51" fillId="0" borderId="0" xfId="0" applyNumberFormat="1" applyFont="1" applyFill="1" applyBorder="1"/>
    <xf numFmtId="0" fontId="13" fillId="0" borderId="0" xfId="0" applyFont="1" applyFill="1"/>
    <xf numFmtId="14" fontId="1" fillId="0" borderId="0" xfId="0" applyNumberFormat="1" applyFont="1" applyFill="1" applyBorder="1"/>
    <xf numFmtId="14" fontId="1" fillId="0" borderId="0" xfId="0" applyNumberFormat="1" applyFont="1" applyFill="1"/>
    <xf numFmtId="0" fontId="4" fillId="0" borderId="0" xfId="0" applyFont="1" applyFill="1"/>
    <xf numFmtId="0" fontId="13" fillId="0" borderId="0" xfId="0" applyFont="1" applyFill="1" applyAlignment="1"/>
    <xf numFmtId="166" fontId="4" fillId="0" borderId="0" xfId="0" applyNumberFormat="1" applyFont="1" applyFill="1" applyBorder="1"/>
    <xf numFmtId="14" fontId="22" fillId="0" borderId="0" xfId="0" applyNumberFormat="1" applyFont="1" applyFill="1" applyBorder="1"/>
    <xf numFmtId="0" fontId="51" fillId="0" borderId="0" xfId="0" applyFont="1" applyFill="1" applyAlignment="1">
      <alignment horizontal="left"/>
    </xf>
    <xf numFmtId="166" fontId="51" fillId="0" borderId="0" xfId="0" applyNumberFormat="1" applyFont="1" applyFill="1"/>
    <xf numFmtId="37" fontId="8" fillId="0" borderId="0" xfId="0" applyNumberFormat="1" applyFont="1" applyFill="1"/>
    <xf numFmtId="0" fontId="13" fillId="0" borderId="0" xfId="0" applyFont="1" applyFill="1" applyBorder="1"/>
    <xf numFmtId="9" fontId="13" fillId="0" borderId="0" xfId="495" applyFont="1" applyFill="1" applyBorder="1"/>
    <xf numFmtId="37" fontId="22" fillId="0" borderId="0" xfId="0" applyNumberFormat="1" applyFont="1" applyFill="1" applyBorder="1"/>
    <xf numFmtId="37" fontId="1" fillId="0" borderId="0" xfId="0" applyNumberFormat="1" applyFont="1" applyFill="1" applyBorder="1"/>
    <xf numFmtId="37" fontId="1" fillId="0" borderId="0" xfId="0" applyNumberFormat="1" applyFont="1" applyFill="1"/>
    <xf numFmtId="1" fontId="0" fillId="0" borderId="0" xfId="0" applyNumberFormat="1" applyFill="1" applyBorder="1"/>
    <xf numFmtId="3" fontId="0" fillId="0" borderId="0" xfId="0" applyNumberFormat="1" applyFill="1" applyBorder="1"/>
    <xf numFmtId="0" fontId="4" fillId="0" borderId="0" xfId="0" applyFont="1" applyFill="1" applyAlignment="1"/>
    <xf numFmtId="166" fontId="20" fillId="0" borderId="0" xfId="0" applyNumberFormat="1" applyFont="1" applyFill="1"/>
    <xf numFmtId="166" fontId="4" fillId="0" borderId="0" xfId="0" applyNumberFormat="1" applyFont="1" applyFill="1" applyBorder="1" applyAlignment="1">
      <alignment horizontal="right"/>
    </xf>
    <xf numFmtId="166" fontId="4" fillId="0" borderId="0" xfId="0" applyNumberFormat="1" applyFont="1" applyFill="1" applyAlignment="1">
      <alignment horizontal="right"/>
    </xf>
    <xf numFmtId="0" fontId="20" fillId="0" borderId="0" xfId="0" applyFont="1" applyFill="1" applyAlignment="1">
      <alignment horizontal="left" indent="1"/>
    </xf>
    <xf numFmtId="166" fontId="20" fillId="0" borderId="0" xfId="495" applyNumberFormat="1" applyFont="1" applyFill="1" applyBorder="1" applyAlignment="1"/>
    <xf numFmtId="166" fontId="4" fillId="0" borderId="0" xfId="495" applyNumberFormat="1" applyFont="1" applyFill="1" applyBorder="1" applyAlignment="1"/>
    <xf numFmtId="0" fontId="0" fillId="0" borderId="0" xfId="0" applyFill="1" applyBorder="1" applyAlignment="1">
      <alignment horizontal="right"/>
    </xf>
    <xf numFmtId="37" fontId="0" fillId="0" borderId="0" xfId="0" applyNumberFormat="1" applyFill="1" applyBorder="1"/>
    <xf numFmtId="166" fontId="4" fillId="0" borderId="0" xfId="495" applyNumberFormat="1" applyFont="1" applyFill="1" applyAlignment="1"/>
    <xf numFmtId="37" fontId="17" fillId="0" borderId="0" xfId="0" applyNumberFormat="1" applyFont="1" applyFill="1" applyBorder="1"/>
    <xf numFmtId="0" fontId="1" fillId="0" borderId="0" xfId="0" applyFont="1" applyFill="1" applyBorder="1"/>
    <xf numFmtId="166" fontId="5" fillId="0" borderId="0" xfId="495" applyNumberFormat="1" applyFont="1" applyFill="1" applyBorder="1"/>
    <xf numFmtId="1" fontId="5" fillId="0" borderId="0" xfId="0" applyNumberFormat="1" applyFont="1" applyFill="1" applyBorder="1"/>
    <xf numFmtId="1" fontId="5" fillId="0" borderId="0" xfId="0" applyNumberFormat="1" applyFont="1" applyFill="1"/>
    <xf numFmtId="165" fontId="7" fillId="0" borderId="0" xfId="0" applyNumberFormat="1" applyFont="1" applyFill="1" applyBorder="1" applyAlignment="1">
      <alignment horizontal="right" vertical="top"/>
    </xf>
    <xf numFmtId="10" fontId="4" fillId="0" borderId="0" xfId="0" applyNumberFormat="1" applyFont="1" applyFill="1"/>
    <xf numFmtId="2" fontId="0" fillId="0" borderId="0" xfId="0" applyNumberFormat="1" applyFill="1" applyBorder="1"/>
    <xf numFmtId="2" fontId="0" fillId="0" borderId="0" xfId="0" applyNumberFormat="1" applyFill="1"/>
    <xf numFmtId="170" fontId="21" fillId="0" borderId="0" xfId="0" applyNumberFormat="1" applyFont="1" applyFill="1" applyBorder="1"/>
    <xf numFmtId="9" fontId="0" fillId="0" borderId="0" xfId="495" applyFont="1" applyFill="1" applyBorder="1"/>
    <xf numFmtId="37" fontId="25" fillId="0" borderId="0" xfId="0" applyNumberFormat="1" applyFont="1" applyFill="1" applyBorder="1"/>
    <xf numFmtId="37" fontId="6" fillId="0" borderId="0" xfId="0" applyNumberFormat="1" applyFont="1" applyFill="1" applyBorder="1"/>
    <xf numFmtId="0" fontId="0" fillId="0" borderId="0" xfId="0" applyFont="1" applyFill="1"/>
    <xf numFmtId="37" fontId="13" fillId="0" borderId="0" xfId="0" applyNumberFormat="1" applyFont="1" applyFill="1" applyBorder="1"/>
    <xf numFmtId="41" fontId="7" fillId="0" borderId="0" xfId="0" applyNumberFormat="1" applyFont="1" applyFill="1" applyBorder="1"/>
    <xf numFmtId="41" fontId="0" fillId="0" borderId="0" xfId="0" applyNumberFormat="1" applyFill="1" applyBorder="1"/>
    <xf numFmtId="37" fontId="5" fillId="0" borderId="0" xfId="0" applyNumberFormat="1" applyFont="1" applyFill="1" applyBorder="1"/>
    <xf numFmtId="43" fontId="23" fillId="0" borderId="0" xfId="0" applyNumberFormat="1" applyFont="1" applyFill="1" applyBorder="1"/>
    <xf numFmtId="166" fontId="0" fillId="0" borderId="0" xfId="495" applyNumberFormat="1" applyFont="1" applyFill="1" applyBorder="1"/>
    <xf numFmtId="10" fontId="4" fillId="0" borderId="0" xfId="0" applyNumberFormat="1" applyFont="1" applyFill="1" applyBorder="1"/>
    <xf numFmtId="37" fontId="23" fillId="0" borderId="0" xfId="0" applyNumberFormat="1" applyFont="1" applyFill="1" applyBorder="1"/>
    <xf numFmtId="1" fontId="13" fillId="0" borderId="0" xfId="0" applyNumberFormat="1" applyFont="1" applyFill="1" applyBorder="1"/>
    <xf numFmtId="9" fontId="7" fillId="0" borderId="0" xfId="495" applyFont="1" applyFill="1" applyBorder="1"/>
    <xf numFmtId="9" fontId="1" fillId="0" borderId="0" xfId="495" applyFont="1" applyFill="1" applyBorder="1"/>
    <xf numFmtId="43" fontId="7" fillId="0" borderId="0" xfId="0" applyNumberFormat="1" applyFont="1" applyFill="1" applyBorder="1"/>
    <xf numFmtId="6" fontId="7" fillId="0" borderId="0" xfId="0" applyNumberFormat="1" applyFont="1" applyFill="1" applyBorder="1"/>
    <xf numFmtId="8" fontId="7" fillId="0" borderId="0" xfId="0" applyNumberFormat="1" applyFont="1" applyFill="1" applyBorder="1"/>
    <xf numFmtId="0" fontId="0" fillId="0" borderId="0" xfId="0" applyFont="1" applyFill="1" applyAlignment="1"/>
    <xf numFmtId="0" fontId="52" fillId="0" borderId="0" xfId="0" applyFont="1" applyFill="1" applyAlignment="1">
      <alignment vertical="top"/>
    </xf>
    <xf numFmtId="0" fontId="52" fillId="0" borderId="0" xfId="0" applyFont="1" applyFill="1" applyAlignment="1">
      <alignment vertical="top" wrapText="1"/>
    </xf>
    <xf numFmtId="168" fontId="0" fillId="0" borderId="0" xfId="0" applyNumberFormat="1" applyFont="1" applyFill="1"/>
    <xf numFmtId="0" fontId="0" fillId="0" borderId="0" xfId="0" applyFont="1" applyFill="1" applyAlignment="1">
      <alignment horizontal="left"/>
    </xf>
    <xf numFmtId="37" fontId="0" fillId="0" borderId="0" xfId="0" applyNumberFormat="1" applyFont="1" applyFill="1" applyBorder="1"/>
    <xf numFmtId="37" fontId="24" fillId="0" borderId="0" xfId="0" applyNumberFormat="1" applyFont="1" applyFill="1" applyBorder="1"/>
    <xf numFmtId="166" fontId="16" fillId="0" borderId="0" xfId="495" applyNumberFormat="1" applyFont="1" applyFill="1" applyBorder="1"/>
    <xf numFmtId="9" fontId="16" fillId="0" borderId="0" xfId="495" applyFont="1" applyFill="1" applyBorder="1"/>
    <xf numFmtId="41" fontId="0" fillId="0" borderId="0" xfId="0" applyNumberFormat="1" applyFont="1" applyFill="1" applyBorder="1"/>
    <xf numFmtId="0" fontId="0" fillId="0" borderId="0" xfId="0" applyFont="1" applyFill="1" applyAlignment="1">
      <alignment horizontal="center"/>
    </xf>
    <xf numFmtId="0" fontId="54" fillId="0" borderId="0" xfId="0" applyFont="1" applyFill="1"/>
    <xf numFmtId="0" fontId="54" fillId="0" borderId="0" xfId="0" applyFont="1" applyFill="1" applyAlignment="1">
      <alignment horizontal="left"/>
    </xf>
    <xf numFmtId="14" fontId="5" fillId="0" borderId="0" xfId="0" applyNumberFormat="1" applyFont="1" applyFill="1" applyBorder="1"/>
    <xf numFmtId="14" fontId="0" fillId="34" borderId="0" xfId="0" applyNumberFormat="1" applyFill="1"/>
    <xf numFmtId="0" fontId="0" fillId="34" borderId="0" xfId="0" applyFill="1"/>
    <xf numFmtId="39" fontId="23" fillId="34" borderId="0" xfId="0" applyNumberFormat="1" applyFont="1" applyFill="1"/>
    <xf numFmtId="37" fontId="23" fillId="0" borderId="0" xfId="0" applyNumberFormat="1" applyFont="1"/>
    <xf numFmtId="0" fontId="53" fillId="0" borderId="0" xfId="0" applyFont="1"/>
    <xf numFmtId="3" fontId="49" fillId="0" borderId="0" xfId="0" applyNumberFormat="1" applyFont="1" applyFill="1" applyAlignment="1">
      <alignment horizontal="right"/>
    </xf>
    <xf numFmtId="166" fontId="24" fillId="0" borderId="0" xfId="0" applyNumberFormat="1" applyFont="1" applyFill="1" applyBorder="1"/>
    <xf numFmtId="176" fontId="0" fillId="0" borderId="0" xfId="0" applyNumberFormat="1" applyFont="1" applyFill="1" applyBorder="1"/>
    <xf numFmtId="37" fontId="8" fillId="0" borderId="0" xfId="0" applyNumberFormat="1" applyFont="1" applyFill="1" applyBorder="1"/>
    <xf numFmtId="166" fontId="49" fillId="0" borderId="0" xfId="0" applyNumberFormat="1" applyFont="1" applyFill="1" applyBorder="1"/>
    <xf numFmtId="9" fontId="0" fillId="0" borderId="0" xfId="495" applyFont="1" applyFill="1"/>
    <xf numFmtId="166" fontId="0" fillId="0" borderId="0" xfId="495" applyNumberFormat="1" applyFont="1" applyFill="1"/>
    <xf numFmtId="172" fontId="0" fillId="0" borderId="0" xfId="0" applyNumberFormat="1"/>
    <xf numFmtId="166" fontId="24" fillId="0" borderId="0" xfId="495" applyNumberFormat="1" applyFont="1" applyFill="1" applyBorder="1"/>
    <xf numFmtId="0" fontId="0" fillId="0" borderId="0" xfId="0" applyBorder="1"/>
    <xf numFmtId="37" fontId="0" fillId="0" borderId="0" xfId="0" applyNumberFormat="1" applyBorder="1"/>
    <xf numFmtId="171" fontId="0" fillId="0" borderId="0" xfId="0" applyNumberFormat="1" applyFont="1" applyFill="1" applyBorder="1" applyAlignment="1">
      <alignment horizontal="right"/>
    </xf>
    <xf numFmtId="37" fontId="1" fillId="0" borderId="0" xfId="0" applyNumberFormat="1" applyFont="1" applyFill="1" applyBorder="1" applyAlignment="1">
      <alignment horizontal="right"/>
    </xf>
    <xf numFmtId="37" fontId="25" fillId="0" borderId="0" xfId="0" applyNumberFormat="1" applyFont="1" applyFill="1" applyBorder="1" applyAlignment="1">
      <alignment horizontal="right"/>
    </xf>
    <xf numFmtId="3" fontId="23" fillId="0" borderId="0" xfId="0" applyNumberFormat="1" applyFont="1" applyFill="1" applyAlignment="1">
      <alignment horizontal="right"/>
    </xf>
    <xf numFmtId="3" fontId="23" fillId="0" borderId="0" xfId="0" applyNumberFormat="1" applyFont="1" applyFill="1" applyBorder="1" applyAlignment="1">
      <alignment horizontal="right"/>
    </xf>
    <xf numFmtId="37" fontId="5" fillId="0" borderId="0" xfId="0" applyNumberFormat="1" applyFont="1" applyFill="1" applyBorder="1" applyAlignment="1">
      <alignment horizontal="right"/>
    </xf>
    <xf numFmtId="0" fontId="0" fillId="0" borderId="0" xfId="0" applyFill="1" applyAlignment="1">
      <alignment horizontal="right"/>
    </xf>
    <xf numFmtId="1" fontId="0" fillId="0" borderId="0" xfId="0" applyNumberFormat="1" applyFill="1" applyBorder="1" applyAlignment="1">
      <alignment horizontal="right"/>
    </xf>
    <xf numFmtId="37" fontId="1" fillId="0" borderId="0" xfId="0" applyNumberFormat="1" applyFont="1" applyFill="1" applyAlignment="1">
      <alignment horizontal="right"/>
    </xf>
    <xf numFmtId="8" fontId="7" fillId="0" borderId="0" xfId="0" applyNumberFormat="1" applyFont="1" applyFill="1" applyBorder="1" applyAlignment="1">
      <alignment horizontal="right"/>
    </xf>
    <xf numFmtId="8" fontId="0" fillId="0" borderId="0" xfId="0" applyNumberFormat="1" applyFont="1" applyFill="1" applyBorder="1" applyAlignment="1">
      <alignment horizontal="right"/>
    </xf>
    <xf numFmtId="8" fontId="7" fillId="0" borderId="0" xfId="0" applyNumberFormat="1" applyFont="1" applyFill="1" applyAlignment="1">
      <alignment horizontal="right"/>
    </xf>
    <xf numFmtId="0" fontId="24" fillId="0" borderId="0" xfId="0" applyFont="1" applyFill="1"/>
    <xf numFmtId="37" fontId="23" fillId="0" borderId="0" xfId="0" applyNumberFormat="1" applyFont="1" applyFill="1" applyAlignment="1">
      <alignment horizontal="right"/>
    </xf>
    <xf numFmtId="37" fontId="23" fillId="0" borderId="0" xfId="0" applyNumberFormat="1" applyFont="1" applyFill="1" applyBorder="1" applyAlignment="1">
      <alignment horizontal="right"/>
    </xf>
    <xf numFmtId="0" fontId="4" fillId="0" borderId="0" xfId="0" applyFont="1" applyFill="1" applyAlignment="1">
      <alignment horizontal="left"/>
    </xf>
    <xf numFmtId="14" fontId="0" fillId="0" borderId="0" xfId="0" applyNumberFormat="1" applyFill="1" applyAlignment="1">
      <alignment horizontal="right"/>
    </xf>
    <xf numFmtId="0" fontId="24" fillId="0" borderId="0" xfId="0" applyFont="1" applyFill="1" applyBorder="1"/>
    <xf numFmtId="0" fontId="51" fillId="0" borderId="0" xfId="0" applyFont="1" applyFill="1" applyAlignment="1">
      <alignment horizontal="left" indent="1"/>
    </xf>
    <xf numFmtId="166" fontId="51" fillId="0" borderId="0" xfId="0" applyNumberFormat="1" applyFont="1" applyFill="1" applyAlignment="1">
      <alignment horizontal="right"/>
    </xf>
    <xf numFmtId="169" fontId="0" fillId="0" borderId="0" xfId="0" applyNumberFormat="1" applyFont="1" applyFill="1"/>
    <xf numFmtId="0" fontId="51" fillId="0" borderId="0" xfId="0" applyFont="1" applyFill="1"/>
    <xf numFmtId="166" fontId="51" fillId="0" borderId="0" xfId="495" applyNumberFormat="1" applyFont="1" applyFill="1" applyBorder="1" applyAlignment="1">
      <alignment horizontal="right"/>
    </xf>
    <xf numFmtId="0" fontId="24" fillId="0" borderId="0" xfId="0" applyFont="1" applyFill="1" applyAlignment="1">
      <alignment horizontal="left"/>
    </xf>
    <xf numFmtId="166" fontId="0" fillId="0" borderId="0" xfId="0" applyNumberFormat="1"/>
    <xf numFmtId="167" fontId="20" fillId="0" borderId="0" xfId="495" applyNumberFormat="1" applyFont="1" applyFill="1" applyAlignment="1"/>
    <xf numFmtId="166" fontId="23" fillId="0" borderId="0" xfId="495" applyNumberFormat="1" applyFont="1" applyFill="1"/>
    <xf numFmtId="3" fontId="5" fillId="0" borderId="0" xfId="0" applyNumberFormat="1" applyFont="1" applyFill="1" applyAlignment="1">
      <alignment horizontal="right"/>
    </xf>
    <xf numFmtId="178" fontId="49" fillId="0" borderId="0" xfId="0" applyNumberFormat="1" applyFont="1" applyFill="1"/>
    <xf numFmtId="3" fontId="13" fillId="0" borderId="0" xfId="0" applyNumberFormat="1" applyFont="1" applyFill="1" applyBorder="1"/>
    <xf numFmtId="3" fontId="5" fillId="0" borderId="0" xfId="0" applyNumberFormat="1" applyFont="1" applyFill="1" applyBorder="1" applyAlignment="1">
      <alignment horizontal="right"/>
    </xf>
    <xf numFmtId="37" fontId="5" fillId="0" borderId="0" xfId="0" applyNumberFormat="1" applyFont="1" applyFill="1" applyAlignment="1">
      <alignment horizontal="right"/>
    </xf>
    <xf numFmtId="5" fontId="49" fillId="0" borderId="0" xfId="0" applyNumberFormat="1" applyFont="1" applyFill="1" applyAlignment="1">
      <alignment horizontal="right"/>
    </xf>
    <xf numFmtId="5" fontId="5" fillId="0" borderId="0" xfId="0" applyNumberFormat="1" applyFont="1" applyFill="1" applyAlignment="1">
      <alignment horizontal="right"/>
    </xf>
    <xf numFmtId="5" fontId="23" fillId="0" borderId="0" xfId="0" applyNumberFormat="1" applyFont="1" applyFill="1" applyAlignment="1">
      <alignment horizontal="right"/>
    </xf>
    <xf numFmtId="5" fontId="5" fillId="0" borderId="0" xfId="0" applyNumberFormat="1" applyFont="1" applyFill="1" applyBorder="1" applyAlignment="1">
      <alignment horizontal="right"/>
    </xf>
    <xf numFmtId="5" fontId="0" fillId="0" borderId="0" xfId="0" applyNumberFormat="1" applyFill="1" applyAlignment="1">
      <alignment horizontal="right"/>
    </xf>
    <xf numFmtId="5" fontId="0" fillId="0" borderId="0" xfId="0" applyNumberFormat="1" applyFill="1" applyBorder="1" applyAlignment="1">
      <alignment horizontal="right"/>
    </xf>
    <xf numFmtId="179" fontId="23" fillId="0" borderId="0" xfId="0" applyNumberFormat="1" applyFont="1" applyFill="1" applyAlignment="1">
      <alignment horizontal="right"/>
    </xf>
    <xf numFmtId="179" fontId="54" fillId="0" borderId="0" xfId="0" applyNumberFormat="1" applyFont="1" applyFill="1" applyAlignment="1">
      <alignment horizontal="right"/>
    </xf>
    <xf numFmtId="179" fontId="54" fillId="0" borderId="0" xfId="0" applyNumberFormat="1" applyFont="1" applyFill="1" applyBorder="1" applyAlignment="1">
      <alignment horizontal="right"/>
    </xf>
    <xf numFmtId="179" fontId="57" fillId="0" borderId="0" xfId="0" applyNumberFormat="1" applyFont="1" applyFill="1" applyAlignment="1">
      <alignment horizontal="right"/>
    </xf>
    <xf numFmtId="179" fontId="57" fillId="0" borderId="0" xfId="0" applyNumberFormat="1" applyFont="1" applyFill="1" applyBorder="1" applyAlignment="1">
      <alignment horizontal="right"/>
    </xf>
    <xf numFmtId="179" fontId="51" fillId="0" borderId="0" xfId="0" applyNumberFormat="1" applyFont="1" applyFill="1" applyAlignment="1">
      <alignment horizontal="right"/>
    </xf>
    <xf numFmtId="179" fontId="7" fillId="0" borderId="0" xfId="0" applyNumberFormat="1" applyFont="1" applyFill="1" applyBorder="1" applyAlignment="1">
      <alignment horizontal="right"/>
    </xf>
    <xf numFmtId="179" fontId="49" fillId="0" borderId="0" xfId="0" applyNumberFormat="1" applyFont="1" applyFill="1" applyAlignment="1">
      <alignment horizontal="right"/>
    </xf>
    <xf numFmtId="179" fontId="0" fillId="0" borderId="0" xfId="0" applyNumberFormat="1" applyFont="1" applyFill="1" applyBorder="1" applyAlignment="1">
      <alignment horizontal="right"/>
    </xf>
    <xf numFmtId="0" fontId="0" fillId="0" borderId="0" xfId="0" applyFill="1" applyAlignment="1">
      <alignment horizontal="left"/>
    </xf>
    <xf numFmtId="179" fontId="56" fillId="0" borderId="0" xfId="0" applyNumberFormat="1" applyFont="1" applyFill="1" applyAlignment="1">
      <alignment horizontal="right"/>
    </xf>
    <xf numFmtId="0" fontId="0" fillId="0" borderId="0" xfId="0" applyFill="1" applyAlignment="1"/>
    <xf numFmtId="170" fontId="49" fillId="0" borderId="0" xfId="0" applyNumberFormat="1" applyFont="1" applyFill="1" applyAlignment="1">
      <alignment horizontal="right"/>
    </xf>
    <xf numFmtId="170" fontId="23" fillId="0" borderId="0" xfId="0" applyNumberFormat="1" applyFont="1" applyFill="1" applyAlignment="1">
      <alignment horizontal="right"/>
    </xf>
    <xf numFmtId="166" fontId="20" fillId="0" borderId="0" xfId="0" applyNumberFormat="1" applyFont="1" applyFill="1" applyAlignment="1">
      <alignment horizontal="right"/>
    </xf>
    <xf numFmtId="166" fontId="20" fillId="0" borderId="0" xfId="495" applyNumberFormat="1" applyFont="1" applyFill="1" applyBorder="1" applyAlignment="1">
      <alignment horizontal="right"/>
    </xf>
    <xf numFmtId="0" fontId="0" fillId="0" borderId="0" xfId="0" applyFont="1" applyFill="1" applyAlignment="1">
      <alignment horizontal="left" indent="1"/>
    </xf>
    <xf numFmtId="37" fontId="0" fillId="0" borderId="0" xfId="0" applyNumberFormat="1" applyFill="1" applyBorder="1" applyAlignment="1">
      <alignment horizontal="right"/>
    </xf>
    <xf numFmtId="170" fontId="1" fillId="0" borderId="0" xfId="0" applyNumberFormat="1" applyFont="1" applyFill="1" applyBorder="1" applyAlignment="1">
      <alignment horizontal="right"/>
    </xf>
    <xf numFmtId="179" fontId="57" fillId="0" borderId="0" xfId="495" applyNumberFormat="1" applyFont="1" applyFill="1" applyAlignment="1">
      <alignment horizontal="right" indent="1"/>
    </xf>
    <xf numFmtId="166" fontId="16" fillId="0" borderId="0" xfId="495" applyNumberFormat="1" applyFont="1" applyFill="1" applyBorder="1" applyAlignment="1">
      <alignment horizontal="right" indent="1"/>
    </xf>
    <xf numFmtId="5" fontId="5" fillId="34" borderId="0" xfId="0" applyNumberFormat="1" applyFont="1" applyFill="1" applyBorder="1"/>
    <xf numFmtId="166" fontId="0" fillId="0" borderId="0" xfId="0" applyNumberFormat="1" applyFont="1" applyFill="1" applyBorder="1"/>
    <xf numFmtId="165" fontId="5" fillId="0" borderId="0" xfId="0" applyNumberFormat="1" applyFont="1" applyFill="1" applyAlignment="1">
      <alignment horizontal="right" vertical="top"/>
    </xf>
    <xf numFmtId="165" fontId="5" fillId="0" borderId="0" xfId="0" applyNumberFormat="1" applyFont="1" applyFill="1" applyBorder="1" applyAlignment="1">
      <alignment horizontal="right" vertical="top"/>
    </xf>
    <xf numFmtId="0" fontId="57" fillId="0" borderId="0" xfId="0" applyFont="1" applyFill="1" applyAlignment="1"/>
    <xf numFmtId="5" fontId="1" fillId="0" borderId="0" xfId="0" applyNumberFormat="1" applyFont="1" applyFill="1" applyBorder="1" applyAlignment="1">
      <alignment horizontal="right"/>
    </xf>
    <xf numFmtId="5" fontId="0" fillId="0" borderId="0" xfId="0" applyNumberFormat="1" applyFont="1" applyFill="1" applyBorder="1" applyAlignment="1">
      <alignment horizontal="right"/>
    </xf>
    <xf numFmtId="5" fontId="57" fillId="0" borderId="0" xfId="0" applyNumberFormat="1" applyFont="1" applyFill="1"/>
    <xf numFmtId="170" fontId="49" fillId="0" borderId="0" xfId="0" applyNumberFormat="1" applyFont="1" applyFill="1" applyBorder="1" applyAlignment="1">
      <alignment horizontal="right"/>
    </xf>
    <xf numFmtId="180" fontId="54" fillId="0" borderId="0" xfId="0" applyNumberFormat="1" applyFont="1" applyFill="1" applyAlignment="1">
      <alignment horizontal="right"/>
    </xf>
    <xf numFmtId="177" fontId="49" fillId="0" borderId="0" xfId="0" applyNumberFormat="1" applyFont="1" applyFill="1" applyAlignment="1">
      <alignment horizontal="right"/>
    </xf>
    <xf numFmtId="179" fontId="54" fillId="0" borderId="0" xfId="0" applyNumberFormat="1" applyFont="1" applyFill="1" applyBorder="1"/>
    <xf numFmtId="180" fontId="49" fillId="0" borderId="0" xfId="0" applyNumberFormat="1" applyFont="1" applyFill="1" applyAlignment="1">
      <alignment horizontal="right"/>
    </xf>
    <xf numFmtId="180" fontId="5" fillId="0" borderId="0" xfId="0" applyNumberFormat="1" applyFont="1" applyFill="1" applyAlignment="1">
      <alignment horizontal="right"/>
    </xf>
    <xf numFmtId="180" fontId="23" fillId="0" borderId="0" xfId="0" applyNumberFormat="1" applyFont="1" applyFill="1" applyAlignment="1">
      <alignment horizontal="right"/>
    </xf>
    <xf numFmtId="180" fontId="5" fillId="0" borderId="0" xfId="0" applyNumberFormat="1" applyFont="1" applyFill="1" applyBorder="1" applyAlignment="1">
      <alignment horizontal="right"/>
    </xf>
    <xf numFmtId="181" fontId="49" fillId="0" borderId="0" xfId="0" applyNumberFormat="1" applyFont="1" applyFill="1" applyAlignment="1">
      <alignment horizontal="right"/>
    </xf>
    <xf numFmtId="181" fontId="5" fillId="0" borderId="0" xfId="0" applyNumberFormat="1" applyFont="1" applyFill="1" applyAlignment="1">
      <alignment horizontal="right"/>
    </xf>
    <xf numFmtId="181" fontId="23" fillId="0" borderId="0" xfId="0" applyNumberFormat="1" applyFont="1" applyFill="1" applyAlignment="1">
      <alignment horizontal="right"/>
    </xf>
    <xf numFmtId="180" fontId="0" fillId="0" borderId="0" xfId="0" applyNumberFormat="1" applyFill="1" applyBorder="1" applyAlignment="1">
      <alignment horizontal="right"/>
    </xf>
    <xf numFmtId="180" fontId="22" fillId="0" borderId="0" xfId="0" applyNumberFormat="1" applyFont="1" applyFill="1" applyBorder="1"/>
    <xf numFmtId="180" fontId="0" fillId="0" borderId="0" xfId="0" applyNumberFormat="1" applyFill="1" applyBorder="1"/>
    <xf numFmtId="180" fontId="0" fillId="0" borderId="0" xfId="0" applyNumberFormat="1" applyFill="1"/>
    <xf numFmtId="180" fontId="49" fillId="0" borderId="0" xfId="0" applyNumberFormat="1" applyFont="1" applyFill="1"/>
    <xf numFmtId="180" fontId="21" fillId="0" borderId="0" xfId="0" applyNumberFormat="1" applyFont="1" applyFill="1"/>
    <xf numFmtId="179" fontId="22" fillId="0" borderId="0" xfId="0" applyNumberFormat="1" applyFont="1" applyFill="1" applyBorder="1"/>
    <xf numFmtId="179" fontId="0" fillId="0" borderId="0" xfId="0" applyNumberFormat="1" applyFill="1" applyBorder="1"/>
    <xf numFmtId="179" fontId="0" fillId="0" borderId="0" xfId="0" applyNumberFormat="1" applyFill="1"/>
    <xf numFmtId="182" fontId="54" fillId="0" borderId="0" xfId="0" applyNumberFormat="1" applyFont="1" applyFill="1" applyAlignment="1">
      <alignment horizontal="right"/>
    </xf>
    <xf numFmtId="182" fontId="54" fillId="0" borderId="0" xfId="0" applyNumberFormat="1" applyFont="1" applyFill="1" applyBorder="1" applyAlignment="1">
      <alignment horizontal="right"/>
    </xf>
    <xf numFmtId="180" fontId="5" fillId="34" borderId="0" xfId="0" applyNumberFormat="1" applyFont="1" applyFill="1" applyBorder="1"/>
    <xf numFmtId="180" fontId="5" fillId="0" borderId="0" xfId="0" applyNumberFormat="1" applyFont="1" applyFill="1" applyBorder="1"/>
    <xf numFmtId="183" fontId="5" fillId="0" borderId="0" xfId="0" applyNumberFormat="1" applyFont="1" applyFill="1" applyAlignment="1">
      <alignment horizontal="right" vertical="top"/>
    </xf>
    <xf numFmtId="183" fontId="5" fillId="0" borderId="0" xfId="0" applyNumberFormat="1" applyFont="1" applyFill="1" applyBorder="1" applyAlignment="1">
      <alignment horizontal="right" vertical="top"/>
    </xf>
    <xf numFmtId="183" fontId="57" fillId="0" borderId="0" xfId="0" applyNumberFormat="1" applyFont="1" applyFill="1" applyAlignment="1">
      <alignment horizontal="right"/>
    </xf>
    <xf numFmtId="184" fontId="57" fillId="0" borderId="0" xfId="0" applyNumberFormat="1" applyFont="1" applyFill="1" applyBorder="1" applyAlignment="1">
      <alignment horizontal="right" vertical="top"/>
    </xf>
    <xf numFmtId="179" fontId="50" fillId="0" borderId="0" xfId="0" applyNumberFormat="1" applyFont="1" applyFill="1" applyAlignment="1">
      <alignment horizontal="right"/>
    </xf>
    <xf numFmtId="179" fontId="55" fillId="0" borderId="0" xfId="495" applyNumberFormat="1" applyFont="1" applyFill="1" applyBorder="1" applyAlignment="1">
      <alignment horizontal="right"/>
    </xf>
    <xf numFmtId="181" fontId="57" fillId="0" borderId="0" xfId="0" applyNumberFormat="1" applyFont="1" applyFill="1" applyBorder="1" applyAlignment="1">
      <alignment horizontal="right"/>
    </xf>
    <xf numFmtId="181" fontId="57" fillId="0" borderId="0" xfId="0" applyNumberFormat="1" applyFont="1" applyFill="1" applyAlignment="1">
      <alignment horizontal="right"/>
    </xf>
    <xf numFmtId="180" fontId="23" fillId="0" borderId="0" xfId="0" applyNumberFormat="1" applyFont="1" applyFill="1" applyBorder="1" applyAlignment="1">
      <alignment horizontal="right" vertical="top"/>
    </xf>
    <xf numFmtId="181" fontId="49" fillId="0" borderId="0" xfId="0" applyNumberFormat="1" applyFont="1" applyFill="1" applyBorder="1" applyAlignment="1">
      <alignment horizontal="right"/>
    </xf>
    <xf numFmtId="180" fontId="0" fillId="0" borderId="0" xfId="0" applyNumberFormat="1" applyFont="1" applyFill="1" applyBorder="1" applyAlignment="1">
      <alignment horizontal="right"/>
    </xf>
    <xf numFmtId="180" fontId="49" fillId="0" borderId="0" xfId="0" applyNumberFormat="1" applyFont="1" applyFill="1" applyBorder="1" applyAlignment="1">
      <alignment horizontal="right"/>
    </xf>
    <xf numFmtId="0" fontId="58" fillId="0" borderId="0" xfId="0" applyFont="1"/>
    <xf numFmtId="185" fontId="49" fillId="0" borderId="0" xfId="0" applyNumberFormat="1" applyFont="1" applyFill="1" applyAlignment="1">
      <alignment horizontal="right"/>
    </xf>
    <xf numFmtId="185" fontId="5" fillId="0" borderId="0" xfId="0" applyNumberFormat="1" applyFont="1" applyFill="1" applyAlignment="1">
      <alignment horizontal="right"/>
    </xf>
    <xf numFmtId="185" fontId="49" fillId="0" borderId="0" xfId="0" applyNumberFormat="1" applyFont="1" applyFill="1" applyBorder="1" applyAlignment="1">
      <alignment horizontal="right"/>
    </xf>
    <xf numFmtId="186" fontId="54" fillId="0" borderId="0" xfId="0" applyNumberFormat="1" applyFont="1" applyFill="1" applyAlignment="1">
      <alignment horizontal="right"/>
    </xf>
    <xf numFmtId="187" fontId="57" fillId="0" borderId="0" xfId="0" applyNumberFormat="1" applyFont="1" applyFill="1" applyAlignment="1">
      <alignment horizontal="right"/>
    </xf>
    <xf numFmtId="188" fontId="54" fillId="0" borderId="0" xfId="0" applyNumberFormat="1" applyFont="1" applyFill="1" applyAlignment="1">
      <alignment horizontal="right"/>
    </xf>
    <xf numFmtId="37" fontId="54" fillId="0" borderId="0" xfId="0" applyNumberFormat="1" applyFont="1" applyFill="1" applyAlignment="1">
      <alignment horizontal="right"/>
    </xf>
    <xf numFmtId="189" fontId="54" fillId="0" borderId="0" xfId="0" applyNumberFormat="1" applyFont="1" applyFill="1" applyAlignment="1">
      <alignment horizontal="right"/>
    </xf>
    <xf numFmtId="189" fontId="49" fillId="0" borderId="0" xfId="0" applyNumberFormat="1" applyFont="1" applyFill="1" applyAlignment="1">
      <alignment horizontal="right"/>
    </xf>
    <xf numFmtId="189" fontId="23" fillId="0" borderId="0" xfId="0" applyNumberFormat="1" applyFont="1" applyFill="1" applyAlignment="1">
      <alignment horizontal="right"/>
    </xf>
    <xf numFmtId="37" fontId="6" fillId="0" borderId="0" xfId="0" applyNumberFormat="1" applyFont="1" applyFill="1" applyBorder="1" applyAlignment="1">
      <alignment horizontal="right"/>
    </xf>
    <xf numFmtId="0" fontId="52" fillId="0" borderId="0" xfId="0" applyFont="1" applyFill="1" applyAlignment="1">
      <alignment horizontal="left" vertical="top"/>
    </xf>
    <xf numFmtId="190" fontId="54" fillId="0" borderId="0" xfId="0" applyNumberFormat="1" applyFont="1" applyFill="1" applyAlignment="1">
      <alignment horizontal="right"/>
    </xf>
    <xf numFmtId="186" fontId="57" fillId="0" borderId="0" xfId="0" applyNumberFormat="1" applyFont="1" applyFill="1" applyAlignment="1">
      <alignment horizontal="right"/>
    </xf>
    <xf numFmtId="186" fontId="54" fillId="0" borderId="0" xfId="0" applyNumberFormat="1" applyFont="1" applyFill="1" applyBorder="1" applyAlignment="1">
      <alignment horizontal="right"/>
    </xf>
    <xf numFmtId="190" fontId="54" fillId="0" borderId="0" xfId="0" applyNumberFormat="1" applyFont="1" applyFill="1" applyBorder="1" applyAlignment="1">
      <alignment horizontal="right"/>
    </xf>
    <xf numFmtId="5" fontId="25" fillId="0" borderId="0" xfId="0" applyNumberFormat="1" applyFont="1" applyFill="1" applyBorder="1" applyAlignment="1">
      <alignment horizontal="right"/>
    </xf>
    <xf numFmtId="37" fontId="0" fillId="0" borderId="0" xfId="0" applyNumberFormat="1" applyFont="1" applyFill="1" applyBorder="1" applyAlignment="1">
      <alignment horizontal="right"/>
    </xf>
    <xf numFmtId="5" fontId="6" fillId="0" borderId="0" xfId="0" applyNumberFormat="1" applyFont="1" applyFill="1" applyBorder="1" applyAlignment="1">
      <alignment horizontal="right"/>
    </xf>
    <xf numFmtId="170" fontId="5" fillId="0" borderId="0" xfId="0" applyNumberFormat="1" applyFont="1" applyFill="1" applyAlignment="1">
      <alignment horizontal="right"/>
    </xf>
    <xf numFmtId="37" fontId="49" fillId="0" borderId="0" xfId="0" applyNumberFormat="1" applyFont="1" applyFill="1" applyBorder="1" applyAlignment="1">
      <alignment horizontal="right"/>
    </xf>
    <xf numFmtId="37" fontId="0" fillId="0" borderId="0" xfId="0" applyNumberFormat="1" applyFont="1" applyFill="1"/>
    <xf numFmtId="5" fontId="49" fillId="0" borderId="0" xfId="0" applyNumberFormat="1" applyFont="1" applyFill="1" applyBorder="1" applyAlignment="1">
      <alignment horizontal="right"/>
    </xf>
    <xf numFmtId="170" fontId="0" fillId="0" borderId="0" xfId="0" applyNumberFormat="1" applyFont="1" applyFill="1" applyAlignment="1">
      <alignment horizontal="right"/>
    </xf>
    <xf numFmtId="170" fontId="23" fillId="0" borderId="0" xfId="0" applyNumberFormat="1" applyFont="1" applyFill="1" applyBorder="1" applyAlignment="1">
      <alignment horizontal="right"/>
    </xf>
    <xf numFmtId="191" fontId="7" fillId="0" borderId="0" xfId="0" applyNumberFormat="1" applyFont="1" applyFill="1" applyBorder="1" applyAlignment="1">
      <alignment horizontal="right"/>
    </xf>
    <xf numFmtId="191" fontId="23" fillId="0" borderId="0" xfId="0" applyNumberFormat="1" applyFont="1" applyFill="1" applyAlignment="1">
      <alignment horizontal="right"/>
    </xf>
    <xf numFmtId="186" fontId="57" fillId="0" borderId="0" xfId="495" applyNumberFormat="1" applyFont="1" applyFill="1" applyAlignment="1">
      <alignment horizontal="right"/>
    </xf>
    <xf numFmtId="186" fontId="59" fillId="0" borderId="0" xfId="0" applyNumberFormat="1" applyFont="1" applyAlignment="1">
      <alignment horizontal="right"/>
    </xf>
    <xf numFmtId="186" fontId="57" fillId="0" borderId="0" xfId="0" applyNumberFormat="1" applyFont="1" applyFill="1" applyBorder="1" applyAlignment="1">
      <alignment horizontal="right"/>
    </xf>
    <xf numFmtId="0" fontId="57" fillId="0" borderId="0" xfId="0" applyFont="1" applyFill="1" applyAlignment="1">
      <alignment horizontal="left"/>
    </xf>
    <xf numFmtId="186" fontId="57" fillId="0" borderId="0" xfId="495" applyNumberFormat="1" applyFont="1" applyFill="1" applyBorder="1" applyAlignment="1">
      <alignment horizontal="right"/>
    </xf>
    <xf numFmtId="186" fontId="51" fillId="0" borderId="0" xfId="0" applyNumberFormat="1" applyFont="1" applyFill="1" applyAlignment="1">
      <alignment horizontal="right"/>
    </xf>
    <xf numFmtId="37" fontId="54" fillId="0" borderId="0" xfId="0" applyNumberFormat="1" applyFont="1" applyFill="1" applyBorder="1" applyAlignment="1">
      <alignment horizontal="right"/>
    </xf>
    <xf numFmtId="37" fontId="57" fillId="0" borderId="0" xfId="495" applyNumberFormat="1" applyFont="1" applyFill="1" applyBorder="1" applyAlignment="1">
      <alignment horizontal="right"/>
    </xf>
    <xf numFmtId="37" fontId="57" fillId="0" borderId="0" xfId="0" applyNumberFormat="1" applyFont="1" applyFill="1" applyAlignment="1">
      <alignment horizontal="right"/>
    </xf>
    <xf numFmtId="37" fontId="13" fillId="0" borderId="0" xfId="0" applyNumberFormat="1" applyFont="1" applyFill="1" applyAlignment="1">
      <alignment horizontal="right"/>
    </xf>
    <xf numFmtId="37" fontId="60" fillId="0" borderId="0" xfId="0" applyNumberFormat="1" applyFont="1" applyFill="1" applyBorder="1" applyAlignment="1">
      <alignment horizontal="right"/>
    </xf>
    <xf numFmtId="37" fontId="60" fillId="0" borderId="0" xfId="0" applyNumberFormat="1" applyFont="1" applyFill="1" applyAlignment="1">
      <alignment horizontal="right"/>
    </xf>
    <xf numFmtId="37" fontId="60" fillId="0" borderId="0" xfId="495" applyNumberFormat="1" applyFont="1" applyFill="1" applyBorder="1" applyAlignment="1">
      <alignment horizontal="right"/>
    </xf>
    <xf numFmtId="37" fontId="7" fillId="0" borderId="0" xfId="0" applyNumberFormat="1" applyFont="1" applyFill="1" applyBorder="1" applyAlignment="1">
      <alignment horizontal="right"/>
    </xf>
    <xf numFmtId="37" fontId="7" fillId="0" borderId="0" xfId="0" applyNumberFormat="1" applyFont="1" applyFill="1" applyAlignment="1">
      <alignment horizontal="right"/>
    </xf>
    <xf numFmtId="166" fontId="49" fillId="0" borderId="0" xfId="495" applyNumberFormat="1" applyFont="1" applyFill="1"/>
    <xf numFmtId="181" fontId="0" fillId="0" borderId="0" xfId="0" applyNumberFormat="1" applyFont="1" applyFill="1" applyAlignment="1">
      <alignment horizontal="right"/>
    </xf>
    <xf numFmtId="179" fontId="55" fillId="0" borderId="0" xfId="0" applyNumberFormat="1" applyFont="1" applyFill="1" applyAlignment="1">
      <alignment horizontal="right"/>
    </xf>
    <xf numFmtId="5" fontId="13" fillId="0" borderId="0" xfId="0" applyNumberFormat="1" applyFont="1" applyFill="1" applyAlignment="1">
      <alignment horizontal="right"/>
    </xf>
    <xf numFmtId="5" fontId="0" fillId="0" borderId="0" xfId="0" applyNumberFormat="1" applyFont="1" applyFill="1" applyAlignment="1">
      <alignment horizontal="right"/>
    </xf>
    <xf numFmtId="5" fontId="23" fillId="0" borderId="0" xfId="0" applyNumberFormat="1" applyFont="1" applyFill="1" applyBorder="1" applyAlignment="1">
      <alignment horizontal="right" vertical="top"/>
    </xf>
    <xf numFmtId="186" fontId="0" fillId="0" borderId="0" xfId="495" applyNumberFormat="1" applyFont="1" applyFill="1"/>
    <xf numFmtId="186" fontId="5" fillId="0" borderId="0" xfId="0" applyNumberFormat="1" applyFont="1" applyFill="1" applyBorder="1"/>
    <xf numFmtId="186" fontId="46" fillId="0" borderId="0" xfId="495" applyNumberFormat="1" applyFont="1"/>
    <xf numFmtId="186" fontId="23" fillId="0" borderId="0" xfId="495" applyNumberFormat="1" applyFont="1" applyFill="1"/>
    <xf numFmtId="186" fontId="49" fillId="0" borderId="0" xfId="0" applyNumberFormat="1" applyFont="1" applyFill="1" applyBorder="1"/>
    <xf numFmtId="186" fontId="0" fillId="0" borderId="0" xfId="0" applyNumberFormat="1" applyFill="1"/>
    <xf numFmtId="186" fontId="49" fillId="0" borderId="0" xfId="495" applyNumberFormat="1" applyFont="1" applyFill="1"/>
    <xf numFmtId="192" fontId="49" fillId="0" borderId="0" xfId="0" applyNumberFormat="1" applyFont="1" applyFill="1" applyAlignment="1">
      <alignment horizontal="right"/>
    </xf>
    <xf numFmtId="192" fontId="49" fillId="0" borderId="0" xfId="0" applyNumberFormat="1" applyFont="1" applyFill="1" applyBorder="1" applyAlignment="1">
      <alignment horizontal="right"/>
    </xf>
    <xf numFmtId="192" fontId="5" fillId="0" borderId="0" xfId="0" applyNumberFormat="1" applyFont="1" applyFill="1" applyAlignment="1">
      <alignment horizontal="right"/>
    </xf>
    <xf numFmtId="192" fontId="5" fillId="0" borderId="0" xfId="0" applyNumberFormat="1" applyFont="1" applyFill="1" applyBorder="1" applyAlignment="1">
      <alignment horizontal="right"/>
    </xf>
    <xf numFmtId="5" fontId="5" fillId="0" borderId="0" xfId="0" applyNumberFormat="1" applyFont="1" applyFill="1" applyBorder="1"/>
    <xf numFmtId="186" fontId="57" fillId="0" borderId="0" xfId="0" applyNumberFormat="1" applyFont="1" applyFill="1"/>
    <xf numFmtId="186" fontId="49" fillId="0" borderId="0" xfId="0" applyNumberFormat="1" applyFont="1" applyFill="1" applyAlignment="1">
      <alignment horizontal="right"/>
    </xf>
    <xf numFmtId="186" fontId="49" fillId="0" borderId="0" xfId="0" applyNumberFormat="1" applyFont="1" applyFill="1" applyBorder="1" applyAlignment="1">
      <alignment horizontal="right"/>
    </xf>
    <xf numFmtId="186" fontId="25" fillId="0" borderId="0" xfId="0" applyNumberFormat="1" applyFont="1" applyFill="1" applyBorder="1" applyAlignment="1">
      <alignment horizontal="right"/>
    </xf>
    <xf numFmtId="0" fontId="49" fillId="0" borderId="0" xfId="0" applyFont="1" applyFill="1" applyAlignment="1">
      <alignment horizontal="left"/>
    </xf>
    <xf numFmtId="186" fontId="49" fillId="0" borderId="0" xfId="495" applyNumberFormat="1" applyFont="1" applyFill="1" applyBorder="1" applyAlignment="1">
      <alignment horizontal="right"/>
    </xf>
    <xf numFmtId="192" fontId="54" fillId="0" borderId="0" xfId="0" applyNumberFormat="1" applyFont="1" applyFill="1" applyAlignment="1">
      <alignment horizontal="right"/>
    </xf>
    <xf numFmtId="192" fontId="51" fillId="0" borderId="0" xfId="0" applyNumberFormat="1" applyFont="1" applyFill="1" applyAlignment="1">
      <alignment horizontal="right"/>
    </xf>
    <xf numFmtId="192" fontId="54" fillId="0" borderId="0" xfId="0" applyNumberFormat="1" applyFont="1" applyFill="1" applyBorder="1" applyAlignment="1">
      <alignment horizontal="right"/>
    </xf>
    <xf numFmtId="186" fontId="23" fillId="0" borderId="0" xfId="495" applyNumberFormat="1" applyFont="1" applyFill="1" applyAlignment="1">
      <alignment horizontal="right"/>
    </xf>
    <xf numFmtId="192" fontId="25" fillId="0" borderId="0" xfId="0" applyNumberFormat="1" applyFont="1" applyFill="1" applyBorder="1" applyAlignment="1">
      <alignment horizontal="right"/>
    </xf>
    <xf numFmtId="192" fontId="23" fillId="0" borderId="0" xfId="0" applyNumberFormat="1" applyFont="1" applyFill="1" applyAlignment="1">
      <alignment horizontal="right"/>
    </xf>
    <xf numFmtId="0" fontId="24" fillId="0" borderId="0" xfId="0" applyFont="1"/>
    <xf numFmtId="0" fontId="0" fillId="2" borderId="0" xfId="0" applyFill="1"/>
    <xf numFmtId="164" fontId="49" fillId="0" borderId="0" xfId="0" applyNumberFormat="1" applyFont="1" applyFill="1" applyAlignment="1">
      <alignment horizontal="right"/>
    </xf>
    <xf numFmtId="14" fontId="0" fillId="0" borderId="0" xfId="0" applyNumberFormat="1" applyFill="1" applyBorder="1"/>
    <xf numFmtId="14" fontId="0" fillId="0" borderId="0" xfId="0" applyNumberFormat="1" applyFill="1"/>
    <xf numFmtId="37" fontId="49" fillId="0" borderId="0" xfId="0" applyNumberFormat="1" applyFont="1" applyFill="1" applyAlignment="1">
      <alignment horizontal="right"/>
    </xf>
    <xf numFmtId="167" fontId="0" fillId="0" borderId="0" xfId="0" applyNumberFormat="1"/>
    <xf numFmtId="186" fontId="0" fillId="0" borderId="0" xfId="0" applyNumberFormat="1" applyFill="1" applyBorder="1"/>
    <xf numFmtId="186" fontId="49" fillId="0" borderId="0" xfId="495" applyNumberFormat="1" applyFont="1" applyFill="1" applyAlignment="1">
      <alignment horizontal="right"/>
    </xf>
    <xf numFmtId="186" fontId="1" fillId="0" borderId="0" xfId="0" applyNumberFormat="1" applyFont="1" applyFill="1" applyBorder="1"/>
    <xf numFmtId="186" fontId="1" fillId="0" borderId="0" xfId="0" applyNumberFormat="1" applyFont="1" applyFill="1"/>
    <xf numFmtId="192" fontId="0" fillId="0" borderId="0" xfId="0" applyNumberFormat="1" applyFill="1" applyBorder="1"/>
    <xf numFmtId="192" fontId="1" fillId="0" borderId="0" xfId="0" applyNumberFormat="1" applyFont="1" applyFill="1" applyBorder="1"/>
    <xf numFmtId="192" fontId="1" fillId="0" borderId="0" xfId="0" applyNumberFormat="1" applyFont="1" applyFill="1"/>
    <xf numFmtId="192" fontId="0" fillId="0" borderId="0" xfId="0" applyNumberFormat="1" applyFill="1"/>
    <xf numFmtId="3" fontId="46" fillId="0" borderId="0" xfId="0" applyNumberFormat="1" applyFont="1" applyAlignment="1">
      <alignment horizontal="right"/>
    </xf>
    <xf numFmtId="177" fontId="5" fillId="0" borderId="0" xfId="0" applyNumberFormat="1" applyFont="1" applyFill="1" applyAlignment="1">
      <alignment horizontal="right"/>
    </xf>
    <xf numFmtId="177" fontId="5" fillId="0" borderId="0" xfId="0" applyNumberFormat="1" applyFont="1" applyFill="1" applyBorder="1" applyAlignment="1">
      <alignment horizontal="right"/>
    </xf>
    <xf numFmtId="186" fontId="7" fillId="0" borderId="0" xfId="0" applyNumberFormat="1" applyFont="1" applyFill="1" applyBorder="1" applyAlignment="1">
      <alignment horizontal="right"/>
    </xf>
    <xf numFmtId="193" fontId="54" fillId="0" borderId="0" xfId="0" applyNumberFormat="1" applyFont="1" applyFill="1" applyBorder="1" applyAlignment="1">
      <alignment horizontal="right"/>
    </xf>
    <xf numFmtId="189" fontId="57" fillId="0" borderId="0" xfId="495" applyNumberFormat="1" applyFont="1" applyFill="1" applyAlignment="1">
      <alignment horizontal="right" indent="1"/>
    </xf>
    <xf numFmtId="189" fontId="57" fillId="0" borderId="0" xfId="495" applyNumberFormat="1" applyFont="1" applyFill="1" applyBorder="1" applyAlignment="1">
      <alignment horizontal="right"/>
    </xf>
    <xf numFmtId="14" fontId="24" fillId="0" borderId="0" xfId="0" applyNumberFormat="1" applyFont="1" applyFill="1" applyBorder="1"/>
    <xf numFmtId="182" fontId="49" fillId="0" borderId="0" xfId="0" applyNumberFormat="1" applyFont="1" applyFill="1" applyBorder="1" applyAlignment="1">
      <alignment horizontal="right"/>
    </xf>
    <xf numFmtId="39" fontId="0" fillId="0" borderId="0" xfId="0" applyNumberFormat="1" applyFont="1"/>
    <xf numFmtId="7" fontId="49" fillId="0" borderId="0" xfId="0" applyNumberFormat="1" applyFont="1" applyFill="1"/>
    <xf numFmtId="7" fontId="49" fillId="0" borderId="0" xfId="0" applyNumberFormat="1" applyFont="1"/>
    <xf numFmtId="7" fontId="23" fillId="0" borderId="0" xfId="0" applyNumberFormat="1" applyFont="1"/>
    <xf numFmtId="7" fontId="0" fillId="0" borderId="0" xfId="0" applyNumberFormat="1" applyFont="1"/>
    <xf numFmtId="39" fontId="49" fillId="0" borderId="0" xfId="0" applyNumberFormat="1" applyFont="1"/>
    <xf numFmtId="0" fontId="5" fillId="0" borderId="0" xfId="0" applyFont="1" applyFill="1"/>
    <xf numFmtId="174" fontId="42" fillId="0" borderId="0" xfId="0" applyNumberFormat="1" applyFont="1" applyFill="1" applyAlignment="1">
      <alignment horizontal="left" vertical="center" wrapText="1"/>
    </xf>
    <xf numFmtId="177" fontId="0" fillId="0" borderId="0" xfId="0" applyNumberFormat="1" applyFont="1" applyFill="1" applyBorder="1"/>
    <xf numFmtId="194" fontId="23" fillId="0" borderId="0" xfId="0" applyNumberFormat="1" applyFont="1" applyFill="1" applyAlignment="1">
      <alignment horizontal="right"/>
    </xf>
    <xf numFmtId="5" fontId="0" fillId="0" borderId="0" xfId="0" applyNumberFormat="1"/>
    <xf numFmtId="166" fontId="54" fillId="0" borderId="0" xfId="495" applyNumberFormat="1" applyFont="1" applyFill="1" applyAlignment="1">
      <alignment horizontal="right"/>
    </xf>
    <xf numFmtId="0" fontId="2" fillId="0" borderId="0" xfId="1040" applyFill="1"/>
  </cellXfs>
  <cellStyles count="1041">
    <cellStyle name="20% - Accent1" xfId="514" builtinId="30" customBuiltin="1"/>
    <cellStyle name="20% - Accent2" xfId="518" builtinId="34" customBuiltin="1"/>
    <cellStyle name="20% - Accent3" xfId="522" builtinId="38" customBuiltin="1"/>
    <cellStyle name="20% - Accent4" xfId="526" builtinId="42" customBuiltin="1"/>
    <cellStyle name="20% - Accent5" xfId="530" builtinId="46" customBuiltin="1"/>
    <cellStyle name="20% - Accent6" xfId="534" builtinId="50" customBuiltin="1"/>
    <cellStyle name="40% - Accent1" xfId="515" builtinId="31" customBuiltin="1"/>
    <cellStyle name="40% - Accent2" xfId="519" builtinId="35" customBuiltin="1"/>
    <cellStyle name="40% - Accent3" xfId="523" builtinId="39" customBuiltin="1"/>
    <cellStyle name="40% - Accent4" xfId="527" builtinId="43" customBuiltin="1"/>
    <cellStyle name="40% - Accent5" xfId="531" builtinId="47" customBuiltin="1"/>
    <cellStyle name="40% - Accent6" xfId="535" builtinId="51" customBuiltin="1"/>
    <cellStyle name="60% - Accent1" xfId="516" builtinId="32" customBuiltin="1"/>
    <cellStyle name="60% - Accent2" xfId="520" builtinId="36" customBuiltin="1"/>
    <cellStyle name="60% - Accent3" xfId="524" builtinId="40" customBuiltin="1"/>
    <cellStyle name="60% - Accent4" xfId="528" builtinId="44" customBuiltin="1"/>
    <cellStyle name="60% - Accent5" xfId="532" builtinId="48" customBuiltin="1"/>
    <cellStyle name="60% - Accent6" xfId="536" builtinId="52" customBuiltin="1"/>
    <cellStyle name="Accent1" xfId="513" builtinId="29" customBuiltin="1"/>
    <cellStyle name="Accent2" xfId="517" builtinId="33" customBuiltin="1"/>
    <cellStyle name="Accent3" xfId="521" builtinId="37" customBuiltin="1"/>
    <cellStyle name="Accent4" xfId="525" builtinId="41" customBuiltin="1"/>
    <cellStyle name="Accent5" xfId="529" builtinId="45" customBuiltin="1"/>
    <cellStyle name="Accent6" xfId="533" builtinId="49" customBuiltin="1"/>
    <cellStyle name="Bad" xfId="502" builtinId="27" customBuiltin="1"/>
    <cellStyle name="Calculation" xfId="506" builtinId="22" customBuiltin="1"/>
    <cellStyle name="Check Cell" xfId="508" builtinId="23" customBuiltin="1"/>
    <cellStyle name="Explanatory Text" xfId="511" builtinId="53" customBuiltin="1"/>
    <cellStyle name="Followed Hyperlink" xfId="188" builtinId="9" hidden="1"/>
    <cellStyle name="Followed Hyperlink" xfId="96" builtinId="9" hidden="1"/>
    <cellStyle name="Followed Hyperlink" xfId="68" builtinId="9" hidden="1"/>
    <cellStyle name="Followed Hyperlink" xfId="88" builtinId="9" hidden="1"/>
    <cellStyle name="Followed Hyperlink" xfId="192" builtinId="9" hidden="1"/>
    <cellStyle name="Followed Hyperlink" xfId="148" builtinId="9" hidden="1"/>
    <cellStyle name="Followed Hyperlink" xfId="196" builtinId="9" hidden="1"/>
    <cellStyle name="Followed Hyperlink" xfId="260" builtinId="9" hidden="1"/>
    <cellStyle name="Followed Hyperlink" xfId="324" builtinId="9" hidden="1"/>
    <cellStyle name="Followed Hyperlink" xfId="388" builtinId="9" hidden="1"/>
    <cellStyle name="Followed Hyperlink" xfId="452" builtinId="9" hidden="1"/>
    <cellStyle name="Followed Hyperlink" xfId="474" builtinId="9" hidden="1"/>
    <cellStyle name="Followed Hyperlink" xfId="410" builtinId="9" hidden="1"/>
    <cellStyle name="Followed Hyperlink" xfId="346" builtinId="9" hidden="1"/>
    <cellStyle name="Followed Hyperlink" xfId="282" builtinId="9" hidden="1"/>
    <cellStyle name="Followed Hyperlink" xfId="218" builtinId="9" hidden="1"/>
    <cellStyle name="Followed Hyperlink" xfId="154" builtinId="9" hidden="1"/>
    <cellStyle name="Followed Hyperlink" xfId="90" builtinId="9" hidden="1"/>
    <cellStyle name="Followed Hyperlink" xfId="48" builtinId="9" hidden="1"/>
    <cellStyle name="Followed Hyperlink" xfId="18" builtinId="9" hidden="1"/>
    <cellStyle name="Followed Hyperlink" xfId="10" builtinId="9" hidden="1"/>
    <cellStyle name="Followed Hyperlink" xfId="40" builtinId="9" hidden="1"/>
    <cellStyle name="Followed Hyperlink" xfId="102" builtinId="9" hidden="1"/>
    <cellStyle name="Followed Hyperlink" xfId="166" builtinId="9" hidden="1"/>
    <cellStyle name="Followed Hyperlink" xfId="230" builtinId="9" hidden="1"/>
    <cellStyle name="Followed Hyperlink" xfId="294" builtinId="9" hidden="1"/>
    <cellStyle name="Followed Hyperlink" xfId="358" builtinId="9" hidden="1"/>
    <cellStyle name="Followed Hyperlink" xfId="422" builtinId="9" hidden="1"/>
    <cellStyle name="Followed Hyperlink" xfId="486" builtinId="9" hidden="1"/>
    <cellStyle name="Followed Hyperlink" xfId="288" builtinId="9" hidden="1"/>
    <cellStyle name="Followed Hyperlink" xfId="328" builtinId="9" hidden="1"/>
    <cellStyle name="Followed Hyperlink" xfId="368" builtinId="9" hidden="1"/>
    <cellStyle name="Followed Hyperlink" xfId="416" builtinId="9" hidden="1"/>
    <cellStyle name="Followed Hyperlink" xfId="440" builtinId="9" hidden="1"/>
    <cellStyle name="Followed Hyperlink" xfId="312" builtinId="9" hidden="1"/>
    <cellStyle name="Followed Hyperlink" xfId="256" builtinId="9" hidden="1"/>
    <cellStyle name="Followed Hyperlink" xfId="216" builtinId="9" hidden="1"/>
    <cellStyle name="Followed Hyperlink" xfId="200" builtinId="9" hidden="1"/>
    <cellStyle name="Followed Hyperlink" xfId="248" builtinId="9" hidden="1"/>
    <cellStyle name="Followed Hyperlink" xfId="240" builtinId="9" hidden="1"/>
    <cellStyle name="Followed Hyperlink" xfId="344" builtinId="9" hidden="1"/>
    <cellStyle name="Followed Hyperlink" xfId="448" builtinId="9" hidden="1"/>
    <cellStyle name="Followed Hyperlink" xfId="400" builtinId="9" hidden="1"/>
    <cellStyle name="Followed Hyperlink" xfId="360" builtinId="9" hidden="1"/>
    <cellStyle name="Followed Hyperlink" xfId="320" builtinId="9" hidden="1"/>
    <cellStyle name="Followed Hyperlink" xfId="456" builtinId="9" hidden="1"/>
    <cellStyle name="Followed Hyperlink" xfId="470" builtinId="9" hidden="1"/>
    <cellStyle name="Followed Hyperlink" xfId="406" builtinId="9" hidden="1"/>
    <cellStyle name="Followed Hyperlink" xfId="342" builtinId="9" hidden="1"/>
    <cellStyle name="Followed Hyperlink" xfId="278" builtinId="9" hidden="1"/>
    <cellStyle name="Followed Hyperlink" xfId="214" builtinId="9" hidden="1"/>
    <cellStyle name="Followed Hyperlink" xfId="150" builtinId="9" hidden="1"/>
    <cellStyle name="Followed Hyperlink" xfId="86" builtinId="9" hidden="1"/>
    <cellStyle name="Followed Hyperlink" xfId="50" builtinId="9" hidden="1"/>
    <cellStyle name="Followed Hyperlink" xfId="20" builtinId="9" hidden="1"/>
    <cellStyle name="Followed Hyperlink" xfId="22" builtinId="9" hidden="1"/>
    <cellStyle name="Followed Hyperlink" xfId="36" builtinId="9" hidden="1"/>
    <cellStyle name="Followed Hyperlink" xfId="106" builtinId="9" hidden="1"/>
    <cellStyle name="Followed Hyperlink" xfId="170" builtinId="9" hidden="1"/>
    <cellStyle name="Followed Hyperlink" xfId="234" builtinId="9" hidden="1"/>
    <cellStyle name="Followed Hyperlink" xfId="298" builtinId="9" hidden="1"/>
    <cellStyle name="Followed Hyperlink" xfId="362" builtinId="9" hidden="1"/>
    <cellStyle name="Followed Hyperlink" xfId="426" builtinId="9" hidden="1"/>
    <cellStyle name="Followed Hyperlink" xfId="490" builtinId="9" hidden="1"/>
    <cellStyle name="Followed Hyperlink" xfId="436" builtinId="9" hidden="1"/>
    <cellStyle name="Followed Hyperlink" xfId="372" builtinId="9" hidden="1"/>
    <cellStyle name="Followed Hyperlink" xfId="308" builtinId="9" hidden="1"/>
    <cellStyle name="Followed Hyperlink" xfId="244" builtinId="9" hidden="1"/>
    <cellStyle name="Followed Hyperlink" xfId="116" builtinId="9" hidden="1"/>
    <cellStyle name="Followed Hyperlink" xfId="160" builtinId="9" hidden="1"/>
    <cellStyle name="Followed Hyperlink" xfId="172" builtinId="9" hidden="1"/>
    <cellStyle name="Followed Hyperlink" xfId="100" builtinId="9" hidden="1"/>
    <cellStyle name="Followed Hyperlink" xfId="72" builtinId="9" hidden="1"/>
    <cellStyle name="Followed Hyperlink" xfId="84" builtinId="9" hidden="1"/>
    <cellStyle name="Followed Hyperlink" xfId="184" builtinId="9" hidden="1"/>
    <cellStyle name="Followed Hyperlink" xfId="144" builtinId="9" hidden="1"/>
    <cellStyle name="Followed Hyperlink" xfId="204" builtinId="9" hidden="1"/>
    <cellStyle name="Followed Hyperlink" xfId="268" builtinId="9" hidden="1"/>
    <cellStyle name="Followed Hyperlink" xfId="332" builtinId="9" hidden="1"/>
    <cellStyle name="Followed Hyperlink" xfId="396" builtinId="9" hidden="1"/>
    <cellStyle name="Followed Hyperlink" xfId="460" builtinId="9" hidden="1"/>
    <cellStyle name="Followed Hyperlink" xfId="466" builtinId="9" hidden="1"/>
    <cellStyle name="Followed Hyperlink" xfId="402" builtinId="9" hidden="1"/>
    <cellStyle name="Followed Hyperlink" xfId="338" builtinId="9" hidden="1"/>
    <cellStyle name="Followed Hyperlink" xfId="274" builtinId="9" hidden="1"/>
    <cellStyle name="Followed Hyperlink" xfId="210" builtinId="9" hidden="1"/>
    <cellStyle name="Followed Hyperlink" xfId="146" builtinId="9" hidden="1"/>
    <cellStyle name="Followed Hyperlink" xfId="82" builtinId="9" hidden="1"/>
    <cellStyle name="Followed Hyperlink" xfId="52" builtinId="9" hidden="1"/>
    <cellStyle name="Followed Hyperlink" xfId="14" builtinId="9" hidden="1"/>
    <cellStyle name="Followed Hyperlink" xfId="30" builtinId="9" hidden="1"/>
    <cellStyle name="Followed Hyperlink" xfId="350" builtinId="9" hidden="1"/>
    <cellStyle name="Followed Hyperlink" xfId="318" builtinId="9" hidden="1"/>
    <cellStyle name="Followed Hyperlink" xfId="270" builtinId="9" hidden="1"/>
    <cellStyle name="Followed Hyperlink" xfId="222" builtinId="9" hidden="1"/>
    <cellStyle name="Followed Hyperlink" xfId="190" builtinId="9" hidden="1"/>
    <cellStyle name="Followed Hyperlink" xfId="142" builtinId="9" hidden="1"/>
    <cellStyle name="Followed Hyperlink" xfId="94" builtinId="9" hidden="1"/>
    <cellStyle name="Followed Hyperlink" xfId="24" builtinId="9" hidden="1"/>
    <cellStyle name="Followed Hyperlink" xfId="34" builtinId="9" hidden="1"/>
    <cellStyle name="Followed Hyperlink" xfId="174" builtinId="9" hidden="1"/>
    <cellStyle name="Followed Hyperlink" xfId="302" builtinId="9" hidden="1"/>
    <cellStyle name="Followed Hyperlink" xfId="462" builtinId="9" hidden="1"/>
    <cellStyle name="Followed Hyperlink" xfId="414" builtinId="9" hidden="1"/>
    <cellStyle name="Followed Hyperlink" xfId="382" builtinId="9" hidden="1"/>
    <cellStyle name="Followed Hyperlink" xfId="494" builtinId="9" hidden="1"/>
    <cellStyle name="Followed Hyperlink" xfId="480" builtinId="9" hidden="1"/>
    <cellStyle name="Followed Hyperlink" xfId="539" builtinId="9" hidden="1"/>
    <cellStyle name="Followed Hyperlink" xfId="603" builtinId="9" hidden="1"/>
    <cellStyle name="Followed Hyperlink" xfId="543" builtinId="9" hidden="1"/>
    <cellStyle name="Followed Hyperlink" xfId="605" builtinId="9" hidden="1"/>
    <cellStyle name="Followed Hyperlink" xfId="607" builtinId="9" hidden="1"/>
    <cellStyle name="Followed Hyperlink" xfId="671" builtinId="9" hidden="1"/>
    <cellStyle name="Followed Hyperlink" xfId="735" builtinId="9" hidden="1"/>
    <cellStyle name="Followed Hyperlink" xfId="799" builtinId="9" hidden="1"/>
    <cellStyle name="Followed Hyperlink" xfId="863" builtinId="9" hidden="1"/>
    <cellStyle name="Followed Hyperlink" xfId="927" builtinId="9" hidden="1"/>
    <cellStyle name="Followed Hyperlink" xfId="991" builtinId="9" hidden="1"/>
    <cellStyle name="Followed Hyperlink" xfId="1017" builtinId="9" hidden="1"/>
    <cellStyle name="Followed Hyperlink" xfId="953" builtinId="9" hidden="1"/>
    <cellStyle name="Followed Hyperlink" xfId="889" builtinId="9" hidden="1"/>
    <cellStyle name="Followed Hyperlink" xfId="825" builtinId="9" hidden="1"/>
    <cellStyle name="Followed Hyperlink" xfId="761" builtinId="9" hidden="1"/>
    <cellStyle name="Followed Hyperlink" xfId="673" builtinId="9" hidden="1"/>
    <cellStyle name="Followed Hyperlink" xfId="717" builtinId="9" hidden="1"/>
    <cellStyle name="Followed Hyperlink" xfId="665" builtinId="9" hidden="1"/>
    <cellStyle name="Followed Hyperlink" xfId="617" builtinId="9" hidden="1"/>
    <cellStyle name="Followed Hyperlink" xfId="633" builtinId="9" hidden="1"/>
    <cellStyle name="Followed Hyperlink" xfId="681" builtinId="9" hidden="1"/>
    <cellStyle name="Followed Hyperlink" xfId="709" builtinId="9" hidden="1"/>
    <cellStyle name="Followed Hyperlink" xfId="669" builtinId="9" hidden="1"/>
    <cellStyle name="Followed Hyperlink" xfId="769" builtinId="9" hidden="1"/>
    <cellStyle name="Followed Hyperlink" xfId="833" builtinId="9" hidden="1"/>
    <cellStyle name="Followed Hyperlink" xfId="897" builtinId="9" hidden="1"/>
    <cellStyle name="Followed Hyperlink" xfId="961" builtinId="9" hidden="1"/>
    <cellStyle name="Followed Hyperlink" xfId="1025" builtinId="9" hidden="1"/>
    <cellStyle name="Followed Hyperlink" xfId="983" builtinId="9" hidden="1"/>
    <cellStyle name="Followed Hyperlink" xfId="919" builtinId="9" hidden="1"/>
    <cellStyle name="Followed Hyperlink" xfId="855" builtinId="9" hidden="1"/>
    <cellStyle name="Followed Hyperlink" xfId="791" builtinId="9" hidden="1"/>
    <cellStyle name="Followed Hyperlink" xfId="727" builtinId="9" hidden="1"/>
    <cellStyle name="Followed Hyperlink" xfId="663" builtinId="9" hidden="1"/>
    <cellStyle name="Followed Hyperlink" xfId="567" builtinId="9" hidden="1"/>
    <cellStyle name="Followed Hyperlink" xfId="595" builtinId="9" hidden="1"/>
    <cellStyle name="Followed Hyperlink" xfId="545" builtinId="9" hidden="1"/>
    <cellStyle name="Followed Hyperlink" xfId="601" builtinId="9" hidden="1"/>
    <cellStyle name="Followed Hyperlink" xfId="611" builtinId="9" hidden="1"/>
    <cellStyle name="Followed Hyperlink" xfId="675" builtinId="9" hidden="1"/>
    <cellStyle name="Followed Hyperlink" xfId="739" builtinId="9" hidden="1"/>
    <cellStyle name="Followed Hyperlink" xfId="803" builtinId="9" hidden="1"/>
    <cellStyle name="Followed Hyperlink" xfId="867" builtinId="9" hidden="1"/>
    <cellStyle name="Followed Hyperlink" xfId="931" builtinId="9" hidden="1"/>
    <cellStyle name="Followed Hyperlink" xfId="995" builtinId="9" hidden="1"/>
    <cellStyle name="Followed Hyperlink" xfId="1013" builtinId="9" hidden="1"/>
    <cellStyle name="Followed Hyperlink" xfId="845" builtinId="9" hidden="1"/>
    <cellStyle name="Followed Hyperlink" xfId="893" builtinId="9" hidden="1"/>
    <cellStyle name="Followed Hyperlink" xfId="933" builtinId="9" hidden="1"/>
    <cellStyle name="Followed Hyperlink" xfId="973" builtinId="9" hidden="1"/>
    <cellStyle name="Followed Hyperlink" xfId="917" builtinId="9" hidden="1"/>
    <cellStyle name="Followed Hyperlink" xfId="773" builtinId="9" hidden="1"/>
    <cellStyle name="Followed Hyperlink" xfId="813" builtinId="9" hidden="1"/>
    <cellStyle name="Followed Hyperlink" xfId="749" builtinId="9" hidden="1"/>
    <cellStyle name="Followed Hyperlink" xfId="765" builtinId="9" hidden="1"/>
    <cellStyle name="Followed Hyperlink" xfId="805" builtinId="9" hidden="1"/>
    <cellStyle name="Followed Hyperlink" xfId="821" builtinId="9" hidden="1"/>
    <cellStyle name="Followed Hyperlink" xfId="949" builtinId="9" hidden="1"/>
    <cellStyle name="Followed Hyperlink" xfId="965" builtinId="9" hidden="1"/>
    <cellStyle name="Followed Hyperlink" xfId="925" builtinId="9" hidden="1"/>
    <cellStyle name="Followed Hyperlink" xfId="877" builtinId="9" hidden="1"/>
    <cellStyle name="Followed Hyperlink" xfId="837" builtinId="9" hidden="1"/>
    <cellStyle name="Followed Hyperlink" xfId="1029" builtinId="9" hidden="1"/>
    <cellStyle name="Followed Hyperlink" xfId="979" builtinId="9" hidden="1"/>
    <cellStyle name="Followed Hyperlink" xfId="915" builtinId="9" hidden="1"/>
    <cellStyle name="Followed Hyperlink" xfId="851" builtinId="9" hidden="1"/>
    <cellStyle name="Followed Hyperlink" xfId="787" builtinId="9" hidden="1"/>
    <cellStyle name="Followed Hyperlink" xfId="723" builtinId="9" hidden="1"/>
    <cellStyle name="Followed Hyperlink" xfId="659" builtinId="9" hidden="1"/>
    <cellStyle name="Followed Hyperlink" xfId="569" builtinId="9" hidden="1"/>
    <cellStyle name="Followed Hyperlink" xfId="587" builtinId="9" hidden="1"/>
    <cellStyle name="Followed Hyperlink" xfId="549" builtinId="9" hidden="1"/>
    <cellStyle name="Followed Hyperlink" xfId="599" builtinId="9" hidden="1"/>
    <cellStyle name="Followed Hyperlink" xfId="615" builtinId="9" hidden="1"/>
    <cellStyle name="Followed Hyperlink" xfId="679" builtinId="9" hidden="1"/>
    <cellStyle name="Followed Hyperlink" xfId="743" builtinId="9" hidden="1"/>
    <cellStyle name="Followed Hyperlink" xfId="807" builtinId="9" hidden="1"/>
    <cellStyle name="Followed Hyperlink" xfId="871" builtinId="9" hidden="1"/>
    <cellStyle name="Followed Hyperlink" xfId="935" builtinId="9" hidden="1"/>
    <cellStyle name="Followed Hyperlink" xfId="999" builtinId="9" hidden="1"/>
    <cellStyle name="Followed Hyperlink" xfId="1009" builtinId="9" hidden="1"/>
    <cellStyle name="Followed Hyperlink" xfId="945" builtinId="9" hidden="1"/>
    <cellStyle name="Followed Hyperlink" xfId="881" builtinId="9" hidden="1"/>
    <cellStyle name="Followed Hyperlink" xfId="817" builtinId="9" hidden="1"/>
    <cellStyle name="Followed Hyperlink" xfId="753" builtinId="9" hidden="1"/>
    <cellStyle name="Followed Hyperlink" xfId="677" builtinId="9" hidden="1"/>
    <cellStyle name="Followed Hyperlink" xfId="721" builtinId="9" hidden="1"/>
    <cellStyle name="Followed Hyperlink" xfId="649" builtinId="9" hidden="1"/>
    <cellStyle name="Followed Hyperlink" xfId="621" builtinId="9" hidden="1"/>
    <cellStyle name="Followed Hyperlink" xfId="645" builtinId="9" hidden="1"/>
    <cellStyle name="Followed Hyperlink" xfId="697" builtinId="9" hidden="1"/>
    <cellStyle name="Followed Hyperlink" xfId="705" builtinId="9" hidden="1"/>
    <cellStyle name="Followed Hyperlink" xfId="661" builtinId="9" hidden="1"/>
    <cellStyle name="Followed Hyperlink" xfId="777" builtinId="9" hidden="1"/>
    <cellStyle name="Followed Hyperlink" xfId="841" builtinId="9" hidden="1"/>
    <cellStyle name="Followed Hyperlink" xfId="905" builtinId="9" hidden="1"/>
    <cellStyle name="Followed Hyperlink" xfId="969" builtinId="9" hidden="1"/>
    <cellStyle name="Followed Hyperlink" xfId="1033" builtinId="9" hidden="1"/>
    <cellStyle name="Followed Hyperlink" xfId="975" builtinId="9" hidden="1"/>
    <cellStyle name="Followed Hyperlink" xfId="911" builtinId="9" hidden="1"/>
    <cellStyle name="Followed Hyperlink" xfId="847" builtinId="9" hidden="1"/>
    <cellStyle name="Followed Hyperlink" xfId="783" builtinId="9" hidden="1"/>
    <cellStyle name="Followed Hyperlink" xfId="719" builtinId="9" hidden="1"/>
    <cellStyle name="Followed Hyperlink" xfId="655" builtinId="9" hidden="1"/>
    <cellStyle name="Followed Hyperlink" xfId="573" builtinId="9" hidden="1"/>
    <cellStyle name="Followed Hyperlink" xfId="579" builtinId="9" hidden="1"/>
    <cellStyle name="Followed Hyperlink" xfId="547" builtinId="9" hidden="1"/>
    <cellStyle name="Followed Hyperlink" xfId="597" builtinId="9" hidden="1"/>
    <cellStyle name="Followed Hyperlink" xfId="875" builtinId="9" hidden="1"/>
    <cellStyle name="Followed Hyperlink" xfId="827" builtinId="9" hidden="1"/>
    <cellStyle name="Followed Hyperlink" xfId="795" builtinId="9" hidden="1"/>
    <cellStyle name="Followed Hyperlink" xfId="747" builtinId="9" hidden="1"/>
    <cellStyle name="Followed Hyperlink" xfId="699" builtinId="9" hidden="1"/>
    <cellStyle name="Followed Hyperlink" xfId="667" builtinId="9" hidden="1"/>
    <cellStyle name="Followed Hyperlink" xfId="619" builtinId="9" hidden="1"/>
    <cellStyle name="Followed Hyperlink" xfId="585" builtinId="9" hidden="1"/>
    <cellStyle name="Followed Hyperlink" xfId="651" builtinId="9" hidden="1"/>
    <cellStyle name="Followed Hyperlink" xfId="779" builtinId="9" hidden="1"/>
    <cellStyle name="Followed Hyperlink" xfId="907" builtinId="9" hidden="1"/>
    <cellStyle name="Followed Hyperlink" xfId="987" builtinId="9" hidden="1"/>
    <cellStyle name="Followed Hyperlink" xfId="939" builtinId="9" hidden="1"/>
    <cellStyle name="Followed Hyperlink" xfId="971" builtinId="9" hidden="1"/>
    <cellStyle name="Followed Hyperlink" xfId="1019" builtinId="9" hidden="1"/>
    <cellStyle name="Followed Hyperlink" xfId="1005" builtinId="9" hidden="1"/>
    <cellStyle name="Followed Hyperlink" xfId="1039" builtinId="9" hidden="1"/>
    <cellStyle name="Followed Hyperlink" xfId="1037" builtinId="9" hidden="1"/>
    <cellStyle name="Followed Hyperlink" xfId="1021" builtinId="9" hidden="1"/>
    <cellStyle name="Followed Hyperlink" xfId="1035" builtinId="9" hidden="1"/>
    <cellStyle name="Followed Hyperlink" xfId="923" builtinId="9" hidden="1"/>
    <cellStyle name="Followed Hyperlink" xfId="955" builtinId="9" hidden="1"/>
    <cellStyle name="Followed Hyperlink" xfId="1003" builtinId="9" hidden="1"/>
    <cellStyle name="Followed Hyperlink" xfId="843" builtinId="9" hidden="1"/>
    <cellStyle name="Followed Hyperlink" xfId="715" builtinId="9" hidden="1"/>
    <cellStyle name="Followed Hyperlink" xfId="575" builtinId="9" hidden="1"/>
    <cellStyle name="Followed Hyperlink" xfId="565" builtinId="9" hidden="1"/>
    <cellStyle name="Followed Hyperlink" xfId="635" builtinId="9" hidden="1"/>
    <cellStyle name="Followed Hyperlink" xfId="683" builtinId="9" hidden="1"/>
    <cellStyle name="Followed Hyperlink" xfId="731" builtinId="9" hidden="1"/>
    <cellStyle name="Followed Hyperlink" xfId="763" builtinId="9" hidden="1"/>
    <cellStyle name="Followed Hyperlink" xfId="811" builtinId="9" hidden="1"/>
    <cellStyle name="Followed Hyperlink" xfId="859" builtinId="9" hidden="1"/>
    <cellStyle name="Followed Hyperlink" xfId="891" builtinId="9" hidden="1"/>
    <cellStyle name="Followed Hyperlink" xfId="571" builtinId="9" hidden="1"/>
    <cellStyle name="Followed Hyperlink" xfId="555" builtinId="9" hidden="1"/>
    <cellStyle name="Followed Hyperlink" xfId="593" builtinId="9" hidden="1"/>
    <cellStyle name="Followed Hyperlink" xfId="623" builtinId="9" hidden="1"/>
    <cellStyle name="Followed Hyperlink" xfId="687" builtinId="9" hidden="1"/>
    <cellStyle name="Followed Hyperlink" xfId="751" builtinId="9" hidden="1"/>
    <cellStyle name="Followed Hyperlink" xfId="815" builtinId="9" hidden="1"/>
    <cellStyle name="Followed Hyperlink" xfId="879" builtinId="9" hidden="1"/>
    <cellStyle name="Followed Hyperlink" xfId="943" builtinId="9" hidden="1"/>
    <cellStyle name="Followed Hyperlink" xfId="1007" builtinId="9" hidden="1"/>
    <cellStyle name="Followed Hyperlink" xfId="1001" builtinId="9" hidden="1"/>
    <cellStyle name="Followed Hyperlink" xfId="937" builtinId="9" hidden="1"/>
    <cellStyle name="Followed Hyperlink" xfId="873" builtinId="9" hidden="1"/>
    <cellStyle name="Followed Hyperlink" xfId="809" builtinId="9" hidden="1"/>
    <cellStyle name="Followed Hyperlink" xfId="745" builtinId="9" hidden="1"/>
    <cellStyle name="Followed Hyperlink" xfId="685" builtinId="9" hidden="1"/>
    <cellStyle name="Followed Hyperlink" xfId="725" builtinId="9" hidden="1"/>
    <cellStyle name="Followed Hyperlink" xfId="625" builtinId="9" hidden="1"/>
    <cellStyle name="Followed Hyperlink" xfId="613" builtinId="9" hidden="1"/>
    <cellStyle name="Followed Hyperlink" xfId="641" builtinId="9" hidden="1"/>
    <cellStyle name="Followed Hyperlink" xfId="713" builtinId="9" hidden="1"/>
    <cellStyle name="Followed Hyperlink" xfId="701" builtinId="9" hidden="1"/>
    <cellStyle name="Followed Hyperlink" xfId="657" builtinId="9" hidden="1"/>
    <cellStyle name="Followed Hyperlink" xfId="785" builtinId="9" hidden="1"/>
    <cellStyle name="Followed Hyperlink" xfId="849" builtinId="9" hidden="1"/>
    <cellStyle name="Followed Hyperlink" xfId="913" builtinId="9" hidden="1"/>
    <cellStyle name="Followed Hyperlink" xfId="977" builtinId="9" hidden="1"/>
    <cellStyle name="Followed Hyperlink" xfId="1031" builtinId="9" hidden="1"/>
    <cellStyle name="Followed Hyperlink" xfId="967" builtinId="9" hidden="1"/>
    <cellStyle name="Followed Hyperlink" xfId="903" builtinId="9" hidden="1"/>
    <cellStyle name="Followed Hyperlink" xfId="839" builtinId="9" hidden="1"/>
    <cellStyle name="Followed Hyperlink" xfId="775" builtinId="9" hidden="1"/>
    <cellStyle name="Followed Hyperlink" xfId="711" builtinId="9" hidden="1"/>
    <cellStyle name="Followed Hyperlink" xfId="647" builtinId="9" hidden="1"/>
    <cellStyle name="Followed Hyperlink" xfId="577" builtinId="9" hidden="1"/>
    <cellStyle name="Followed Hyperlink" xfId="563" builtinId="9" hidden="1"/>
    <cellStyle name="Followed Hyperlink" xfId="561" builtinId="9" hidden="1"/>
    <cellStyle name="Followed Hyperlink" xfId="591" builtinId="9" hidden="1"/>
    <cellStyle name="Followed Hyperlink" xfId="627" builtinId="9" hidden="1"/>
    <cellStyle name="Followed Hyperlink" xfId="691" builtinId="9" hidden="1"/>
    <cellStyle name="Followed Hyperlink" xfId="755" builtinId="9" hidden="1"/>
    <cellStyle name="Followed Hyperlink" xfId="819" builtinId="9" hidden="1"/>
    <cellStyle name="Followed Hyperlink" xfId="883" builtinId="9" hidden="1"/>
    <cellStyle name="Followed Hyperlink" xfId="947" builtinId="9" hidden="1"/>
    <cellStyle name="Followed Hyperlink" xfId="1011" builtinId="9" hidden="1"/>
    <cellStyle name="Followed Hyperlink" xfId="997" builtinId="9" hidden="1"/>
    <cellStyle name="Followed Hyperlink" xfId="861" builtinId="9" hidden="1"/>
    <cellStyle name="Followed Hyperlink" xfId="901" builtinId="9" hidden="1"/>
    <cellStyle name="Followed Hyperlink" xfId="941" builtinId="9" hidden="1"/>
    <cellStyle name="Followed Hyperlink" xfId="989" builtinId="9" hidden="1"/>
    <cellStyle name="Followed Hyperlink" xfId="885" builtinId="9" hidden="1"/>
    <cellStyle name="Followed Hyperlink" xfId="781" builtinId="9" hidden="1"/>
    <cellStyle name="Followed Hyperlink" xfId="789" builtinId="9" hidden="1"/>
    <cellStyle name="Followed Hyperlink" xfId="741" builtinId="9" hidden="1"/>
    <cellStyle name="Followed Hyperlink" xfId="757" builtinId="9" hidden="1"/>
    <cellStyle name="Followed Hyperlink" xfId="797" builtinId="9" hidden="1"/>
    <cellStyle name="Followed Hyperlink" xfId="853" builtinId="9" hidden="1"/>
    <cellStyle name="Followed Hyperlink" xfId="981" builtinId="9" hidden="1"/>
    <cellStyle name="Followed Hyperlink" xfId="957" builtinId="9" hidden="1"/>
    <cellStyle name="Followed Hyperlink" xfId="909" builtinId="9" hidden="1"/>
    <cellStyle name="Followed Hyperlink" xfId="869" builtinId="9" hidden="1"/>
    <cellStyle name="Followed Hyperlink" xfId="829" builtinId="9" hidden="1"/>
    <cellStyle name="Followed Hyperlink" xfId="1027" builtinId="9" hidden="1"/>
    <cellStyle name="Followed Hyperlink" xfId="963" builtinId="9" hidden="1"/>
    <cellStyle name="Followed Hyperlink" xfId="899" builtinId="9" hidden="1"/>
    <cellStyle name="Followed Hyperlink" xfId="835" builtinId="9" hidden="1"/>
    <cellStyle name="Followed Hyperlink" xfId="771" builtinId="9" hidden="1"/>
    <cellStyle name="Followed Hyperlink" xfId="707" builtinId="9" hidden="1"/>
    <cellStyle name="Followed Hyperlink" xfId="643" builtinId="9" hidden="1"/>
    <cellStyle name="Followed Hyperlink" xfId="581" builtinId="9" hidden="1"/>
    <cellStyle name="Followed Hyperlink" xfId="551" builtinId="9" hidden="1"/>
    <cellStyle name="Followed Hyperlink" xfId="559" builtinId="9" hidden="1"/>
    <cellStyle name="Followed Hyperlink" xfId="589" builtinId="9" hidden="1"/>
    <cellStyle name="Followed Hyperlink" xfId="631" builtinId="9" hidden="1"/>
    <cellStyle name="Followed Hyperlink" xfId="695" builtinId="9" hidden="1"/>
    <cellStyle name="Followed Hyperlink" xfId="759" builtinId="9" hidden="1"/>
    <cellStyle name="Followed Hyperlink" xfId="823" builtinId="9" hidden="1"/>
    <cellStyle name="Followed Hyperlink" xfId="887" builtinId="9" hidden="1"/>
    <cellStyle name="Followed Hyperlink" xfId="951" builtinId="9" hidden="1"/>
    <cellStyle name="Followed Hyperlink" xfId="1015" builtinId="9" hidden="1"/>
    <cellStyle name="Followed Hyperlink" xfId="993" builtinId="9" hidden="1"/>
    <cellStyle name="Followed Hyperlink" xfId="929" builtinId="9" hidden="1"/>
    <cellStyle name="Followed Hyperlink" xfId="865" builtinId="9" hidden="1"/>
    <cellStyle name="Followed Hyperlink" xfId="801" builtinId="9" hidden="1"/>
    <cellStyle name="Followed Hyperlink" xfId="737" builtinId="9" hidden="1"/>
    <cellStyle name="Followed Hyperlink" xfId="689" builtinId="9" hidden="1"/>
    <cellStyle name="Followed Hyperlink" xfId="733" builtinId="9" hidden="1"/>
    <cellStyle name="Followed Hyperlink" xfId="629" builtinId="9" hidden="1"/>
    <cellStyle name="Followed Hyperlink" xfId="609" builtinId="9" hidden="1"/>
    <cellStyle name="Followed Hyperlink" xfId="637" builtinId="9" hidden="1"/>
    <cellStyle name="Followed Hyperlink" xfId="729" builtinId="9" hidden="1"/>
    <cellStyle name="Followed Hyperlink" xfId="693" builtinId="9" hidden="1"/>
    <cellStyle name="Followed Hyperlink" xfId="653" builtinId="9" hidden="1"/>
    <cellStyle name="Followed Hyperlink" xfId="793" builtinId="9" hidden="1"/>
    <cellStyle name="Followed Hyperlink" xfId="857" builtinId="9" hidden="1"/>
    <cellStyle name="Followed Hyperlink" xfId="921" builtinId="9" hidden="1"/>
    <cellStyle name="Followed Hyperlink" xfId="985" builtinId="9" hidden="1"/>
    <cellStyle name="Followed Hyperlink" xfId="1023" builtinId="9" hidden="1"/>
    <cellStyle name="Followed Hyperlink" xfId="959" builtinId="9" hidden="1"/>
    <cellStyle name="Followed Hyperlink" xfId="895" builtinId="9" hidden="1"/>
    <cellStyle name="Followed Hyperlink" xfId="831" builtinId="9" hidden="1"/>
    <cellStyle name="Followed Hyperlink" xfId="767" builtinId="9" hidden="1"/>
    <cellStyle name="Followed Hyperlink" xfId="703" builtinId="9" hidden="1"/>
    <cellStyle name="Followed Hyperlink" xfId="639" builtinId="9" hidden="1"/>
    <cellStyle name="Followed Hyperlink" xfId="583" builtinId="9" hidden="1"/>
    <cellStyle name="Followed Hyperlink" xfId="553" builtinId="9" hidden="1"/>
    <cellStyle name="Followed Hyperlink" xfId="557" builtinId="9" hidden="1"/>
    <cellStyle name="Followed Hyperlink" xfId="541" builtinId="9" hidden="1"/>
    <cellStyle name="Followed Hyperlink" xfId="464" builtinId="9" hidden="1"/>
    <cellStyle name="Followed Hyperlink" xfId="478" builtinId="9" hidden="1"/>
    <cellStyle name="Followed Hyperlink" xfId="430" builtinId="9" hidden="1"/>
    <cellStyle name="Followed Hyperlink" xfId="398" builtinId="9" hidden="1"/>
    <cellStyle name="Followed Hyperlink" xfId="446" builtinId="9" hidden="1"/>
    <cellStyle name="Followed Hyperlink" xfId="366" builtinId="9" hidden="1"/>
    <cellStyle name="Followed Hyperlink" xfId="238" builtinId="9" hidden="1"/>
    <cellStyle name="Followed Hyperlink" xfId="110" builtinId="9" hidden="1"/>
    <cellStyle name="Followed Hyperlink" xfId="44" builtinId="9" hidden="1"/>
    <cellStyle name="Followed Hyperlink" xfId="78" builtinId="9" hidden="1"/>
    <cellStyle name="Followed Hyperlink" xfId="126" builtinId="9" hidden="1"/>
    <cellStyle name="Followed Hyperlink" xfId="158" builtinId="9" hidden="1"/>
    <cellStyle name="Followed Hyperlink" xfId="206" builtinId="9" hidden="1"/>
    <cellStyle name="Followed Hyperlink" xfId="254" builtinId="9" hidden="1"/>
    <cellStyle name="Followed Hyperlink" xfId="286" builtinId="9" hidden="1"/>
    <cellStyle name="Followed Hyperlink" xfId="334" builtinId="9" hidden="1"/>
    <cellStyle name="Followed Hyperlink" xfId="56" builtinId="9" hidden="1"/>
    <cellStyle name="Followed Hyperlink" xfId="6" builtinId="9" hidden="1"/>
    <cellStyle name="Followed Hyperlink" xfId="38" builtinId="9" hidden="1"/>
    <cellStyle name="Followed Hyperlink" xfId="32" builtinId="9" hidden="1"/>
    <cellStyle name="Followed Hyperlink" xfId="114" builtinId="9" hidden="1"/>
    <cellStyle name="Followed Hyperlink" xfId="178" builtinId="9" hidden="1"/>
    <cellStyle name="Followed Hyperlink" xfId="242" builtinId="9" hidden="1"/>
    <cellStyle name="Followed Hyperlink" xfId="306" builtinId="9" hidden="1"/>
    <cellStyle name="Followed Hyperlink" xfId="370" builtinId="9" hidden="1"/>
    <cellStyle name="Followed Hyperlink" xfId="434" builtinId="9" hidden="1"/>
    <cellStyle name="Followed Hyperlink" xfId="492" builtinId="9" hidden="1"/>
    <cellStyle name="Followed Hyperlink" xfId="428" builtinId="9" hidden="1"/>
    <cellStyle name="Followed Hyperlink" xfId="364" builtinId="9" hidden="1"/>
    <cellStyle name="Followed Hyperlink" xfId="300" builtinId="9" hidden="1"/>
    <cellStyle name="Followed Hyperlink" xfId="236" builtinId="9" hidden="1"/>
    <cellStyle name="Followed Hyperlink" xfId="120" builtinId="9" hidden="1"/>
    <cellStyle name="Followed Hyperlink" xfId="164" builtinId="9" hidden="1"/>
    <cellStyle name="Followed Hyperlink" xfId="156" builtinId="9" hidden="1"/>
    <cellStyle name="Followed Hyperlink" xfId="104" builtinId="9" hidden="1"/>
    <cellStyle name="Followed Hyperlink" xfId="80" builtinId="9" hidden="1"/>
    <cellStyle name="Followed Hyperlink" xfId="108" builtinId="9" hidden="1"/>
    <cellStyle name="Followed Hyperlink" xfId="180" builtinId="9" hidden="1"/>
    <cellStyle name="Followed Hyperlink" xfId="136" builtinId="9" hidden="1"/>
    <cellStyle name="Followed Hyperlink" xfId="212" builtinId="9" hidden="1"/>
    <cellStyle name="Followed Hyperlink" xfId="276" builtinId="9" hidden="1"/>
    <cellStyle name="Followed Hyperlink" xfId="340" builtinId="9" hidden="1"/>
    <cellStyle name="Followed Hyperlink" xfId="404" builtinId="9" hidden="1"/>
    <cellStyle name="Followed Hyperlink" xfId="468" builtinId="9" hidden="1"/>
    <cellStyle name="Followed Hyperlink" xfId="458" builtinId="9" hidden="1"/>
    <cellStyle name="Followed Hyperlink" xfId="394" builtinId="9" hidden="1"/>
    <cellStyle name="Followed Hyperlink" xfId="330" builtinId="9" hidden="1"/>
    <cellStyle name="Followed Hyperlink" xfId="266" builtinId="9" hidden="1"/>
    <cellStyle name="Followed Hyperlink" xfId="202" builtinId="9" hidden="1"/>
    <cellStyle name="Followed Hyperlink" xfId="138" builtinId="9" hidden="1"/>
    <cellStyle name="Followed Hyperlink" xfId="74" builtinId="9" hidden="1"/>
    <cellStyle name="Followed Hyperlink" xfId="58" builtinId="9" hidden="1"/>
    <cellStyle name="Followed Hyperlink" xfId="8" builtinId="9" hidden="1"/>
    <cellStyle name="Followed Hyperlink" xfId="46" builtinId="9" hidden="1"/>
    <cellStyle name="Followed Hyperlink" xfId="28" builtinId="9" hidden="1"/>
    <cellStyle name="Followed Hyperlink" xfId="118" builtinId="9" hidden="1"/>
    <cellStyle name="Followed Hyperlink" xfId="182" builtinId="9" hidden="1"/>
    <cellStyle name="Followed Hyperlink" xfId="246" builtinId="9" hidden="1"/>
    <cellStyle name="Followed Hyperlink" xfId="310" builtinId="9" hidden="1"/>
    <cellStyle name="Followed Hyperlink" xfId="374" builtinId="9" hidden="1"/>
    <cellStyle name="Followed Hyperlink" xfId="438" builtinId="9" hidden="1"/>
    <cellStyle name="Followed Hyperlink" xfId="488" builtinId="9" hidden="1"/>
    <cellStyle name="Followed Hyperlink" xfId="296" builtinId="9" hidden="1"/>
    <cellStyle name="Followed Hyperlink" xfId="336" builtinId="9" hidden="1"/>
    <cellStyle name="Followed Hyperlink" xfId="384" builtinId="9" hidden="1"/>
    <cellStyle name="Followed Hyperlink" xfId="424" builtinId="9" hidden="1"/>
    <cellStyle name="Followed Hyperlink" xfId="408" builtinId="9" hidden="1"/>
    <cellStyle name="Followed Hyperlink" xfId="280" builtinId="9" hidden="1"/>
    <cellStyle name="Followed Hyperlink" xfId="264" builtinId="9" hidden="1"/>
    <cellStyle name="Followed Hyperlink" xfId="224" builtinId="9" hidden="1"/>
    <cellStyle name="Followed Hyperlink" xfId="208" builtinId="9" hidden="1"/>
    <cellStyle name="Followed Hyperlink" xfId="272" builtinId="9" hidden="1"/>
    <cellStyle name="Followed Hyperlink" xfId="232" builtinId="9" hidden="1"/>
    <cellStyle name="Followed Hyperlink" xfId="376" builtinId="9" hidden="1"/>
    <cellStyle name="Followed Hyperlink" xfId="432" builtinId="9" hidden="1"/>
    <cellStyle name="Followed Hyperlink" xfId="392" builtinId="9" hidden="1"/>
    <cellStyle name="Followed Hyperlink" xfId="352" builtinId="9" hidden="1"/>
    <cellStyle name="Followed Hyperlink" xfId="304" builtinId="9" hidden="1"/>
    <cellStyle name="Followed Hyperlink" xfId="472" builtinId="9" hidden="1"/>
    <cellStyle name="Followed Hyperlink" xfId="454" builtinId="9" hidden="1"/>
    <cellStyle name="Followed Hyperlink" xfId="390" builtinId="9" hidden="1"/>
    <cellStyle name="Followed Hyperlink" xfId="326" builtinId="9" hidden="1"/>
    <cellStyle name="Followed Hyperlink" xfId="262" builtinId="9" hidden="1"/>
    <cellStyle name="Followed Hyperlink" xfId="198" builtinId="9" hidden="1"/>
    <cellStyle name="Followed Hyperlink" xfId="134" builtinId="9" hidden="1"/>
    <cellStyle name="Followed Hyperlink" xfId="70" builtinId="9" hidden="1"/>
    <cellStyle name="Followed Hyperlink" xfId="60" builtinId="9" hidden="1"/>
    <cellStyle name="Followed Hyperlink" xfId="4" builtinId="9" hidden="1"/>
    <cellStyle name="Followed Hyperlink" xfId="54" builtinId="9" hidden="1"/>
    <cellStyle name="Followed Hyperlink" xfId="26" builtinId="9" hidden="1"/>
    <cellStyle name="Followed Hyperlink" xfId="122" builtinId="9" hidden="1"/>
    <cellStyle name="Followed Hyperlink" xfId="186" builtinId="9" hidden="1"/>
    <cellStyle name="Followed Hyperlink" xfId="250" builtinId="9" hidden="1"/>
    <cellStyle name="Followed Hyperlink" xfId="314" builtinId="9" hidden="1"/>
    <cellStyle name="Followed Hyperlink" xfId="378" builtinId="9" hidden="1"/>
    <cellStyle name="Followed Hyperlink" xfId="442" builtinId="9" hidden="1"/>
    <cellStyle name="Followed Hyperlink" xfId="484" builtinId="9" hidden="1"/>
    <cellStyle name="Followed Hyperlink" xfId="420" builtinId="9" hidden="1"/>
    <cellStyle name="Followed Hyperlink" xfId="356" builtinId="9" hidden="1"/>
    <cellStyle name="Followed Hyperlink" xfId="292" builtinId="9" hidden="1"/>
    <cellStyle name="Followed Hyperlink" xfId="228" builtinId="9" hidden="1"/>
    <cellStyle name="Followed Hyperlink" xfId="128" builtinId="9" hidden="1"/>
    <cellStyle name="Followed Hyperlink" xfId="168" builtinId="9" hidden="1"/>
    <cellStyle name="Followed Hyperlink" xfId="140" builtinId="9" hidden="1"/>
    <cellStyle name="Followed Hyperlink" xfId="92" builtinId="9" hidden="1"/>
    <cellStyle name="Followed Hyperlink" xfId="76" builtinId="9" hidden="1"/>
    <cellStyle name="Followed Hyperlink" xfId="124" builtinId="9" hidden="1"/>
    <cellStyle name="Followed Hyperlink" xfId="176" builtinId="9" hidden="1"/>
    <cellStyle name="Followed Hyperlink" xfId="226" builtinId="9" hidden="1"/>
    <cellStyle name="Followed Hyperlink" xfId="258" builtinId="9" hidden="1"/>
    <cellStyle name="Followed Hyperlink" xfId="290" builtinId="9" hidden="1"/>
    <cellStyle name="Followed Hyperlink" xfId="354" builtinId="9" hidden="1"/>
    <cellStyle name="Followed Hyperlink" xfId="386" builtinId="9" hidden="1"/>
    <cellStyle name="Followed Hyperlink" xfId="418" builtinId="9" hidden="1"/>
    <cellStyle name="Followed Hyperlink" xfId="482" builtinId="9" hidden="1"/>
    <cellStyle name="Followed Hyperlink" xfId="476" builtinId="9" hidden="1"/>
    <cellStyle name="Followed Hyperlink" xfId="444" builtinId="9" hidden="1"/>
    <cellStyle name="Followed Hyperlink" xfId="380" builtinId="9" hidden="1"/>
    <cellStyle name="Followed Hyperlink" xfId="348" builtinId="9" hidden="1"/>
    <cellStyle name="Followed Hyperlink" xfId="316" builtinId="9" hidden="1"/>
    <cellStyle name="Followed Hyperlink" xfId="252" builtinId="9" hidden="1"/>
    <cellStyle name="Followed Hyperlink" xfId="220" builtinId="9" hidden="1"/>
    <cellStyle name="Followed Hyperlink" xfId="112" builtinId="9" hidden="1"/>
    <cellStyle name="Followed Hyperlink" xfId="152" builtinId="9" hidden="1"/>
    <cellStyle name="Followed Hyperlink" xfId="132" builtinId="9" hidden="1"/>
    <cellStyle name="Followed Hyperlink" xfId="284" builtinId="9" hidden="1"/>
    <cellStyle name="Followed Hyperlink" xfId="412" builtinId="9" hidden="1"/>
    <cellStyle name="Followed Hyperlink" xfId="450" builtinId="9" hidden="1"/>
    <cellStyle name="Followed Hyperlink" xfId="322" builtinId="9" hidden="1"/>
    <cellStyle name="Followed Hyperlink" xfId="194" builtinId="9" hidden="1"/>
    <cellStyle name="Followed Hyperlink" xfId="64" builtinId="9" hidden="1"/>
    <cellStyle name="Followed Hyperlink" xfId="42" builtinId="9" hidden="1"/>
    <cellStyle name="Followed Hyperlink" xfId="98" builtinId="9" hidden="1"/>
    <cellStyle name="Followed Hyperlink" xfId="130" builtinId="9" hidden="1"/>
    <cellStyle name="Followed Hyperlink" xfId="162" builtinId="9" hidden="1"/>
    <cellStyle name="Followed Hyperlink" xfId="66" builtinId="9" hidden="1"/>
    <cellStyle name="Followed Hyperlink" xfId="2" builtinId="9" hidden="1"/>
    <cellStyle name="Followed Hyperlink" xfId="12" builtinId="9" hidden="1"/>
    <cellStyle name="Followed Hyperlink" xfId="16" builtinId="9" hidden="1"/>
    <cellStyle name="Followed Hyperlink" xfId="62" builtinId="9" hidden="1"/>
    <cellStyle name="Good" xfId="501" builtinId="26" customBuiltin="1"/>
    <cellStyle name="Heading 1" xfId="497" builtinId="16" customBuiltin="1"/>
    <cellStyle name="Heading 2" xfId="498" builtinId="17" customBuiltin="1"/>
    <cellStyle name="Heading 3" xfId="499" builtinId="18" customBuiltin="1"/>
    <cellStyle name="Heading 4" xfId="500" builtinId="19" customBuiltin="1"/>
    <cellStyle name="Hyperlink" xfId="415" builtinId="8" hidden="1"/>
    <cellStyle name="Hyperlink" xfId="417" builtinId="8" hidden="1"/>
    <cellStyle name="Hyperlink" xfId="425" builtinId="8" hidden="1"/>
    <cellStyle name="Hyperlink" xfId="433" builtinId="8" hidden="1"/>
    <cellStyle name="Hyperlink" xfId="439" builtinId="8" hidden="1"/>
    <cellStyle name="Hyperlink" xfId="441" builtinId="8" hidden="1"/>
    <cellStyle name="Hyperlink" xfId="385" builtinId="8" hidden="1"/>
    <cellStyle name="Hyperlink" xfId="343" builtinId="8" hidden="1"/>
    <cellStyle name="Hyperlink" xfId="301" builtinId="8" hidden="1"/>
    <cellStyle name="Hyperlink" xfId="245" builtinId="8" hidden="1"/>
    <cellStyle name="Hyperlink" xfId="249" builtinId="8" hidden="1"/>
    <cellStyle name="Hyperlink" xfId="253" builtinId="8" hidden="1"/>
    <cellStyle name="Hyperlink" xfId="263" builtinId="8" hidden="1"/>
    <cellStyle name="Hyperlink" xfId="265" builtinId="8" hidden="1"/>
    <cellStyle name="Hyperlink" xfId="271" builtinId="8" hidden="1"/>
    <cellStyle name="Hyperlink" xfId="277" builtinId="8" hidden="1"/>
    <cellStyle name="Hyperlink" xfId="261" builtinId="8" hidden="1"/>
    <cellStyle name="Hyperlink" xfId="365" builtinId="8" hidden="1"/>
    <cellStyle name="Hyperlink" xfId="391" builtinId="8" hidden="1"/>
    <cellStyle name="Hyperlink" xfId="357" builtinId="8" hidden="1"/>
    <cellStyle name="Hyperlink" xfId="325" builtinId="8" hidden="1"/>
    <cellStyle name="Hyperlink" xfId="69" builtinId="8" hidden="1"/>
    <cellStyle name="Hyperlink" xfId="51" builtinId="8" hidden="1"/>
    <cellStyle name="Hyperlink" xfId="43" builtinId="8" hidden="1"/>
    <cellStyle name="Hyperlink" xfId="185" builtinId="8" hidden="1"/>
    <cellStyle name="Hyperlink" xfId="175" builtinId="8" hidden="1"/>
    <cellStyle name="Hyperlink" xfId="167" builtinId="8" hidden="1"/>
    <cellStyle name="Hyperlink" xfId="139" builtinId="8" hidden="1"/>
    <cellStyle name="Hyperlink" xfId="129" builtinId="8" hidden="1"/>
    <cellStyle name="Hyperlink" xfId="111" builtinId="8" hidden="1"/>
    <cellStyle name="Hyperlink" xfId="93" builtinId="8" hidden="1"/>
    <cellStyle name="Hyperlink" xfId="211" builtinId="8" hidden="1"/>
    <cellStyle name="Hyperlink" xfId="275" builtinId="8" hidden="1"/>
    <cellStyle name="Hyperlink" xfId="371" builtinId="8" hidden="1"/>
    <cellStyle name="Hyperlink" xfId="403" builtinId="8" hidden="1"/>
    <cellStyle name="Hyperlink" xfId="467" builtinId="8" hidden="1"/>
    <cellStyle name="Hyperlink" xfId="243" builtinId="8" hidden="1"/>
    <cellStyle name="Hyperlink" xfId="9" builtinId="8" hidden="1"/>
    <cellStyle name="Hyperlink" xfId="11" builtinId="8" hidden="1"/>
    <cellStyle name="Hyperlink" xfId="5" builtinId="8" hidden="1"/>
    <cellStyle name="Hyperlink" xfId="7" builtinId="8" hidden="1"/>
    <cellStyle name="Hyperlink" xfId="3" builtinId="8" hidden="1"/>
    <cellStyle name="Hyperlink" xfId="37" builtinId="8" hidden="1"/>
    <cellStyle name="Hyperlink" xfId="21" builtinId="8" hidden="1"/>
    <cellStyle name="Hyperlink" xfId="77" builtinId="8" hidden="1"/>
    <cellStyle name="Hyperlink" xfId="25" builtinId="8" hidden="1"/>
    <cellStyle name="Hyperlink" xfId="27" builtinId="8" hidden="1"/>
    <cellStyle name="Hyperlink" xfId="31" builtinId="8" hidden="1"/>
    <cellStyle name="Hyperlink" xfId="79" builtinId="8" hidden="1"/>
    <cellStyle name="Hyperlink" xfId="67" builtinId="8" hidden="1"/>
    <cellStyle name="Hyperlink" xfId="73" builtinId="8" hidden="1"/>
    <cellStyle name="Hyperlink" xfId="538" builtinId="8" hidden="1"/>
    <cellStyle name="Hyperlink" xfId="540" builtinId="8" hidden="1"/>
    <cellStyle name="Hyperlink" xfId="826" builtinId="8" hidden="1"/>
    <cellStyle name="Hyperlink" xfId="836" builtinId="8" hidden="1"/>
    <cellStyle name="Hyperlink" xfId="820" builtinId="8" hidden="1"/>
    <cellStyle name="Hyperlink" xfId="756" builtinId="8" hidden="1"/>
    <cellStyle name="Hyperlink" xfId="766" builtinId="8" hidden="1"/>
    <cellStyle name="Hyperlink" xfId="772" builtinId="8" hidden="1"/>
    <cellStyle name="Hyperlink" xfId="778" builtinId="8" hidden="1"/>
    <cellStyle name="Hyperlink" xfId="746" builtinId="8" hidden="1"/>
    <cellStyle name="Hyperlink" xfId="754" builtinId="8" hidden="1"/>
    <cellStyle name="Hyperlink" xfId="738" builtinId="8" hidden="1"/>
    <cellStyle name="Hyperlink" xfId="734" builtinId="8" hidden="1"/>
    <cellStyle name="Hyperlink" xfId="750" builtinId="8" hidden="1"/>
    <cellStyle name="Hyperlink" xfId="780" builtinId="8" hidden="1"/>
    <cellStyle name="Hyperlink" xfId="834" builtinId="8" hidden="1"/>
    <cellStyle name="Hyperlink" xfId="822" builtinId="8" hidden="1"/>
    <cellStyle name="Hyperlink" xfId="798" builtinId="8" hidden="1"/>
    <cellStyle name="Hyperlink" xfId="862" builtinId="8" hidden="1"/>
    <cellStyle name="Hyperlink" xfId="978" builtinId="8" hidden="1"/>
    <cellStyle name="Hyperlink" xfId="964" builtinId="8" hidden="1"/>
    <cellStyle name="Hyperlink" xfId="930" builtinId="8" hidden="1"/>
    <cellStyle name="Hyperlink" xfId="916" builtinId="8" hidden="1"/>
    <cellStyle name="Hyperlink" xfId="902" builtinId="8" hidden="1"/>
    <cellStyle name="Hyperlink" xfId="868" builtinId="8" hidden="1"/>
    <cellStyle name="Hyperlink" xfId="854" builtinId="8" hidden="1"/>
    <cellStyle name="Hyperlink" xfId="1012" builtinId="8" hidden="1"/>
    <cellStyle name="Hyperlink" xfId="848" builtinId="8" hidden="1"/>
    <cellStyle name="Hyperlink" xfId="662" builtinId="8" hidden="1"/>
    <cellStyle name="Hyperlink" xfId="698" builtinId="8" hidden="1"/>
    <cellStyle name="Hyperlink" xfId="570" builtinId="8" hidden="1"/>
    <cellStyle name="Hyperlink" xfId="542" builtinId="8" hidden="1"/>
    <cellStyle name="Hyperlink" xfId="554" builtinId="8" hidden="1"/>
    <cellStyle name="Hyperlink" xfId="616" builtinId="8" hidden="1"/>
    <cellStyle name="Hyperlink" xfId="760" builtinId="8" hidden="1"/>
    <cellStyle name="Hyperlink" xfId="622" builtinId="8" hidden="1"/>
    <cellStyle name="Hyperlink" xfId="630" builtinId="8" hidden="1"/>
    <cellStyle name="Hyperlink" xfId="636" builtinId="8" hidden="1"/>
    <cellStyle name="Hyperlink" xfId="638" builtinId="8" hidden="1"/>
    <cellStyle name="Hyperlink" xfId="650" builtinId="8" hidden="1"/>
    <cellStyle name="Hyperlink" xfId="654" builtinId="8" hidden="1"/>
    <cellStyle name="Hyperlink" xfId="658" builtinId="8" hidden="1"/>
    <cellStyle name="Hyperlink" xfId="668" builtinId="8" hidden="1"/>
    <cellStyle name="Hyperlink" xfId="674" builtinId="8" hidden="1"/>
    <cellStyle name="Hyperlink" xfId="678" builtinId="8" hidden="1"/>
    <cellStyle name="Hyperlink" xfId="684" builtinId="8" hidden="1"/>
    <cellStyle name="Hyperlink" xfId="694" builtinId="8" hidden="1"/>
    <cellStyle name="Hyperlink" xfId="696" builtinId="8" hidden="1"/>
    <cellStyle name="Hyperlink" xfId="706" builtinId="8" hidden="1"/>
    <cellStyle name="Hyperlink" xfId="710" builtinId="8" hidden="1"/>
    <cellStyle name="Hyperlink" xfId="712" builtinId="8" hidden="1"/>
    <cellStyle name="Hyperlink" xfId="724" builtinId="8" hidden="1"/>
    <cellStyle name="Hyperlink" xfId="728" builtinId="8" hidden="1"/>
    <cellStyle name="Hyperlink" xfId="720" builtinId="8" hidden="1"/>
    <cellStyle name="Hyperlink" xfId="656" builtinId="8" hidden="1"/>
    <cellStyle name="Hyperlink" xfId="580" builtinId="8" hidden="1"/>
    <cellStyle name="Hyperlink" xfId="582" builtinId="8" hidden="1"/>
    <cellStyle name="Hyperlink" xfId="590" builtinId="8" hidden="1"/>
    <cellStyle name="Hyperlink" xfId="596" builtinId="8" hidden="1"/>
    <cellStyle name="Hyperlink" xfId="598" builtinId="8" hidden="1"/>
    <cellStyle name="Hyperlink" xfId="606" builtinId="8" hidden="1"/>
    <cellStyle name="Hyperlink" xfId="594" builtinId="8" hidden="1"/>
    <cellStyle name="Hyperlink" xfId="714" builtinId="8" hidden="1"/>
    <cellStyle name="Hyperlink" xfId="666" builtinId="8" hidden="1"/>
    <cellStyle name="Hyperlink" xfId="744" builtinId="8" hidden="1"/>
    <cellStyle name="Hyperlink" xfId="984" builtinId="8" hidden="1"/>
    <cellStyle name="Hyperlink" xfId="952" builtinId="8" hidden="1"/>
    <cellStyle name="Hyperlink" xfId="936" builtinId="8" hidden="1"/>
    <cellStyle name="Hyperlink" xfId="928" builtinId="8" hidden="1"/>
    <cellStyle name="Hyperlink" xfId="896" builtinId="8" hidden="1"/>
    <cellStyle name="Hyperlink" xfId="888" builtinId="8" hidden="1"/>
    <cellStyle name="Hyperlink" xfId="864" builtinId="8" hidden="1"/>
    <cellStyle name="Hyperlink" xfId="840" builtinId="8" hidden="1"/>
    <cellStyle name="Hyperlink" xfId="808" builtinId="8" hidden="1"/>
    <cellStyle name="Hyperlink" xfId="800" builtinId="8" hidden="1"/>
    <cellStyle name="Hyperlink" xfId="768" builtinId="8" hidden="1"/>
    <cellStyle name="Hyperlink" xfId="832" builtinId="8" hidden="1"/>
    <cellStyle name="Hyperlink" xfId="1018" builtinId="8" hidden="1"/>
    <cellStyle name="Hyperlink" xfId="1028" builtinId="8" hidden="1"/>
    <cellStyle name="Hyperlink" xfId="1030" builtinId="8" hidden="1"/>
    <cellStyle name="Hyperlink" xfId="1024" builtinId="8" hidden="1"/>
    <cellStyle name="Hyperlink" xfId="1000" builtinId="8" hidden="1"/>
    <cellStyle name="Hyperlink" xfId="998" builtinId="8" hidden="1"/>
    <cellStyle name="Hyperlink" xfId="1004" builtinId="8" hidden="1"/>
    <cellStyle name="Hyperlink" xfId="1014" builtinId="8" hidden="1"/>
    <cellStyle name="Hyperlink" xfId="994" builtinId="8" hidden="1"/>
    <cellStyle name="Hyperlink" xfId="996" builtinId="8" hidden="1"/>
    <cellStyle name="Hyperlink" xfId="988" builtinId="8" hidden="1"/>
    <cellStyle name="Hyperlink" xfId="1010" builtinId="8" hidden="1"/>
    <cellStyle name="Hyperlink" xfId="992" builtinId="8" hidden="1"/>
    <cellStyle name="Hyperlink" xfId="1020" builtinId="8" hidden="1"/>
    <cellStyle name="Hyperlink" xfId="776" builtinId="8" hidden="1"/>
    <cellStyle name="Hyperlink" xfId="824" builtinId="8" hidden="1"/>
    <cellStyle name="Hyperlink" xfId="920" builtinId="8" hidden="1"/>
    <cellStyle name="Hyperlink" xfId="960" builtinId="8" hidden="1"/>
    <cellStyle name="Hyperlink" xfId="642" builtinId="8" hidden="1"/>
    <cellStyle name="Hyperlink" xfId="602" builtinId="8" hidden="1"/>
    <cellStyle name="Hyperlink" xfId="588" builtinId="8" hidden="1"/>
    <cellStyle name="Hyperlink" xfId="624" builtinId="8" hidden="1"/>
    <cellStyle name="Hyperlink" xfId="718" builtinId="8" hidden="1"/>
    <cellStyle name="Hyperlink" xfId="702" builtinId="8" hidden="1"/>
    <cellStyle name="Hyperlink" xfId="686" builtinId="8" hidden="1"/>
    <cellStyle name="Hyperlink" xfId="660" builtinId="8" hidden="1"/>
    <cellStyle name="Hyperlink" xfId="648" builtinId="8" hidden="1"/>
    <cellStyle name="Hyperlink" xfId="632" builtinId="8" hidden="1"/>
    <cellStyle name="Hyperlink" xfId="574" builtinId="8" hidden="1"/>
    <cellStyle name="Hyperlink" xfId="600" builtinId="8" hidden="1"/>
    <cellStyle name="Hyperlink" xfId="626" builtinId="8" hidden="1"/>
    <cellStyle name="Hyperlink" xfId="892" builtinId="8" hidden="1"/>
    <cellStyle name="Hyperlink" xfId="940" builtinId="8" hidden="1"/>
    <cellStyle name="Hyperlink" xfId="948" builtinId="8" hidden="1"/>
    <cellStyle name="Hyperlink" xfId="770" builtinId="8" hidden="1"/>
    <cellStyle name="Hyperlink" xfId="732" builtinId="8" hidden="1"/>
    <cellStyle name="Hyperlink" xfId="748" builtinId="8" hidden="1"/>
    <cellStyle name="Hyperlink" xfId="762" builtinId="8" hidden="1"/>
    <cellStyle name="Hyperlink" xfId="830" builtinId="8" hidden="1"/>
    <cellStyle name="Hyperlink" xfId="1022" builtinId="8" hidden="1"/>
    <cellStyle name="Hyperlink" xfId="838" builtinId="8" hidden="1"/>
    <cellStyle name="Hyperlink" xfId="846" builtinId="8" hidden="1"/>
    <cellStyle name="Hyperlink" xfId="850" builtinId="8" hidden="1"/>
    <cellStyle name="Hyperlink" xfId="858" builtinId="8" hidden="1"/>
    <cellStyle name="Hyperlink" xfId="860" builtinId="8" hidden="1"/>
    <cellStyle name="Hyperlink" xfId="870" builtinId="8" hidden="1"/>
    <cellStyle name="Hyperlink" xfId="876" builtinId="8" hidden="1"/>
    <cellStyle name="Hyperlink" xfId="882" builtinId="8" hidden="1"/>
    <cellStyle name="Hyperlink" xfId="886" builtinId="8" hidden="1"/>
    <cellStyle name="Hyperlink" xfId="894" builtinId="8" hidden="1"/>
    <cellStyle name="Hyperlink" xfId="900" builtinId="8" hidden="1"/>
    <cellStyle name="Hyperlink" xfId="908" builtinId="8" hidden="1"/>
    <cellStyle name="Hyperlink" xfId="914" builtinId="8" hidden="1"/>
    <cellStyle name="Hyperlink" xfId="918" builtinId="8" hidden="1"/>
    <cellStyle name="Hyperlink" xfId="922" builtinId="8" hidden="1"/>
    <cellStyle name="Hyperlink" xfId="934" builtinId="8" hidden="1"/>
    <cellStyle name="Hyperlink" xfId="938" builtinId="8" hidden="1"/>
    <cellStyle name="Hyperlink" xfId="942" builtinId="8" hidden="1"/>
    <cellStyle name="Hyperlink" xfId="950" builtinId="8" hidden="1"/>
    <cellStyle name="Hyperlink" xfId="956" builtinId="8" hidden="1"/>
    <cellStyle name="Hyperlink" xfId="958" builtinId="8" hidden="1"/>
    <cellStyle name="Hyperlink" xfId="972" builtinId="8" hidden="1"/>
    <cellStyle name="Hyperlink" xfId="974" builtinId="8" hidden="1"/>
    <cellStyle name="Hyperlink" xfId="980" builtinId="8" hidden="1"/>
    <cellStyle name="Hyperlink" xfId="970" builtinId="8" hidden="1"/>
    <cellStyle name="Hyperlink" xfId="926" builtinId="8" hidden="1"/>
    <cellStyle name="Hyperlink" xfId="884" builtinId="8" hidden="1"/>
    <cellStyle name="Hyperlink" xfId="782" builtinId="8" hidden="1"/>
    <cellStyle name="Hyperlink" xfId="786" builtinId="8" hidden="1"/>
    <cellStyle name="Hyperlink" xfId="790" builtinId="8" hidden="1"/>
    <cellStyle name="Hyperlink" xfId="796" builtinId="8" hidden="1"/>
    <cellStyle name="Hyperlink" xfId="804" builtinId="8" hidden="1"/>
    <cellStyle name="Hyperlink" xfId="806" builtinId="8" hidden="1"/>
    <cellStyle name="Hyperlink" xfId="814" builtinId="8" hidden="1"/>
    <cellStyle name="Hyperlink" xfId="818" builtinId="8" hidden="1"/>
    <cellStyle name="Hyperlink" xfId="802" builtinId="8" hidden="1"/>
    <cellStyle name="Hyperlink" xfId="962" builtinId="8" hidden="1"/>
    <cellStyle name="Hyperlink" xfId="932" builtinId="8" hidden="1"/>
    <cellStyle name="Hyperlink" xfId="898" builtinId="8" hidden="1"/>
    <cellStyle name="Hyperlink" xfId="1002" builtinId="8" hidden="1"/>
    <cellStyle name="Hyperlink" xfId="610" builtinId="8" hidden="1"/>
    <cellStyle name="Hyperlink" xfId="592" builtinId="8" hidden="1"/>
    <cellStyle name="Hyperlink" xfId="640" builtinId="8" hidden="1"/>
    <cellStyle name="Hyperlink" xfId="726" builtinId="8" hidden="1"/>
    <cellStyle name="Hyperlink" xfId="716" builtinId="8" hidden="1"/>
    <cellStyle name="Hyperlink" xfId="690" builtinId="8" hidden="1"/>
    <cellStyle name="Hyperlink" xfId="680" builtinId="8" hidden="1"/>
    <cellStyle name="Hyperlink" xfId="670" builtinId="8" hidden="1"/>
    <cellStyle name="Hyperlink" xfId="644" builtinId="8" hidden="1"/>
    <cellStyle name="Hyperlink" xfId="634" builtinId="8" hidden="1"/>
    <cellStyle name="Hyperlink" xfId="752" builtinId="8" hidden="1"/>
    <cellStyle name="Hyperlink" xfId="880" builtinId="8" hidden="1"/>
    <cellStyle name="Hyperlink" xfId="912" builtinId="8" hidden="1"/>
    <cellStyle name="Hyperlink" xfId="944" builtinId="8" hidden="1"/>
    <cellStyle name="Hyperlink" xfId="1034" builtinId="8" hidden="1"/>
    <cellStyle name="Hyperlink" xfId="784" builtinId="8" hidden="1"/>
    <cellStyle name="Hyperlink" xfId="550" builtinId="8" hidden="1"/>
    <cellStyle name="Hyperlink" xfId="558" builtinId="8" hidden="1"/>
    <cellStyle name="Hyperlink" xfId="546" builtinId="8" hidden="1"/>
    <cellStyle name="Hyperlink" xfId="548" builtinId="8" hidden="1"/>
    <cellStyle name="Hyperlink" xfId="556" builtinId="8" hidden="1"/>
    <cellStyle name="Hyperlink" xfId="578" builtinId="8" hidden="1"/>
    <cellStyle name="Hyperlink" xfId="562" builtinId="8" hidden="1"/>
    <cellStyle name="Hyperlink" xfId="560" builtinId="8" hidden="1"/>
    <cellStyle name="Hyperlink" xfId="566" builtinId="8" hidden="1"/>
    <cellStyle name="Hyperlink" xfId="568" builtinId="8" hidden="1"/>
    <cellStyle name="Hyperlink" xfId="576" builtinId="8" hidden="1"/>
    <cellStyle name="Hyperlink" xfId="620" builtinId="8" hidden="1"/>
    <cellStyle name="Hyperlink" xfId="608" builtinId="8" hidden="1"/>
    <cellStyle name="Hyperlink" xfId="612" builtinId="8" hidden="1"/>
    <cellStyle name="Hyperlink" xfId="1036" builtinId="8" hidden="1"/>
    <cellStyle name="Hyperlink" xfId="1038" builtinId="8" hidden="1"/>
    <cellStyle name="Hyperlink" xfId="614" builtinId="8" hidden="1"/>
    <cellStyle name="Hyperlink" xfId="572" builtinId="8" hidden="1"/>
    <cellStyle name="Hyperlink" xfId="618" builtinId="8" hidden="1"/>
    <cellStyle name="Hyperlink" xfId="544" builtinId="8" hidden="1"/>
    <cellStyle name="Hyperlink" xfId="552" builtinId="8" hidden="1"/>
    <cellStyle name="Hyperlink" xfId="1008" builtinId="8" hidden="1"/>
    <cellStyle name="Hyperlink" xfId="816" builtinId="8" hidden="1"/>
    <cellStyle name="Hyperlink" xfId="652" builtinId="8" hidden="1"/>
    <cellStyle name="Hyperlink" xfId="708" builtinId="8" hidden="1"/>
    <cellStyle name="Hyperlink" xfId="584" builtinId="8" hidden="1"/>
    <cellStyle name="Hyperlink" xfId="866" builtinId="8" hidden="1"/>
    <cellStyle name="Hyperlink" xfId="906" builtinId="8" hidden="1"/>
    <cellStyle name="Hyperlink" xfId="812" builtinId="8" hidden="1"/>
    <cellStyle name="Hyperlink" xfId="794" builtinId="8" hidden="1"/>
    <cellStyle name="Hyperlink" xfId="842" builtinId="8" hidden="1"/>
    <cellStyle name="Hyperlink" xfId="982" builtinId="8" hidden="1"/>
    <cellStyle name="Hyperlink" xfId="966" builtinId="8" hidden="1"/>
    <cellStyle name="Hyperlink" xfId="946" builtinId="8" hidden="1"/>
    <cellStyle name="Hyperlink" xfId="924" builtinId="8" hidden="1"/>
    <cellStyle name="Hyperlink" xfId="910" builtinId="8" hidden="1"/>
    <cellStyle name="Hyperlink" xfId="890" builtinId="8" hidden="1"/>
    <cellStyle name="Hyperlink" xfId="874" builtinId="8" hidden="1"/>
    <cellStyle name="Hyperlink" xfId="852" builtinId="8" hidden="1"/>
    <cellStyle name="Hyperlink" xfId="990" builtinId="8" hidden="1"/>
    <cellStyle name="Hyperlink" xfId="774" builtinId="8" hidden="1"/>
    <cellStyle name="Hyperlink" xfId="810" builtinId="8" hidden="1"/>
    <cellStyle name="Hyperlink" xfId="844" builtinId="8" hidden="1"/>
    <cellStyle name="Hyperlink" xfId="736" builtinId="8" hidden="1"/>
    <cellStyle name="Hyperlink" xfId="676" builtinId="8" hidden="1"/>
    <cellStyle name="Hyperlink" xfId="730" builtinId="8" hidden="1"/>
    <cellStyle name="Hyperlink" xfId="672" builtinId="8" hidden="1"/>
    <cellStyle name="Hyperlink" xfId="872" builtinId="8" hidden="1"/>
    <cellStyle name="Hyperlink" xfId="1032" builtinId="8" hidden="1"/>
    <cellStyle name="Hyperlink" xfId="986" builtinId="8" hidden="1"/>
    <cellStyle name="Hyperlink" xfId="1006" builtinId="8" hidden="1"/>
    <cellStyle name="Hyperlink" xfId="1016" builtinId="8" hidden="1"/>
    <cellStyle name="Hyperlink" xfId="1026" builtinId="8" hidden="1"/>
    <cellStyle name="Hyperlink" xfId="792" builtinId="8" hidden="1"/>
    <cellStyle name="Hyperlink" xfId="856" builtinId="8" hidden="1"/>
    <cellStyle name="Hyperlink" xfId="904" builtinId="8" hidden="1"/>
    <cellStyle name="Hyperlink" xfId="968" builtinId="8" hidden="1"/>
    <cellStyle name="Hyperlink" xfId="692" builtinId="8" hidden="1"/>
    <cellStyle name="Hyperlink" xfId="604" builtinId="8" hidden="1"/>
    <cellStyle name="Hyperlink" xfId="586" builtinId="8" hidden="1"/>
    <cellStyle name="Hyperlink" xfId="688" builtinId="8" hidden="1"/>
    <cellStyle name="Hyperlink" xfId="722" builtinId="8" hidden="1"/>
    <cellStyle name="Hyperlink" xfId="700" builtinId="8" hidden="1"/>
    <cellStyle name="Hyperlink" xfId="682" builtinId="8" hidden="1"/>
    <cellStyle name="Hyperlink" xfId="664" builtinId="8" hidden="1"/>
    <cellStyle name="Hyperlink" xfId="646" builtinId="8" hidden="1"/>
    <cellStyle name="Hyperlink" xfId="628" builtinId="8" hidden="1"/>
    <cellStyle name="Hyperlink" xfId="564" builtinId="8" hidden="1"/>
    <cellStyle name="Hyperlink" xfId="704" builtinId="8" hidden="1"/>
    <cellStyle name="Hyperlink" xfId="976" builtinId="8" hidden="1"/>
    <cellStyle name="Hyperlink" xfId="878" builtinId="8" hidden="1"/>
    <cellStyle name="Hyperlink" xfId="954" builtinId="8" hidden="1"/>
    <cellStyle name="Hyperlink" xfId="788" builtinId="8" hidden="1"/>
    <cellStyle name="Hyperlink" xfId="758" builtinId="8" hidden="1"/>
    <cellStyle name="Hyperlink" xfId="740" builtinId="8" hidden="1"/>
    <cellStyle name="Hyperlink" xfId="742" builtinId="8" hidden="1"/>
    <cellStyle name="Hyperlink" xfId="764" builtinId="8" hidden="1"/>
    <cellStyle name="Hyperlink" xfId="828" builtinId="8" hidden="1"/>
    <cellStyle name="Hyperlink" xfId="71" builtinId="8" hidden="1"/>
    <cellStyle name="Hyperlink" xfId="35" builtinId="8" hidden="1"/>
    <cellStyle name="Hyperlink" xfId="19" builtinId="8" hidden="1"/>
    <cellStyle name="Hyperlink" xfId="15" builtinId="8" hidden="1"/>
    <cellStyle name="Hyperlink" xfId="17" builtinId="8" hidden="1"/>
    <cellStyle name="Hyperlink" xfId="493" builtinId="8" hidden="1"/>
    <cellStyle name="Hyperlink" xfId="339" builtinId="8" hidden="1"/>
    <cellStyle name="Hyperlink" xfId="103" builtinId="8" hidden="1"/>
    <cellStyle name="Hyperlink" xfId="149" builtinId="8" hidden="1"/>
    <cellStyle name="Hyperlink" xfId="99" builtinId="8" hidden="1"/>
    <cellStyle name="Hyperlink" xfId="461" builtinId="8" hidden="1"/>
    <cellStyle name="Hyperlink" xfId="421" builtinId="8" hidden="1"/>
    <cellStyle name="Hyperlink" xfId="273" builtinId="8" hidden="1"/>
    <cellStyle name="Hyperlink" xfId="255" builtinId="8" hidden="1"/>
    <cellStyle name="Hyperlink" xfId="241" builtinId="8" hidden="1"/>
    <cellStyle name="Hyperlink" xfId="429" builtinId="8" hidden="1"/>
    <cellStyle name="Hyperlink" xfId="431" builtinId="8" hidden="1"/>
    <cellStyle name="Hyperlink" xfId="409" builtinId="8" hidden="1"/>
    <cellStyle name="Hyperlink" xfId="57" builtinId="8" hidden="1"/>
    <cellStyle name="Hyperlink" xfId="63" builtinId="8" hidden="1"/>
    <cellStyle name="Hyperlink" xfId="53" builtinId="8" hidden="1"/>
    <cellStyle name="Hyperlink" xfId="173" builtinId="8" hidden="1"/>
    <cellStyle name="Hyperlink" xfId="151" builtinId="8" hidden="1"/>
    <cellStyle name="Hyperlink" xfId="125" builtinId="8" hidden="1"/>
    <cellStyle name="Hyperlink" xfId="203" builtinId="8" hidden="1"/>
    <cellStyle name="Hyperlink" xfId="443" builtinId="8" hidden="1"/>
    <cellStyle name="Hyperlink" xfId="427" builtinId="8" hidden="1"/>
    <cellStyle name="Hyperlink" xfId="395" builtinId="8" hidden="1"/>
    <cellStyle name="Hyperlink" xfId="387" builtinId="8" hidden="1"/>
    <cellStyle name="Hyperlink" xfId="363" builtinId="8" hidden="1"/>
    <cellStyle name="Hyperlink" xfId="355" builtinId="8" hidden="1"/>
    <cellStyle name="Hyperlink" xfId="347" builtinId="8" hidden="1"/>
    <cellStyle name="Hyperlink" xfId="323" builtinId="8" hidden="1"/>
    <cellStyle name="Hyperlink" xfId="315" builtinId="8" hidden="1"/>
    <cellStyle name="Hyperlink" xfId="267" builtinId="8" hidden="1"/>
    <cellStyle name="Hyperlink" xfId="259" builtinId="8" hidden="1"/>
    <cellStyle name="Hyperlink" xfId="251" builtinId="8" hidden="1"/>
    <cellStyle name="Hyperlink" xfId="227" builtinId="8" hidden="1"/>
    <cellStyle name="Hyperlink" xfId="291" builtinId="8" hidden="1"/>
    <cellStyle name="Hyperlink" xfId="477" builtinId="8" hidden="1"/>
    <cellStyle name="Hyperlink" xfId="485" builtinId="8" hidden="1"/>
    <cellStyle name="Hyperlink" xfId="489" builtinId="8" hidden="1"/>
    <cellStyle name="Hyperlink" xfId="483" builtinId="8" hidden="1"/>
    <cellStyle name="Hyperlink" xfId="475" builtinId="8" hidden="1"/>
    <cellStyle name="Hyperlink" xfId="459" builtinId="8" hidden="1"/>
    <cellStyle name="Hyperlink" xfId="457" builtinId="8" hidden="1"/>
    <cellStyle name="Hyperlink" xfId="463" builtinId="8" hidden="1"/>
    <cellStyle name="Hyperlink" xfId="465" builtinId="8" hidden="1"/>
    <cellStyle name="Hyperlink" xfId="453" builtinId="8" hidden="1"/>
    <cellStyle name="Hyperlink" xfId="455" builtinId="8" hidden="1"/>
    <cellStyle name="Hyperlink" xfId="445" builtinId="8" hidden="1"/>
    <cellStyle name="Hyperlink" xfId="447" builtinId="8" hidden="1"/>
    <cellStyle name="Hyperlink" xfId="469" builtinId="8" hidden="1"/>
    <cellStyle name="Hyperlink" xfId="451" builtinId="8" hidden="1"/>
    <cellStyle name="Hyperlink" xfId="491" builtinId="8" hidden="1"/>
    <cellStyle name="Hyperlink" xfId="235" builtinId="8" hidden="1"/>
    <cellStyle name="Hyperlink" xfId="283" builtinId="8" hidden="1"/>
    <cellStyle name="Hyperlink" xfId="331" builtinId="8" hidden="1"/>
    <cellStyle name="Hyperlink" xfId="379" builtinId="8" hidden="1"/>
    <cellStyle name="Hyperlink" xfId="419" builtinId="8" hidden="1"/>
    <cellStyle name="Hyperlink" xfId="101" builtinId="8" hidden="1"/>
    <cellStyle name="Hyperlink" xfId="131" builtinId="8" hidden="1"/>
    <cellStyle name="Hyperlink" xfId="47" builtinId="8" hidden="1"/>
    <cellStyle name="Hyperlink" xfId="83" builtinId="8" hidden="1"/>
    <cellStyle name="Hyperlink" xfId="189" builtinId="8" hidden="1"/>
    <cellStyle name="Hyperlink" xfId="177" builtinId="8" hidden="1"/>
    <cellStyle name="Hyperlink" xfId="161" builtinId="8" hidden="1"/>
    <cellStyle name="Hyperlink" xfId="145" builtinId="8" hidden="1"/>
    <cellStyle name="Hyperlink" xfId="135" builtinId="8" hidden="1"/>
    <cellStyle name="Hyperlink" xfId="107" builtinId="8" hidden="1"/>
    <cellStyle name="Hyperlink" xfId="91" builtinId="8" hidden="1"/>
    <cellStyle name="Hyperlink" xfId="195" builtinId="8" hidden="1"/>
    <cellStyle name="Hyperlink" xfId="33" builtinId="8" hidden="1"/>
    <cellStyle name="Hyperlink" xfId="59" builtinId="8" hidden="1"/>
    <cellStyle name="Hyperlink" xfId="85" builtinId="8" hidden="1"/>
    <cellStyle name="Hyperlink" xfId="303" builtinId="8" hidden="1"/>
    <cellStyle name="Hyperlink" xfId="399" builtinId="8" hidden="1"/>
    <cellStyle name="Hyperlink" xfId="407" builtinId="8" hidden="1"/>
    <cellStyle name="Hyperlink" xfId="269" builtinId="8" hidden="1"/>
    <cellStyle name="Hyperlink" xfId="229" builtinId="8" hidden="1"/>
    <cellStyle name="Hyperlink" xfId="191" builtinId="8" hidden="1"/>
    <cellStyle name="Hyperlink" xfId="207" builtinId="8" hidden="1"/>
    <cellStyle name="Hyperlink" xfId="233" builtinId="8" hidden="1"/>
    <cellStyle name="Hyperlink" xfId="289" builtinId="8" hidden="1"/>
    <cellStyle name="Hyperlink" xfId="481" builtinId="8" hidden="1"/>
    <cellStyle name="Hyperlink" xfId="449" builtinId="8" hidden="1"/>
    <cellStyle name="Hyperlink" xfId="297" builtinId="8" hidden="1"/>
    <cellStyle name="Hyperlink" xfId="305" builtinId="8" hidden="1"/>
    <cellStyle name="Hyperlink" xfId="309" builtinId="8" hidden="1"/>
    <cellStyle name="Hyperlink" xfId="311" builtinId="8" hidden="1"/>
    <cellStyle name="Hyperlink" xfId="319" builtinId="8" hidden="1"/>
    <cellStyle name="Hyperlink" xfId="329" builtinId="8" hidden="1"/>
    <cellStyle name="Hyperlink" xfId="333" builtinId="8" hidden="1"/>
    <cellStyle name="Hyperlink" xfId="335" builtinId="8" hidden="1"/>
    <cellStyle name="Hyperlink" xfId="341" builtinId="8" hidden="1"/>
    <cellStyle name="Hyperlink" xfId="345" builtinId="8" hidden="1"/>
    <cellStyle name="Hyperlink" xfId="349" builtinId="8" hidden="1"/>
    <cellStyle name="Hyperlink" xfId="359" builtinId="8" hidden="1"/>
    <cellStyle name="Hyperlink" xfId="367" builtinId="8" hidden="1"/>
    <cellStyle name="Hyperlink" xfId="369" builtinId="8" hidden="1"/>
    <cellStyle name="Hyperlink" xfId="373" builtinId="8" hidden="1"/>
    <cellStyle name="Hyperlink" xfId="377" builtinId="8" hidden="1"/>
    <cellStyle name="Hyperlink" xfId="381" builtinId="8" hidden="1"/>
    <cellStyle name="Hyperlink" xfId="383" builtinId="8" hidden="1"/>
    <cellStyle name="Hyperlink" xfId="397" builtinId="8" hidden="1"/>
    <cellStyle name="Hyperlink" xfId="401" builtinId="8" hidden="1"/>
    <cellStyle name="Hyperlink" xfId="405" builtinId="8" hidden="1"/>
    <cellStyle name="Hyperlink" xfId="393" builtinId="8" hidden="1"/>
    <cellStyle name="Hyperlink" xfId="353" builtinId="8" hidden="1"/>
    <cellStyle name="Hyperlink" xfId="317" builtinId="8" hidden="1"/>
    <cellStyle name="Hyperlink" xfId="221" builtinId="8" hidden="1"/>
    <cellStyle name="Hyperlink" xfId="351" builtinId="8" hidden="1"/>
    <cellStyle name="Hyperlink" xfId="119" builtinId="8" hidden="1"/>
    <cellStyle name="Hyperlink" xfId="61" builtinId="8" hidden="1"/>
    <cellStyle name="Hyperlink" xfId="479" builtinId="8" hidden="1"/>
    <cellStyle name="Hyperlink" xfId="473" builtinId="8" hidden="1"/>
    <cellStyle name="Hyperlink" xfId="487" builtinId="8" hidden="1"/>
    <cellStyle name="Hyperlink" xfId="299" builtinId="8" hidden="1"/>
    <cellStyle name="Hyperlink" xfId="411" builtinId="8" hidden="1"/>
    <cellStyle name="Hyperlink" xfId="65" builtinId="8" hidden="1"/>
    <cellStyle name="Hyperlink" xfId="121" builtinId="8" hidden="1"/>
    <cellStyle name="Hyperlink" xfId="157" builtinId="8" hidden="1"/>
    <cellStyle name="Hyperlink" xfId="163" builtinId="8" hidden="1"/>
    <cellStyle name="Hyperlink" xfId="1" builtinId="8" hidden="1"/>
    <cellStyle name="Hyperlink" xfId="13" builtinId="8" hidden="1"/>
    <cellStyle name="Hyperlink" xfId="23" builtinId="8" hidden="1"/>
    <cellStyle name="Hyperlink" xfId="75" builtinId="8" hidden="1"/>
    <cellStyle name="Hyperlink" xfId="219" builtinId="8" hidden="1"/>
    <cellStyle name="Hyperlink" xfId="81" builtinId="8" hidden="1"/>
    <cellStyle name="Hyperlink" xfId="87" builtinId="8" hidden="1"/>
    <cellStyle name="Hyperlink" xfId="89" builtinId="8" hidden="1"/>
    <cellStyle name="Hyperlink" xfId="95" builtinId="8" hidden="1"/>
    <cellStyle name="Hyperlink" xfId="97" builtinId="8" hidden="1"/>
    <cellStyle name="Hyperlink" xfId="105" builtinId="8" hidden="1"/>
    <cellStyle name="Hyperlink" xfId="109" builtinId="8" hidden="1"/>
    <cellStyle name="Hyperlink" xfId="113" builtinId="8" hidden="1"/>
    <cellStyle name="Hyperlink" xfId="117" builtinId="8" hidden="1"/>
    <cellStyle name="Hyperlink" xfId="123" builtinId="8" hidden="1"/>
    <cellStyle name="Hyperlink" xfId="133" builtinId="8" hidden="1"/>
    <cellStyle name="Hyperlink" xfId="137" builtinId="8" hidden="1"/>
    <cellStyle name="Hyperlink" xfId="141" builtinId="8" hidden="1"/>
    <cellStyle name="Hyperlink" xfId="143" builtinId="8" hidden="1"/>
    <cellStyle name="Hyperlink" xfId="153" builtinId="8" hidden="1"/>
    <cellStyle name="Hyperlink" xfId="155" builtinId="8" hidden="1"/>
    <cellStyle name="Hyperlink" xfId="159" builtinId="8" hidden="1"/>
    <cellStyle name="Hyperlink" xfId="165" builtinId="8" hidden="1"/>
    <cellStyle name="Hyperlink" xfId="169" builtinId="8" hidden="1"/>
    <cellStyle name="Hyperlink" xfId="171" builtinId="8" hidden="1"/>
    <cellStyle name="Hyperlink" xfId="181" builtinId="8" hidden="1"/>
    <cellStyle name="Hyperlink" xfId="183" builtinId="8" hidden="1"/>
    <cellStyle name="Hyperlink" xfId="187" builtinId="8" hidden="1"/>
    <cellStyle name="Hyperlink" xfId="179" builtinId="8" hidden="1"/>
    <cellStyle name="Hyperlink" xfId="147" builtinId="8" hidden="1"/>
    <cellStyle name="Hyperlink" xfId="39" builtinId="8" hidden="1"/>
    <cellStyle name="Hyperlink" xfId="41" builtinId="8" hidden="1"/>
    <cellStyle name="Hyperlink" xfId="45" builtinId="8" hidden="1"/>
    <cellStyle name="Hyperlink" xfId="49" builtinId="8" hidden="1"/>
    <cellStyle name="Hyperlink" xfId="55" builtinId="8" hidden="1"/>
    <cellStyle name="Hyperlink" xfId="115" builtinId="8" hidden="1"/>
    <cellStyle name="Hyperlink" xfId="127" builtinId="8" hidden="1"/>
    <cellStyle name="Hyperlink" xfId="29" builtinId="8" hidden="1"/>
    <cellStyle name="Hyperlink" xfId="217" builtinId="8" hidden="1"/>
    <cellStyle name="Hyperlink" xfId="293" builtinId="8" hidden="1"/>
    <cellStyle name="Hyperlink" xfId="281" builtinId="8" hidden="1"/>
    <cellStyle name="Hyperlink" xfId="257" builtinId="8" hidden="1"/>
    <cellStyle name="Hyperlink" xfId="247" builtinId="8" hidden="1"/>
    <cellStyle name="Hyperlink" xfId="321" builtinId="8" hidden="1"/>
    <cellStyle name="Hyperlink" xfId="437" builtinId="8" hidden="1"/>
    <cellStyle name="Hyperlink" xfId="423" builtinId="8" hidden="1"/>
    <cellStyle name="Hyperlink" xfId="413" builtinId="8" hidden="1"/>
    <cellStyle name="Hyperlink" xfId="389" builtinId="8" hidden="1"/>
    <cellStyle name="Hyperlink" xfId="375" builtinId="8" hidden="1"/>
    <cellStyle name="Hyperlink" xfId="361" builtinId="8" hidden="1"/>
    <cellStyle name="Hyperlink" xfId="337" builtinId="8" hidden="1"/>
    <cellStyle name="Hyperlink" xfId="327" builtinId="8" hidden="1"/>
    <cellStyle name="Hyperlink" xfId="313" builtinId="8" hidden="1"/>
    <cellStyle name="Hyperlink" xfId="471" builtinId="8" hidden="1"/>
    <cellStyle name="Hyperlink" xfId="435" builtinId="8" hidden="1"/>
    <cellStyle name="Hyperlink" xfId="307" builtinId="8" hidden="1"/>
    <cellStyle name="Hyperlink" xfId="237" builtinId="8" hidden="1"/>
    <cellStyle name="Hyperlink" xfId="201" builtinId="8" hidden="1"/>
    <cellStyle name="Hyperlink" xfId="205" builtinId="8" hidden="1"/>
    <cellStyle name="Hyperlink" xfId="213" builtinId="8" hidden="1"/>
    <cellStyle name="Hyperlink" xfId="197" builtinId="8" hidden="1"/>
    <cellStyle name="Hyperlink" xfId="199" builtinId="8" hidden="1"/>
    <cellStyle name="Hyperlink" xfId="193" builtinId="8" hidden="1"/>
    <cellStyle name="Hyperlink" xfId="209" builtinId="8" hidden="1"/>
    <cellStyle name="Hyperlink" xfId="239" builtinId="8" hidden="1"/>
    <cellStyle name="Hyperlink" xfId="215" builtinId="8" hidden="1"/>
    <cellStyle name="Hyperlink" xfId="223" builtinId="8" hidden="1"/>
    <cellStyle name="Hyperlink" xfId="225" builtinId="8" hidden="1"/>
    <cellStyle name="Hyperlink" xfId="231" builtinId="8" hidden="1"/>
    <cellStyle name="Hyperlink" xfId="295" builtinId="8" hidden="1"/>
    <cellStyle name="Hyperlink" xfId="279" builtinId="8" hidden="1"/>
    <cellStyle name="Hyperlink" xfId="287" builtinId="8" hidden="1"/>
    <cellStyle name="Hyperlink" xfId="285" builtinId="8" hidden="1"/>
    <cellStyle name="Hyperlink" xfId="1040" builtinId="8"/>
    <cellStyle name="Input" xfId="504" builtinId="20" customBuiltin="1"/>
    <cellStyle name="Linked Cell" xfId="507" builtinId="24" customBuiltin="1"/>
    <cellStyle name="Neutral" xfId="503" builtinId="28" customBuiltin="1"/>
    <cellStyle name="Normal" xfId="0" builtinId="0"/>
    <cellStyle name="Normal 2" xfId="537"/>
    <cellStyle name="Note" xfId="510" builtinId="10" customBuiltin="1"/>
    <cellStyle name="Output" xfId="505" builtinId="21" customBuiltin="1"/>
    <cellStyle name="Percent" xfId="495" builtinId="5"/>
    <cellStyle name="Title" xfId="496" builtinId="15" customBuiltin="1"/>
    <cellStyle name="Total" xfId="512" builtinId="25" customBuiltin="1"/>
    <cellStyle name="Warning Text" xfId="509" builtinId="11" customBuiltin="1"/>
  </cellStyles>
  <dxfs count="0"/>
  <tableStyles count="0" defaultTableStyle="TableStyleMedium2" defaultPivotStyle="PivotStyleMedium9"/>
  <colors>
    <mruColors>
      <color rgb="FFA6A6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39</xdr:col>
          <xdr:colOff>676275</xdr:colOff>
          <xdr:row>278</xdr:row>
          <xdr:rowOff>123825</xdr:rowOff>
        </xdr:from>
        <xdr:to>
          <xdr:col>40</xdr:col>
          <xdr:colOff>552450</xdr:colOff>
          <xdr:row>280</xdr:row>
          <xdr:rowOff>180975</xdr:rowOff>
        </xdr:to>
        <xdr:pic>
          <xdr:nvPicPr>
            <xdr:cNvPr id="2" name="Picture 1"/>
            <xdr:cNvPicPr>
              <a:picLocks noChangeAspect="1" noChangeArrowheads="1"/>
              <a:extLst>
                <a:ext uri="{84589F7E-364E-4C9E-8A38-B11213B215E9}">
                  <a14:cameraTool cellRange="$AL$207" spid="_x0000_s2246"/>
                </a:ext>
              </a:extLst>
            </xdr:cNvPicPr>
          </xdr:nvPicPr>
          <xdr:blipFill>
            <a:blip xmlns:r="http://schemas.openxmlformats.org/officeDocument/2006/relationships" r:embed="rId1"/>
            <a:srcRect/>
            <a:stretch>
              <a:fillRect/>
            </a:stretch>
          </xdr:blipFill>
          <xdr:spPr bwMode="auto">
            <a:xfrm>
              <a:off x="28679775" y="52130325"/>
              <a:ext cx="590550" cy="438150"/>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2.vml"/><Relationship Id="rId5" Type="http://schemas.openxmlformats.org/officeDocument/2006/relationships/comments" Target="../comments2.xml"/><Relationship Id="rId1" Type="http://schemas.openxmlformats.org/officeDocument/2006/relationships/hyperlink" Target="http://seekingalpha.com/article/3969373-amazon-com-amzn-q1-2016-results-earnings-call-transcript?part=single" TargetMode="External"/><Relationship Id="rId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D1:AF57"/>
  <sheetViews>
    <sheetView showGridLines="0" tabSelected="1" zoomScale="119" zoomScaleNormal="119" zoomScalePageLayoutView="119" workbookViewId="0">
      <pane xSplit="7" ySplit="1" topLeftCell="H2" activePane="bottomRight" state="frozen"/>
      <selection pane="topRight" activeCell="F1" sqref="F1"/>
      <selection pane="bottomLeft" activeCell="A2" sqref="A2"/>
      <selection pane="bottomRight" activeCell="G17" sqref="G17"/>
    </sheetView>
  </sheetViews>
  <sheetFormatPr baseColWidth="10" defaultColWidth="8.83203125" defaultRowHeight="15" outlineLevelCol="1" x14ac:dyDescent="0.2"/>
  <cols>
    <col min="1" max="2" width="2.33203125" customWidth="1"/>
    <col min="3" max="4" width="2.83203125" customWidth="1"/>
    <col min="5" max="5" width="2.5" customWidth="1"/>
    <col min="6" max="6" width="41.5" customWidth="1"/>
    <col min="7" max="7" width="9.1640625" customWidth="1" outlineLevel="1"/>
    <col min="8" max="8" width="2.33203125" customWidth="1"/>
    <col min="9" max="9" width="10.5" customWidth="1"/>
    <col min="10" max="12" width="10.33203125" customWidth="1"/>
    <col min="13" max="13" width="11.1640625" customWidth="1"/>
    <col min="14" max="14" width="10.33203125" customWidth="1"/>
    <col min="15" max="15" width="10.5" customWidth="1"/>
    <col min="16" max="16" width="11.83203125" customWidth="1"/>
    <col min="17" max="17" width="11" customWidth="1"/>
    <col min="18" max="18" width="11.6640625" customWidth="1"/>
    <col min="19" max="19" width="11" customWidth="1"/>
    <col min="20" max="30" width="9.1640625" hidden="1" customWidth="1" outlineLevel="1"/>
    <col min="31" max="31" width="8.83203125" collapsed="1"/>
  </cols>
  <sheetData>
    <row r="1" spans="4:32" s="141" customFormat="1" ht="30.75" customHeight="1" x14ac:dyDescent="0.2">
      <c r="E1" s="141" t="str">
        <f ca="1">"Amazon as of "&amp;TEXT(TODAY(),"m/d/yy")</f>
        <v>Amazon as of 5/17/16</v>
      </c>
      <c r="F1" s="144"/>
      <c r="G1" s="144" t="s">
        <v>0</v>
      </c>
      <c r="H1" s="144"/>
      <c r="I1" s="58">
        <f>Model!I3</f>
        <v>40543</v>
      </c>
      <c r="J1" s="58">
        <f>Model!J3</f>
        <v>40908</v>
      </c>
      <c r="K1" s="58">
        <f>Model!K3</f>
        <v>41274</v>
      </c>
      <c r="L1" s="58">
        <f>Model!L3</f>
        <v>41639</v>
      </c>
      <c r="M1" s="58">
        <f>Model!M3</f>
        <v>42004</v>
      </c>
      <c r="N1" s="58">
        <f>Model!N3</f>
        <v>42369</v>
      </c>
      <c r="O1" s="60">
        <f>Model!O3</f>
        <v>42735</v>
      </c>
      <c r="P1" s="60">
        <f>Model!P3</f>
        <v>43100</v>
      </c>
      <c r="Q1" s="60">
        <f>Model!Q3</f>
        <v>43465</v>
      </c>
      <c r="R1" s="60">
        <f>Model!R3</f>
        <v>43830</v>
      </c>
      <c r="S1" s="60">
        <f>Model!S3</f>
        <v>44196</v>
      </c>
      <c r="T1" s="140"/>
      <c r="U1" s="140"/>
      <c r="V1" s="140"/>
      <c r="W1" s="140"/>
      <c r="X1" s="140"/>
      <c r="Y1" s="140"/>
      <c r="Z1" s="140"/>
      <c r="AA1" s="140"/>
      <c r="AB1" s="140"/>
      <c r="AC1" s="140"/>
      <c r="AD1" s="140"/>
    </row>
    <row r="2" spans="4:32" x14ac:dyDescent="0.2">
      <c r="F2" s="4"/>
      <c r="G2" s="1"/>
      <c r="H2" s="1"/>
      <c r="I2" s="1"/>
      <c r="J2" s="1"/>
      <c r="K2" s="1"/>
      <c r="L2" s="1"/>
      <c r="M2" s="1"/>
      <c r="N2" s="1"/>
      <c r="O2" s="1"/>
      <c r="T2" s="13" t="s">
        <v>1</v>
      </c>
      <c r="U2" s="13" t="s">
        <v>2</v>
      </c>
      <c r="V2" s="13" t="s">
        <v>3</v>
      </c>
      <c r="W2" s="1"/>
      <c r="X2" s="1"/>
      <c r="Y2" s="1"/>
      <c r="Z2" s="1"/>
      <c r="AA2" s="1"/>
      <c r="AB2" s="1"/>
      <c r="AC2" s="1"/>
      <c r="AD2" s="1"/>
    </row>
    <row r="3" spans="4:32" x14ac:dyDescent="0.2">
      <c r="F3" s="12" t="s">
        <v>4</v>
      </c>
      <c r="G3" s="1"/>
      <c r="H3" s="1"/>
      <c r="I3" s="1"/>
      <c r="J3" s="1"/>
      <c r="K3" s="1"/>
      <c r="L3" s="1"/>
      <c r="M3" s="43"/>
      <c r="N3" s="142"/>
      <c r="O3" s="1"/>
      <c r="T3" s="14"/>
      <c r="U3" s="14"/>
      <c r="V3" s="14"/>
      <c r="W3" s="1"/>
      <c r="X3" s="1"/>
      <c r="Y3" s="1"/>
      <c r="Z3" s="1"/>
      <c r="AA3" s="1"/>
      <c r="AB3" s="1"/>
      <c r="AC3" s="1"/>
      <c r="AD3" s="1"/>
    </row>
    <row r="4" spans="4:32" x14ac:dyDescent="0.2">
      <c r="F4" t="s">
        <v>5</v>
      </c>
      <c r="G4" s="1"/>
      <c r="H4" s="1"/>
      <c r="I4" s="1"/>
      <c r="J4" s="1"/>
      <c r="K4" s="1"/>
      <c r="L4" s="1"/>
      <c r="M4" s="1"/>
      <c r="N4" s="19"/>
      <c r="O4" s="1"/>
      <c r="T4" s="1"/>
      <c r="U4" s="1"/>
      <c r="V4" s="1"/>
      <c r="W4" s="1"/>
      <c r="X4" s="1"/>
      <c r="Y4" s="1"/>
      <c r="Z4" s="1"/>
      <c r="AA4" s="1"/>
      <c r="AB4" s="1"/>
      <c r="AC4" s="1"/>
      <c r="AD4" s="1"/>
    </row>
    <row r="5" spans="4:32" x14ac:dyDescent="0.2">
      <c r="F5" t="s">
        <v>6</v>
      </c>
      <c r="G5" s="11"/>
      <c r="H5" s="11"/>
      <c r="I5" s="357">
        <v>180</v>
      </c>
      <c r="J5" s="357">
        <v>173.1</v>
      </c>
      <c r="K5" s="357">
        <v>250.87</v>
      </c>
      <c r="L5" s="357">
        <v>398.79</v>
      </c>
      <c r="M5" s="357">
        <v>310.35000000000002</v>
      </c>
      <c r="N5" s="357">
        <v>675.89</v>
      </c>
      <c r="O5" s="361">
        <v>659.59</v>
      </c>
      <c r="P5" s="359">
        <f>O5</f>
        <v>659.59</v>
      </c>
      <c r="Q5" s="359">
        <f t="shared" ref="Q5:S5" si="0">P5</f>
        <v>659.59</v>
      </c>
      <c r="R5" s="359">
        <f t="shared" si="0"/>
        <v>659.59</v>
      </c>
      <c r="S5" s="359">
        <f t="shared" si="0"/>
        <v>659.59</v>
      </c>
      <c r="X5" s="8"/>
      <c r="AF5" s="356"/>
    </row>
    <row r="6" spans="4:32" x14ac:dyDescent="0.2">
      <c r="F6" t="s">
        <v>7</v>
      </c>
      <c r="G6" s="11"/>
      <c r="H6" s="11"/>
      <c r="I6" s="357"/>
      <c r="J6" s="357"/>
      <c r="K6" s="357"/>
      <c r="L6" s="357"/>
      <c r="M6" s="357"/>
      <c r="N6" s="357"/>
      <c r="O6" s="358"/>
      <c r="P6" s="359"/>
      <c r="Q6" s="360">
        <f>1.1/Q19*$O5</f>
        <v>917.00505082846485</v>
      </c>
      <c r="R6" s="360">
        <f t="shared" ref="R6:S6" si="1">1.1/R19*$O5</f>
        <v>1157.0387681891968</v>
      </c>
      <c r="S6" s="360">
        <f t="shared" si="1"/>
        <v>1443.4654977555958</v>
      </c>
      <c r="X6" s="8"/>
      <c r="AF6" s="356"/>
    </row>
    <row r="7" spans="4:32" x14ac:dyDescent="0.2">
      <c r="F7" t="s">
        <v>8</v>
      </c>
      <c r="G7" s="11"/>
      <c r="H7" s="11"/>
      <c r="I7" s="357"/>
      <c r="J7" s="357"/>
      <c r="K7" s="357"/>
      <c r="L7" s="357"/>
      <c r="M7" s="357"/>
      <c r="N7" s="357"/>
      <c r="O7" s="358"/>
      <c r="P7" s="359"/>
      <c r="Q7" s="180">
        <f ca="1">(Q6/$O5)^(1/(YEARFRAC(TODAY(),Q1)-1))-1</f>
        <v>0.22521100604096334</v>
      </c>
      <c r="R7" s="180">
        <f t="shared" ref="R7:S7" ca="1" si="2">(R6/$O5)^(1/(YEARFRAC(TODAY(),R1)-1))-1</f>
        <v>0.23902197753538545</v>
      </c>
      <c r="S7" s="180">
        <f t="shared" ca="1" si="2"/>
        <v>0.24137092033467655</v>
      </c>
      <c r="X7" s="8"/>
      <c r="AF7" s="356"/>
    </row>
    <row r="9" spans="4:32" x14ac:dyDescent="0.2">
      <c r="F9" t="s">
        <v>9</v>
      </c>
      <c r="G9" s="7"/>
      <c r="H9" s="7"/>
      <c r="I9" s="143">
        <f>Model!I175</f>
        <v>456</v>
      </c>
      <c r="J9" s="143">
        <f>Model!J175</f>
        <v>461</v>
      </c>
      <c r="K9" s="143">
        <f>Model!K175</f>
        <v>453</v>
      </c>
      <c r="L9" s="143">
        <f>Model!L175</f>
        <v>465</v>
      </c>
      <c r="M9" s="143">
        <f>Model!M175</f>
        <v>462</v>
      </c>
      <c r="N9" s="143">
        <f>Model!N175</f>
        <v>477</v>
      </c>
      <c r="O9" s="143">
        <f>Model!O175</f>
        <v>490.71466048950941</v>
      </c>
      <c r="P9" s="143">
        <f>Model!P175</f>
        <v>504.14567754470863</v>
      </c>
      <c r="Q9" s="143">
        <f>Model!Q175</f>
        <v>517.96286197714232</v>
      </c>
      <c r="R9" s="143">
        <f>Model!R175</f>
        <v>532.17731683601585</v>
      </c>
      <c r="S9" s="143">
        <f>Model!S175</f>
        <v>546.8004644043923</v>
      </c>
      <c r="X9" s="7"/>
    </row>
    <row r="10" spans="4:32" x14ac:dyDescent="0.2">
      <c r="F10" t="s">
        <v>10</v>
      </c>
      <c r="G10" s="7"/>
      <c r="H10" s="7"/>
      <c r="I10" s="143">
        <f>((I9*I5))</f>
        <v>82080</v>
      </c>
      <c r="J10" s="143">
        <f t="shared" ref="J10:N10" si="3">((J9*J5))</f>
        <v>79799.099999999991</v>
      </c>
      <c r="K10" s="143">
        <f t="shared" si="3"/>
        <v>113644.11</v>
      </c>
      <c r="L10" s="143">
        <f t="shared" si="3"/>
        <v>185437.35</v>
      </c>
      <c r="M10" s="143">
        <f t="shared" si="3"/>
        <v>143381.70000000001</v>
      </c>
      <c r="N10" s="143">
        <f t="shared" si="3"/>
        <v>322399.52999999997</v>
      </c>
      <c r="O10" s="143">
        <f t="shared" ref="O10" si="4">((O9*O5))</f>
        <v>323670.48291227553</v>
      </c>
      <c r="P10" s="143">
        <f t="shared" ref="P10" si="5">((P9*P5))</f>
        <v>332529.44745171437</v>
      </c>
      <c r="Q10" s="143">
        <f t="shared" ref="Q10" si="6">((Q9*Q5))</f>
        <v>341643.12413150334</v>
      </c>
      <c r="R10" s="143">
        <f t="shared" ref="R10" si="7">((R9*R5))</f>
        <v>351018.8364118677</v>
      </c>
      <c r="S10" s="143">
        <f t="shared" ref="S10" si="8">((S9*S5))</f>
        <v>360664.11831649311</v>
      </c>
      <c r="X10" s="7"/>
    </row>
    <row r="11" spans="4:32" x14ac:dyDescent="0.2">
      <c r="J11" s="7"/>
      <c r="K11" s="7"/>
      <c r="L11" s="7"/>
      <c r="M11" s="7"/>
      <c r="N11" s="7"/>
      <c r="O11" s="7"/>
      <c r="P11" s="7"/>
      <c r="Q11" s="7"/>
      <c r="R11" s="7"/>
      <c r="X11" s="7"/>
    </row>
    <row r="12" spans="4:32" x14ac:dyDescent="0.2">
      <c r="F12" t="s">
        <v>11</v>
      </c>
      <c r="G12" s="5"/>
      <c r="H12" s="5"/>
      <c r="I12" s="5">
        <f>SUM(-Model!I277,Model!I323)</f>
        <v>-3595</v>
      </c>
      <c r="J12" s="5">
        <f>SUM(-Model!J277,Model!J323)</f>
        <v>-5014</v>
      </c>
      <c r="K12" s="5">
        <f>SUM(-Model!K277,Model!K323)</f>
        <v>-5000</v>
      </c>
      <c r="L12" s="5">
        <f>SUM(-Model!L277,Model!L323)</f>
        <v>-5467</v>
      </c>
      <c r="M12" s="5">
        <f>SUM(-Model!M277,Model!M323)</f>
        <v>-6292</v>
      </c>
      <c r="N12" s="5">
        <f>SUM(-Model!N277,Model!N323)</f>
        <v>-7655</v>
      </c>
      <c r="O12" s="5">
        <f>SUM(-Model!O277,Model!O323)</f>
        <v>-12367.590062485198</v>
      </c>
      <c r="P12" s="5">
        <f>SUM(-Model!P277,Model!P323)</f>
        <v>-21599.131284167939</v>
      </c>
      <c r="Q12" s="5">
        <f>SUM(-Model!Q277,Model!Q323)</f>
        <v>-33797.80387300445</v>
      </c>
      <c r="R12" s="5">
        <f>SUM(-Model!R277,Model!R323)</f>
        <v>-49702.628368440426</v>
      </c>
      <c r="S12" s="5">
        <f>SUM(-Model!S277,Model!S323)</f>
        <v>-70127.078660801795</v>
      </c>
      <c r="X12" s="5"/>
    </row>
    <row r="13" spans="4:32" x14ac:dyDescent="0.2">
      <c r="F13" t="s">
        <v>12</v>
      </c>
      <c r="G13" s="5"/>
      <c r="H13" s="5"/>
      <c r="I13" s="5">
        <f t="shared" ref="I13:J13" si="9">SUM(I12,I10)</f>
        <v>78485</v>
      </c>
      <c r="J13" s="5">
        <f t="shared" si="9"/>
        <v>74785.099999999991</v>
      </c>
      <c r="K13" s="5">
        <f t="shared" ref="K13:N13" si="10">SUM(K12,K10)</f>
        <v>108644.11</v>
      </c>
      <c r="L13" s="5">
        <f t="shared" si="10"/>
        <v>179970.35</v>
      </c>
      <c r="M13" s="5">
        <f t="shared" si="10"/>
        <v>137089.70000000001</v>
      </c>
      <c r="N13" s="5">
        <f t="shared" si="10"/>
        <v>314744.52999999997</v>
      </c>
      <c r="O13" s="5">
        <f t="shared" ref="O13:S13" si="11">SUM(O12,O10)</f>
        <v>311302.89284979034</v>
      </c>
      <c r="P13" s="5">
        <f t="shared" si="11"/>
        <v>310930.31616754644</v>
      </c>
      <c r="Q13" s="5">
        <f t="shared" si="11"/>
        <v>307845.32025849889</v>
      </c>
      <c r="R13" s="5">
        <f t="shared" si="11"/>
        <v>301316.20804342726</v>
      </c>
      <c r="S13" s="5">
        <f t="shared" si="11"/>
        <v>290537.0396556913</v>
      </c>
      <c r="X13" s="5"/>
    </row>
    <row r="14" spans="4:32" x14ac:dyDescent="0.2">
      <c r="I14" s="154"/>
      <c r="J14" s="154"/>
      <c r="K14" s="154"/>
      <c r="L14" s="154"/>
      <c r="M14" s="154"/>
      <c r="N14" s="154"/>
    </row>
    <row r="15" spans="4:32" x14ac:dyDescent="0.2">
      <c r="I15" s="154"/>
      <c r="J15" s="155"/>
      <c r="K15" s="155"/>
      <c r="L15" s="155"/>
      <c r="M15" s="155"/>
      <c r="N15" s="154"/>
    </row>
    <row r="16" spans="4:32" x14ac:dyDescent="0.2">
      <c r="D16" s="15" t="s">
        <v>13</v>
      </c>
      <c r="F16" s="15"/>
      <c r="I16" s="154"/>
      <c r="J16" s="155"/>
      <c r="K16" s="155"/>
      <c r="L16" s="155"/>
      <c r="M16" s="155"/>
      <c r="N16" s="154"/>
    </row>
    <row r="17" spans="5:30" x14ac:dyDescent="0.2">
      <c r="F17" s="6" t="s">
        <v>14</v>
      </c>
      <c r="G17" s="332" t="s">
        <v>322</v>
      </c>
      <c r="I17" s="156" t="str">
        <f>IFERROR((I22)/(Model!I260*100),"NA ")</f>
        <v xml:space="preserve">NA </v>
      </c>
      <c r="J17" s="156">
        <f>IFERROR((J22)/(Model!K260*100),"NA")</f>
        <v>1.1683616398243044</v>
      </c>
      <c r="K17" s="156">
        <f>IFERROR((K22)/(Model!L260*100),"NA")</f>
        <v>-1.1837928125000001</v>
      </c>
      <c r="L17" s="156" t="str">
        <f>IFERROR((L22)/(Model!M260*100),"NA")</f>
        <v>NA</v>
      </c>
      <c r="M17" s="156" t="str">
        <f>IFERROR((M22)/(Model!N260*100),"NA")</f>
        <v>NA</v>
      </c>
      <c r="N17" s="156" t="str">
        <f>IFERROR((N22)/(Model!O260*100),"NA")</f>
        <v>NA</v>
      </c>
      <c r="O17" s="156" t="str">
        <f>IFERROR((O22)/(Model!P260*100),"NA")</f>
        <v>NA</v>
      </c>
      <c r="P17" s="156" t="str">
        <f>IFERROR((P22)/(Model!Q260*100),"NA")</f>
        <v>NA</v>
      </c>
      <c r="Q17" s="156" t="str">
        <f>IFERROR((Q22)/(Model!R260*100),"NA")</f>
        <v>NA</v>
      </c>
      <c r="R17" s="156" t="str">
        <f>IFERROR((R22)/(Model!S260*100),"NA")</f>
        <v>NA</v>
      </c>
      <c r="S17" s="156" t="str">
        <f>IFERROR((S22)/(Model!AO260*100),"NA")</f>
        <v>NA</v>
      </c>
      <c r="T17" s="9"/>
      <c r="U17" s="9"/>
      <c r="V17" s="9"/>
      <c r="W17" s="9"/>
      <c r="X17" s="9"/>
      <c r="Y17" s="9"/>
      <c r="Z17" s="9"/>
      <c r="AA17" s="9"/>
      <c r="AB17" s="9"/>
      <c r="AC17" s="9"/>
      <c r="AD17" s="9"/>
    </row>
    <row r="18" spans="5:30" x14ac:dyDescent="0.2">
      <c r="F18" s="6" t="s">
        <v>15</v>
      </c>
      <c r="G18" t="s">
        <v>16</v>
      </c>
      <c r="I18" s="156" t="str">
        <f>IFERROR(I23/(Model!I267*100),"NA ")</f>
        <v xml:space="preserve">NA </v>
      </c>
      <c r="J18" s="156">
        <f>IFERROR(J23/(Model!J267*100),"NA")</f>
        <v>4.6959964197530857</v>
      </c>
      <c r="K18" s="156">
        <f>IFERROR(K23/(Model!K267*100),"NA")</f>
        <v>1.9970861942438762E-2</v>
      </c>
      <c r="L18" s="156">
        <f>IFERROR(L23/(Model!L267*100),"NA")</f>
        <v>-12.229894765372007</v>
      </c>
      <c r="M18" s="156">
        <f>IFERROR(M23/(Model!M267*100),"NA")</f>
        <v>7.0346883578629596E-3</v>
      </c>
      <c r="N18" s="156">
        <f>IFERROR(N23/(Model!N267*100),"NA")</f>
        <v>2.0306815679176156</v>
      </c>
      <c r="O18" s="156">
        <f>IFERROR(O23/(Model!O267*100),"NA")</f>
        <v>2.2005555044268563</v>
      </c>
      <c r="P18" s="156">
        <f>IFERROR(P23/(Model!P267*100),"NA")</f>
        <v>696.0874869696687</v>
      </c>
      <c r="Q18" s="156">
        <f>IFERROR(Q23/(Model!Q267*100),"NA")</f>
        <v>-80.132776500840009</v>
      </c>
      <c r="R18" s="156">
        <f>IFERROR(R23/(Model!R267*100),"NA")</f>
        <v>-39.108036388637942</v>
      </c>
      <c r="S18" s="156">
        <f>IFERROR(S23/(Model!S267*100),"NA")</f>
        <v>-31.883581257287378</v>
      </c>
    </row>
    <row r="19" spans="5:30" x14ac:dyDescent="0.2">
      <c r="F19" s="6" t="s">
        <v>17</v>
      </c>
      <c r="G19" t="s">
        <v>20</v>
      </c>
      <c r="I19" s="156" t="str">
        <f>IFERROR(I24/(Model!I253*100),"NA ")</f>
        <v xml:space="preserve">NA </v>
      </c>
      <c r="J19" s="156">
        <f>IFERROR(J24/(Model!J253*100),"NA ")</f>
        <v>-1.6096678893248906</v>
      </c>
      <c r="K19" s="156">
        <f>IFERROR(K24/(Model!K253*100),"NA ")</f>
        <v>9.1701106423080265</v>
      </c>
      <c r="L19" s="156">
        <f>IFERROR(L24/(Model!L253*100),"NA ")</f>
        <v>-0.11724370195473575</v>
      </c>
      <c r="M19" s="156">
        <f>IFERROR(M24/(Model!M253*100),"NA ")</f>
        <v>-4.4902370201446313</v>
      </c>
      <c r="N19" s="156">
        <f>IFERROR(N24/(Model!N253*100),"NA ")</f>
        <v>8.3117721137758269E-2</v>
      </c>
      <c r="O19" s="156">
        <f>IFERROR(O24/(Model!O253*100),"NA ")</f>
        <v>-6.9538504269179251</v>
      </c>
      <c r="P19" s="156">
        <f>IFERROR(P24/(Model!P253*100),"NA ")</f>
        <v>0.26223082387732616</v>
      </c>
      <c r="Q19" s="156">
        <f>IFERROR(Q24/(Model!Q253*100),"NA ")</f>
        <v>0.79121592552244446</v>
      </c>
      <c r="R19" s="156">
        <f>IFERROR(R24/(Model!R253*100),"NA ")</f>
        <v>0.6270740617753956</v>
      </c>
      <c r="S19" s="156">
        <f>IFERROR(S24/(Model!S253*100),"NA ")</f>
        <v>0.50264381180439432</v>
      </c>
    </row>
    <row r="20" spans="5:30" x14ac:dyDescent="0.2">
      <c r="F20" s="6" t="s">
        <v>19</v>
      </c>
      <c r="G20" t="s">
        <v>18</v>
      </c>
      <c r="I20" s="156" t="str">
        <f>IFERROR(I25/(Model!I209*100),"NA ")</f>
        <v xml:space="preserve">NA </v>
      </c>
      <c r="J20" s="156">
        <f>IFERROR(J25/(Model!J209*100),"NA ")</f>
        <v>1.6413588623381681</v>
      </c>
      <c r="K20" s="156">
        <f>IFERROR(K25/(Model!K209*100),"NA ")</f>
        <v>3.6622558973451063</v>
      </c>
      <c r="L20" s="156">
        <f>IFERROR(L25/(Model!L209*100),"NA ")</f>
        <v>1.061019464395903</v>
      </c>
      <c r="M20" s="156">
        <f>IFERROR(M25/(Model!M209*100),"NA ")</f>
        <v>0.80248581633685168</v>
      </c>
      <c r="N20" s="156">
        <f>IFERROR(N25/(Model!N209*100),"NA ")</f>
        <v>0.35577244553092557</v>
      </c>
      <c r="O20" s="156">
        <f>IFERROR(O25/(Model!O209*100),"NA ")</f>
        <v>1.1771441061250594</v>
      </c>
      <c r="P20" s="156">
        <f>IFERROR(P25/(Model!P209*100),"NA ")</f>
        <v>0.2418243869754382</v>
      </c>
      <c r="Q20" s="156">
        <f>IFERROR(Q25/(Model!Q209*100),"NA ")</f>
        <v>0.41822939228779549</v>
      </c>
      <c r="R20" s="156">
        <f>IFERROR(R25/(Model!R209*100),"NA ")</f>
        <v>0.36208428546509652</v>
      </c>
      <c r="S20" s="156">
        <f>IFERROR(S25/(Model!S209*100),"NA ")</f>
        <v>0.31489963251011494</v>
      </c>
    </row>
    <row r="21" spans="5:30" x14ac:dyDescent="0.2">
      <c r="F21" s="6"/>
      <c r="I21" s="154"/>
      <c r="J21" s="154"/>
      <c r="K21" s="154"/>
      <c r="L21" s="154"/>
      <c r="M21" s="154"/>
      <c r="N21" s="154"/>
    </row>
    <row r="22" spans="5:30" x14ac:dyDescent="0.2">
      <c r="F22" t="s">
        <v>21</v>
      </c>
      <c r="G22" t="s">
        <v>22</v>
      </c>
      <c r="I22" s="10" t="str">
        <f>IFERROR(I10/Model!I259,"NA")</f>
        <v>NA</v>
      </c>
      <c r="J22" s="10">
        <f>IFERROR(J10/Model!J259,"NA")</f>
        <v>288.08339350180501</v>
      </c>
      <c r="K22" s="10">
        <f>IFERROR(K10/Model!K259,"NA")</f>
        <v>118.37928125000001</v>
      </c>
      <c r="L22" s="10" t="str">
        <f>IFERROR(L10/Model!L259,"NA")</f>
        <v>NA</v>
      </c>
      <c r="M22" s="10" t="str">
        <f>IFERROR(M10/Model!M259,"NA")</f>
        <v>NA</v>
      </c>
      <c r="N22" s="10" t="str">
        <f>IFERROR(N10/Model!N259,"NA")</f>
        <v>NA</v>
      </c>
      <c r="O22" s="10">
        <f>IFERROR(O10/Model!O259,"NA")</f>
        <v>1078.9016097075851</v>
      </c>
      <c r="P22" s="10">
        <f>IFERROR(P10/Model!P259,"NA")</f>
        <v>1108.4314915057146</v>
      </c>
      <c r="Q22" s="10">
        <f>IFERROR(Q10/Model!Q259,"NA")</f>
        <v>1138.8104137716778</v>
      </c>
      <c r="R22" s="10">
        <f>IFERROR(R10/Model!R259,"NA")</f>
        <v>1170.0627880395589</v>
      </c>
      <c r="S22" s="10">
        <f>IFERROR(S10/Model!S259,"NA")</f>
        <v>1202.2137277216436</v>
      </c>
    </row>
    <row r="23" spans="5:30" x14ac:dyDescent="0.2">
      <c r="F23" t="s">
        <v>23</v>
      </c>
      <c r="I23" s="10">
        <f>IFERROR(I10/Model!I266,"NA")</f>
        <v>-573.98601398601397</v>
      </c>
      <c r="J23" s="10">
        <f>IFERROR(J10/Model!J266,"NA")</f>
        <v>797.99099999999987</v>
      </c>
      <c r="K23" s="10">
        <f>IFERROR(K10/Model!K266,"NA")</f>
        <v>-48.649019691780822</v>
      </c>
      <c r="L23" s="10">
        <f>IFERROR(L10/Model!L266,"NA")</f>
        <v>-1137.65245398773</v>
      </c>
      <c r="M23" s="10">
        <f>IFERROR(M10/Model!M266,"NA")</f>
        <v>-24.526462538487856</v>
      </c>
      <c r="N23" s="10">
        <f>IFERROR(N10/Model!N266,"NA")</f>
        <v>248.19055427251729</v>
      </c>
      <c r="O23" s="10">
        <f>IFERROR(O10/Model!O266,"NA")</f>
        <v>-368.74987443624963</v>
      </c>
      <c r="P23" s="10">
        <f>IFERROR(P10/Model!P266,"NA")</f>
        <v>-376.80298317256501</v>
      </c>
      <c r="Q23" s="10">
        <f>IFERROR(Q10/Model!Q266,"NA")</f>
        <v>-407.89266357120226</v>
      </c>
      <c r="R23" s="10">
        <f>IFERROR(R10/Model!R266,"NA")</f>
        <v>-477.3519505243554</v>
      </c>
      <c r="S23" s="10">
        <f>IFERROR(S10/Model!S266,"NA")</f>
        <v>-605.43374168841513</v>
      </c>
    </row>
    <row r="24" spans="5:30" x14ac:dyDescent="0.2">
      <c r="F24" s="6" t="s">
        <v>24</v>
      </c>
      <c r="I24" s="10">
        <f>IFERROR(I13/Model!I252,"NA ")</f>
        <v>34.19825708061002</v>
      </c>
      <c r="J24" s="10">
        <f>IFERROR(J13/Model!J252,"NA ")</f>
        <v>45.379308252427165</v>
      </c>
      <c r="K24" s="10">
        <f>IFERROR(K13/Model!K252,"NA ")</f>
        <v>-978.77576576576575</v>
      </c>
      <c r="L24" s="10">
        <f>IFERROR(L13/Model!L252,"NA ")</f>
        <v>143.86119104716227</v>
      </c>
      <c r="M24" s="10">
        <f>IFERROR(M13/Model!M252,"NA ")</f>
        <v>259.14877126654068</v>
      </c>
      <c r="N24" s="10">
        <f>IFERROR(N13/Model!N252,"NA ")</f>
        <v>66.289917860151633</v>
      </c>
      <c r="O24" s="10">
        <f>IFERROR(O13/Model!O252,"NA ")</f>
        <v>73.289297759504578</v>
      </c>
      <c r="P24" s="10">
        <f>IFERROR(P13/Model!P252,"NA ")</f>
        <v>32.621200384700572</v>
      </c>
      <c r="Q24" s="10">
        <f>IFERROR(Q13/Model!Q252,"NA ")</f>
        <v>24.630241177247758</v>
      </c>
      <c r="R24" s="10">
        <f>IFERROR(R13/Model!R252,"NA ")</f>
        <v>18.594228411933237</v>
      </c>
      <c r="S24" s="10">
        <f>IFERROR(S13/Model!S252,"NA ")</f>
        <v>14.019046853212682</v>
      </c>
    </row>
    <row r="25" spans="5:30" x14ac:dyDescent="0.2">
      <c r="F25" s="6" t="s">
        <v>25</v>
      </c>
      <c r="G25" t="s">
        <v>26</v>
      </c>
      <c r="I25" s="10">
        <f>IFERROR(I13/Model!I207,"NA ")</f>
        <v>22.456366237482118</v>
      </c>
      <c r="J25" s="10">
        <f>IFERROR(J13/Model!J207,"NA ")</f>
        <v>19.160927491673068</v>
      </c>
      <c r="K25" s="10">
        <f>IFERROR(K13/Model!K207,"NA ")</f>
        <v>25.991413875598088</v>
      </c>
      <c r="L25" s="10">
        <f>IFERROR(L13/Model!L207,"NA ")</f>
        <v>32.871296803652967</v>
      </c>
      <c r="M25" s="10">
        <f>IFERROR(M13/Model!M207,"NA ")</f>
        <v>20.036495176848877</v>
      </c>
      <c r="N25" s="10">
        <f>IFERROR(N13/Model!N207,"NA ")</f>
        <v>26.404742449664425</v>
      </c>
      <c r="O25" s="10">
        <f>IFERROR(O13/Model!O207,"NA ")</f>
        <v>22.003179747086065</v>
      </c>
      <c r="P25" s="10">
        <f>IFERROR(P13/Model!P207,"NA ")</f>
        <v>13.940517218878746</v>
      </c>
      <c r="Q25" s="10">
        <f>IFERROR(Q13/Model!Q207,"NA ")</f>
        <v>10.940346833093949</v>
      </c>
      <c r="R25" s="10">
        <f>IFERROR(R13/Model!R207,"NA ")</f>
        <v>8.6445003575005863</v>
      </c>
      <c r="S25" s="10">
        <f>IFERROR(S13/Model!S207,"NA ")</f>
        <v>6.8466392080365539</v>
      </c>
    </row>
    <row r="26" spans="5:30" x14ac:dyDescent="0.2">
      <c r="F26" s="27"/>
    </row>
    <row r="27" spans="5:30" x14ac:dyDescent="0.2">
      <c r="F27" s="27"/>
      <c r="J27" s="19"/>
      <c r="K27" s="19"/>
      <c r="L27" s="19"/>
      <c r="M27" s="19"/>
      <c r="N27" s="19"/>
      <c r="O27" s="19"/>
      <c r="P27" s="19"/>
      <c r="Q27" s="19"/>
      <c r="R27" s="19"/>
    </row>
    <row r="28" spans="5:30" x14ac:dyDescent="0.2">
      <c r="E28" s="15" t="s">
        <v>27</v>
      </c>
      <c r="F28" s="15"/>
    </row>
    <row r="29" spans="5:30" x14ac:dyDescent="0.2">
      <c r="F29" t="str">
        <f>Model!E113</f>
        <v>Margin %</v>
      </c>
      <c r="I29" s="19">
        <f>Model!I113</f>
        <v>5.6601567068179162E-2</v>
      </c>
      <c r="J29" s="19">
        <f>Model!J113</f>
        <v>3.2739147617363809E-2</v>
      </c>
      <c r="K29" s="19">
        <f>Model!K113</f>
        <v>2.7302636963318219E-2</v>
      </c>
      <c r="L29" s="19">
        <f>Model!L113</f>
        <v>2.6768924944930963E-2</v>
      </c>
      <c r="M29" s="19">
        <f>Model!M113</f>
        <v>2.0317346159032679E-2</v>
      </c>
      <c r="N29" s="19">
        <f>Model!N113</f>
        <v>4.2268657832271087E-2</v>
      </c>
      <c r="O29" s="19">
        <f>Model!O113</f>
        <v>5.9388958835594211E-2</v>
      </c>
      <c r="P29" s="19">
        <f>Model!P113</f>
        <v>6.9219485818558468E-2</v>
      </c>
      <c r="Q29" s="19">
        <f>Model!Q113</f>
        <v>7.6091684786867203E-2</v>
      </c>
      <c r="R29" s="19">
        <f>Model!R113</f>
        <v>8.0639712754803111E-2</v>
      </c>
      <c r="S29" s="19">
        <f>Model!S113</f>
        <v>8.4453988374325717E-2</v>
      </c>
    </row>
    <row r="30" spans="5:30" x14ac:dyDescent="0.2">
      <c r="F30" t="s">
        <v>28</v>
      </c>
      <c r="I30" s="19">
        <f>Model!I129</f>
        <v>3.9761431411530816E-2</v>
      </c>
      <c r="J30" s="19">
        <f>Model!J129</f>
        <v>1.5849574640680576E-2</v>
      </c>
      <c r="K30" s="19">
        <f>Model!K129</f>
        <v>1.0033882768893327E-2</v>
      </c>
      <c r="L30" s="19">
        <f>Model!L129</f>
        <v>1.007360446999409E-2</v>
      </c>
      <c r="M30" s="19">
        <f>Model!M129</f>
        <v>1.3822088371465817E-3</v>
      </c>
      <c r="N30" s="19">
        <f>Model!N129</f>
        <v>2.4344429284339195E-2</v>
      </c>
      <c r="O30" s="19">
        <f>Model!O129</f>
        <v>4.1982360254923828E-2</v>
      </c>
      <c r="P30" s="19">
        <f>Model!P129</f>
        <v>5.2130121104585266E-2</v>
      </c>
      <c r="Q30" s="19">
        <f>Model!Q129</f>
        <v>5.9313209262257305E-2</v>
      </c>
      <c r="R30" s="19">
        <f>Model!R129</f>
        <v>6.4165908635769098E-2</v>
      </c>
      <c r="S30" s="19">
        <f>Model!S129</f>
        <v>6.8278762232756085E-2</v>
      </c>
    </row>
    <row r="31" spans="5:30" x14ac:dyDescent="0.2">
      <c r="F31" t="s">
        <v>29</v>
      </c>
      <c r="I31" s="25">
        <f>Model!I79/AVERAGE(Model!T280,Model!I280)</f>
        <v>19.183398766124508</v>
      </c>
      <c r="J31" s="25">
        <f>Model!J79/AVERAGE(Model!I280,Model!J280)</f>
        <v>20.436556854410203</v>
      </c>
      <c r="K31" s="25">
        <f>Model!K79/AVERAGE(Model!J280,Model!K280)</f>
        <v>18.131176732452886</v>
      </c>
      <c r="L31" s="25">
        <f>Model!L79/AVERAGE(Model!K280,Model!L280)</f>
        <v>17.346691519105313</v>
      </c>
      <c r="M31" s="25">
        <f>Model!M79/AVERAGE(Model!L280,Model!M280)</f>
        <v>17.147702090760188</v>
      </c>
      <c r="N31" s="25">
        <f>Model!N79/AVERAGE(Model!M280,Model!N280)</f>
        <v>17.782467802243456</v>
      </c>
      <c r="O31" s="25">
        <f>Model!O79/AVERAGE(Model!N280,Model!O280)</f>
        <v>19.569684128403605</v>
      </c>
      <c r="P31" s="25">
        <f>Model!P79/AVERAGE(Model!O280,Model!P280)</f>
        <v>21.484644044445371</v>
      </c>
      <c r="Q31" s="25">
        <f>Model!Q79/AVERAGE(Model!P280,Model!Q280)</f>
        <v>22.387086430373014</v>
      </c>
      <c r="R31" s="25">
        <f>Model!R79/AVERAGE(Model!Q280,Model!R280)</f>
        <v>22.215881383169638</v>
      </c>
      <c r="S31" s="25">
        <f>Model!S79/AVERAGE(Model!R280,Model!S280)</f>
        <v>22.05020330607795</v>
      </c>
    </row>
    <row r="32" spans="5:30" x14ac:dyDescent="0.2">
      <c r="F32" s="17" t="s">
        <v>30</v>
      </c>
      <c r="G32" s="333"/>
      <c r="I32" s="25">
        <f>Model!I89/AVERAGE(Model!T310,Model!I310)</f>
        <v>2.2049434852813317</v>
      </c>
      <c r="J32" s="25">
        <f>Model!J89/AVERAGE(Model!I310,Model!J310)</f>
        <v>2.6851427380704314</v>
      </c>
      <c r="K32" s="25">
        <f>Model!K89/AVERAGE(Model!J310,Model!K310)</f>
        <v>2.7160201120058862</v>
      </c>
      <c r="L32" s="25">
        <f>Model!L89/AVERAGE(Model!K310,Model!L310)</f>
        <v>2.8290042529260835</v>
      </c>
      <c r="M32" s="25">
        <f>Model!M89/AVERAGE(Model!L310,Model!M310)</f>
        <v>3.1363636363636362</v>
      </c>
      <c r="N32" s="25">
        <f>Model!N89/AVERAGE(Model!M310,Model!N310)</f>
        <v>3.3078467549381374</v>
      </c>
      <c r="O32" s="25">
        <f>Model!O89/AVERAGE(Model!N310,Model!O310)</f>
        <v>3.3191320927360639</v>
      </c>
      <c r="P32" s="25">
        <f>Model!P89/AVERAGE(Model!O310,Model!P310)</f>
        <v>3.2702866700380313</v>
      </c>
      <c r="Q32" s="25">
        <f>Model!Q89/AVERAGE(Model!P310,Model!Q310)</f>
        <v>3.1966908750346184</v>
      </c>
      <c r="R32" s="25">
        <f>Model!R89/AVERAGE(Model!Q310,Model!R310)</f>
        <v>3.1033811931301725</v>
      </c>
      <c r="S32" s="25">
        <f>Model!S89/AVERAGE(Model!R310,Model!S310)</f>
        <v>2.9988716405377329</v>
      </c>
    </row>
    <row r="33" spans="4:31" x14ac:dyDescent="0.2">
      <c r="I33" s="25"/>
      <c r="J33" s="25"/>
      <c r="K33" s="25"/>
      <c r="L33" s="25"/>
      <c r="M33" s="25"/>
      <c r="N33" s="25"/>
      <c r="O33" s="25"/>
      <c r="P33" s="25"/>
      <c r="Q33" s="25"/>
      <c r="R33" s="25"/>
      <c r="S33" s="25"/>
    </row>
    <row r="34" spans="4:31" x14ac:dyDescent="0.2">
      <c r="E34" s="15" t="s">
        <v>31</v>
      </c>
      <c r="F34" s="15"/>
      <c r="J34" s="19"/>
      <c r="K34" s="19"/>
      <c r="L34" s="19"/>
      <c r="M34" s="19"/>
      <c r="N34" s="19"/>
      <c r="O34" s="19"/>
      <c r="P34" s="19"/>
      <c r="Q34" s="19"/>
      <c r="R34" s="19"/>
      <c r="S34" s="19"/>
    </row>
    <row r="35" spans="4:31" x14ac:dyDescent="0.2">
      <c r="F35" t="s">
        <v>32</v>
      </c>
      <c r="I35" s="18">
        <f>Model!I144/Model!I349</f>
        <v>0.16783216783216784</v>
      </c>
      <c r="J35" s="18">
        <f>Model!J144/Model!J349</f>
        <v>8.1345881139615828E-2</v>
      </c>
      <c r="K35" s="18">
        <f>Model!K144/Model!K349</f>
        <v>-4.7607421875E-3</v>
      </c>
      <c r="L35" s="18">
        <f>Model!L144/Model!L349</f>
        <v>2.8114098091524729E-2</v>
      </c>
      <c r="M35" s="18">
        <f>Model!M144/Model!M349</f>
        <v>-2.2437389442323805E-2</v>
      </c>
      <c r="N35" s="18">
        <f>Model!N144/Model!N349</f>
        <v>4.4530783024506873E-2</v>
      </c>
      <c r="O35" s="18">
        <f>Model!O144/Model!O349</f>
        <v>0.17995964486249791</v>
      </c>
      <c r="P35" s="18">
        <f>Model!P144/Model!P349</f>
        <v>0.19428135112513653</v>
      </c>
      <c r="Q35" s="18">
        <f>Model!Q144/Model!Q349</f>
        <v>0.191442317189494</v>
      </c>
      <c r="R35" s="18">
        <f>Model!R144/Model!R349</f>
        <v>0.18140035275977887</v>
      </c>
      <c r="S35" s="18">
        <f>Model!S144/Model!S349</f>
        <v>0.17091936230313762</v>
      </c>
    </row>
    <row r="36" spans="4:31" x14ac:dyDescent="0.2">
      <c r="F36" t="s">
        <v>33</v>
      </c>
      <c r="I36" s="18">
        <f>Model!I144/Model!I350</f>
        <v>6.1286375485449802E-2</v>
      </c>
      <c r="J36" s="18">
        <f>Model!J144/Model!J350</f>
        <v>2.4962417912809558E-2</v>
      </c>
      <c r="K36" s="18">
        <f>Model!K144/Model!K350</f>
        <v>-1.1979726616495163E-3</v>
      </c>
      <c r="L36" s="18">
        <f>Model!L144/Model!L350</f>
        <v>6.8228790557533807E-3</v>
      </c>
      <c r="M36" s="18">
        <f>Model!M144/Model!M350</f>
        <v>-4.4216126960829275E-3</v>
      </c>
      <c r="N36" s="18">
        <f>Model!N144/Model!N350</f>
        <v>9.1070227981174742E-3</v>
      </c>
      <c r="O36" s="18">
        <f>Model!O144/Model!O350</f>
        <v>4.3338333435975186E-2</v>
      </c>
      <c r="P36" s="18">
        <f>Model!P144/Model!P350</f>
        <v>5.5727808569411487E-2</v>
      </c>
      <c r="Q36" s="18">
        <f>Model!Q144/Model!Q350</f>
        <v>6.3121513357861397E-2</v>
      </c>
      <c r="R36" s="18">
        <f>Model!R144/Model!R350</f>
        <v>6.6973330585713545E-2</v>
      </c>
      <c r="S36" s="18">
        <f>Model!S144/Model!S350</f>
        <v>6.9256764843038068E-2</v>
      </c>
    </row>
    <row r="37" spans="4:31" x14ac:dyDescent="0.2">
      <c r="I37" s="18"/>
      <c r="J37" s="18"/>
      <c r="K37" s="18"/>
      <c r="L37" s="18"/>
      <c r="M37" s="18"/>
      <c r="N37" s="18"/>
      <c r="O37" s="18"/>
      <c r="P37" s="18"/>
      <c r="Q37" s="18"/>
      <c r="R37" s="18"/>
      <c r="S37" s="18"/>
    </row>
    <row r="38" spans="4:31" x14ac:dyDescent="0.2">
      <c r="D38" s="15" t="s">
        <v>34</v>
      </c>
      <c r="F38" s="15"/>
    </row>
    <row r="39" spans="4:31" x14ac:dyDescent="0.2">
      <c r="F39" t="s">
        <v>35</v>
      </c>
      <c r="G39" t="s">
        <v>36</v>
      </c>
      <c r="I39" s="10" t="str">
        <f>IFERROR(I42/(Model!I164*100),"NA ")</f>
        <v xml:space="preserve">NA </v>
      </c>
      <c r="J39" s="10">
        <f>IFERROR(J42/(Model!J164*100),"NA ")</f>
        <v>-2.7600418912457569</v>
      </c>
      <c r="K39" s="10">
        <f>IFERROR(K42/(Model!K164*100),"NA ")</f>
        <v>27.415152609371987</v>
      </c>
      <c r="L39" s="10">
        <f>IFERROR(L42/(Model!L164*100),"NA ")</f>
        <v>-0.86276111622847296</v>
      </c>
      <c r="M39" s="10">
        <f>IFERROR(M42/(Model!M164*100),"NA ")</f>
        <v>3.1557480535856044</v>
      </c>
      <c r="N39" s="10">
        <f>IFERROR(N42/(Model!N164*100),"NA ")</f>
        <v>-1.593217236460869</v>
      </c>
      <c r="O39" s="10">
        <f>IFERROR(O42/(Model!O164*100),"NA ")</f>
        <v>0.19703503489574198</v>
      </c>
      <c r="P39" s="10">
        <f>IFERROR(P42/(Model!P164*100),"NA ")</f>
        <v>1.0711468050054416</v>
      </c>
      <c r="Q39" s="10">
        <f>IFERROR(Q42/(Model!Q164*100),"NA ")</f>
        <v>1.139606681224371</v>
      </c>
      <c r="R39" s="10">
        <f>IFERROR(R42/(Model!R164*100),"NA ")</f>
        <v>1.1941431280130608</v>
      </c>
      <c r="S39" s="10">
        <f>IFERROR(S42/(Model!S164*100),"NA ")</f>
        <v>1.1455300633140928</v>
      </c>
    </row>
    <row r="40" spans="4:31" x14ac:dyDescent="0.2">
      <c r="F40" t="s">
        <v>37</v>
      </c>
      <c r="G40" s="332"/>
      <c r="I40" s="10" t="str">
        <f>IFERROR((I13/Model!I150)/(I55*100),"NA ")</f>
        <v xml:space="preserve">NA </v>
      </c>
      <c r="J40" s="10">
        <f>IFERROR((J13/Model!J150)/(J55*100),"NA ")</f>
        <v>-9.4155923074411554</v>
      </c>
      <c r="K40" s="10">
        <f>IFERROR((K13/Model!K150)/(K55*100),"NA ")</f>
        <v>0.78006285286989174</v>
      </c>
      <c r="L40" s="10">
        <f>IFERROR((L13/Model!L150)/(L55*100),"NA ")</f>
        <v>1.0123962880804467</v>
      </c>
      <c r="M40" s="10">
        <f>IFERROR((M13/Model!M150)/(M55*100),"NA ")</f>
        <v>1.3014657682553101</v>
      </c>
      <c r="N40" s="10">
        <f>IFERROR((N13/Model!N150)/(N55*100),"NA ")</f>
        <v>0.42932860477171886</v>
      </c>
      <c r="O40" s="10">
        <f>IFERROR((O13/Model!O150)/(O55*100),"NA ")</f>
        <v>0.45278500691259915</v>
      </c>
      <c r="P40" s="10">
        <f>IFERROR((P13/Model!P150)/(P55*100),"NA ")</f>
        <v>0.69301549968013454</v>
      </c>
      <c r="Q40" s="10">
        <f>IFERROR((Q13/Model!Q150)/(Q55*100),"NA ")</f>
        <v>0.47720713208601467</v>
      </c>
      <c r="R40" s="10">
        <f>IFERROR((R13/Model!R150)/(R55*100),"NA ")</f>
        <v>0.41938124432757773</v>
      </c>
      <c r="S40" s="10">
        <f>IFERROR((S13/Model!S150)/(S55*100),"NA ")</f>
        <v>0.36013641831106791</v>
      </c>
    </row>
    <row r="42" spans="4:31" x14ac:dyDescent="0.2">
      <c r="F42" t="s">
        <v>38</v>
      </c>
      <c r="I42" s="10">
        <f>IFERROR(I$10/Model!I144,"NA ")</f>
        <v>71.25</v>
      </c>
      <c r="J42" s="10">
        <f>IFERROR(J$10/Model!J144,"NA ")</f>
        <v>126.46450079239301</v>
      </c>
      <c r="K42" s="10">
        <f>IFERROR(K$10/Model!K144,"NA ")</f>
        <v>-2913.9515384615383</v>
      </c>
      <c r="L42" s="10">
        <f>IFERROR(L$10/Model!L144,"NA ")</f>
        <v>676.77864963503657</v>
      </c>
      <c r="M42" s="10">
        <f>IFERROR(M$10/Model!M144,"NA ")</f>
        <v>-594.94481327800838</v>
      </c>
      <c r="N42" s="10">
        <f>IFERROR(N$10/Model!N144,"NA ")</f>
        <v>540.93880872483214</v>
      </c>
      <c r="O42" s="10">
        <f>IFERROR(O$10/Model!O144,"NA ")</f>
        <v>92.609974075617515</v>
      </c>
      <c r="P42" s="10">
        <f>IFERROR(P$10/Model!P144,"NA ")</f>
        <v>59.527921738003208</v>
      </c>
      <c r="Q42" s="10">
        <f>IFERROR(Q$10/Model!Q144,"NA ")</f>
        <v>43.172550085624955</v>
      </c>
      <c r="R42" s="10">
        <f>IFERROR(R$10/Model!R144,"NA ")</f>
        <v>33.675737781348595</v>
      </c>
      <c r="S42" s="10">
        <f>IFERROR(S$10/Model!S144,"NA ")</f>
        <v>27.211690199834177</v>
      </c>
      <c r="T42" s="3">
        <f>IF(X5/SUM(Model!X163:AC163)&lt;0,"NM",X5/SUM(Model!X163:AC163))</f>
        <v>0</v>
      </c>
    </row>
    <row r="43" spans="4:31" x14ac:dyDescent="0.2">
      <c r="F43" t="s">
        <v>39</v>
      </c>
      <c r="G43" s="332"/>
      <c r="I43" s="10">
        <f>IFERROR(I$10/MAX(Model!$I144:I144),"NA ")</f>
        <v>71.25</v>
      </c>
      <c r="J43" s="10">
        <f>IFERROR(J$10/MAX(Model!$I144:J144),"NA ")</f>
        <v>69.270052083333326</v>
      </c>
      <c r="K43" s="10">
        <f>IFERROR(K$10/MAX(Model!$I144:K144),"NA ")</f>
        <v>98.649401041666664</v>
      </c>
      <c r="L43" s="10">
        <f>IFERROR(L$10/MAX(Model!$I144:L144),"NA ")</f>
        <v>160.96992187500001</v>
      </c>
      <c r="M43" s="10">
        <f>IFERROR(M$10/MAX(Model!$I144:M144),"NA ")</f>
        <v>124.46328125000001</v>
      </c>
      <c r="N43" s="10">
        <f>IFERROR(N$10/MAX(Model!$I144:N144),"NA ")</f>
        <v>279.86070312499999</v>
      </c>
      <c r="O43" s="10">
        <f>IFERROR(O$10/MAX(Model!$I144:O144),"NA ")</f>
        <v>92.609974075617515</v>
      </c>
      <c r="P43" s="10">
        <f>IFERROR(P$10/MAX(Model!$I144:P144),"NA ")</f>
        <v>59.527921738003208</v>
      </c>
      <c r="Q43" s="10">
        <f>IFERROR(Q$10/MAX(Model!$I144:Q144),"NA ")</f>
        <v>43.172550085624955</v>
      </c>
      <c r="R43" s="10">
        <f>IFERROR(R$10/MAX(Model!$I144:R144),"NA ")</f>
        <v>33.675737781348595</v>
      </c>
      <c r="S43" s="10">
        <f>IFERROR(S$10/MAX(Model!$I144:S144),"NA ")</f>
        <v>27.211690199834177</v>
      </c>
      <c r="T43" s="2">
        <f>X5/(MAX(Model!X163:AC163)*4)</f>
        <v>0</v>
      </c>
    </row>
    <row r="44" spans="4:31" x14ac:dyDescent="0.2">
      <c r="F44" t="s">
        <v>40</v>
      </c>
      <c r="G44" t="s">
        <v>41</v>
      </c>
      <c r="I44" s="25">
        <f>I13/Model!I150</f>
        <v>40.70798755186722</v>
      </c>
      <c r="J44" s="25">
        <f>J13/Model!J150</f>
        <v>40.533929539295386</v>
      </c>
      <c r="K44" s="25">
        <f>K13/Model!K150</f>
        <v>39.193401875901877</v>
      </c>
      <c r="L44" s="10">
        <f>L13/Model!L150</f>
        <v>44.958868348738449</v>
      </c>
      <c r="M44" s="10">
        <f>M13/Model!M150</f>
        <v>28.155617169850075</v>
      </c>
      <c r="N44" s="10">
        <f>N13/Model!N150</f>
        <v>35.420271213144268</v>
      </c>
      <c r="O44" s="10">
        <f>O13/Model!O150</f>
        <v>23.173145490218705</v>
      </c>
      <c r="P44" s="25">
        <f>P13/Model!P150</f>
        <v>18.308540304436427</v>
      </c>
      <c r="Q44" s="25">
        <f>Q13/Model!Q150</f>
        <v>14.012384970797182</v>
      </c>
      <c r="R44" s="25">
        <f>R13/Model!R150</f>
        <v>10.888293911494415</v>
      </c>
      <c r="S44" s="25">
        <f>S13/Model!S150</f>
        <v>8.4949698573668808</v>
      </c>
      <c r="T44" s="4"/>
    </row>
    <row r="45" spans="4:31" x14ac:dyDescent="0.2">
      <c r="F45" t="s">
        <v>42</v>
      </c>
      <c r="G45" s="332" t="s">
        <v>320</v>
      </c>
      <c r="L45" s="10">
        <f>IFERROR(L$13/MAX(Model!Y150:AB150),"NA ")/4</f>
        <v>30.40039695945946</v>
      </c>
      <c r="M45" s="10">
        <f>IFERROR(M$13/MAX(Model!AC150:AF150),"NA ")/4</f>
        <v>17.693559628291172</v>
      </c>
      <c r="N45" s="10">
        <f>IFERROR(N$13/MAX(Model!AG150:AJ150),"NA ")/4</f>
        <v>25.580667262678801</v>
      </c>
      <c r="O45" s="10">
        <f>IFERROR(O$13/MAX(Model!AK150:AN150),"NA ")/4</f>
        <v>19.406625469657801</v>
      </c>
      <c r="T45" s="4"/>
    </row>
    <row r="46" spans="4:31" x14ac:dyDescent="0.2">
      <c r="F46" t="s">
        <v>43</v>
      </c>
      <c r="I46" s="25">
        <f>I13/Model!I157</f>
        <v>57.709558823529413</v>
      </c>
      <c r="J46" s="25">
        <f>J13/Model!J157</f>
        <v>98.143175853018363</v>
      </c>
      <c r="K46" s="25">
        <f>K13/Model!K157</f>
        <v>177.23345840130506</v>
      </c>
      <c r="L46" s="10">
        <f>L13/Model!L157</f>
        <v>239.96046666666666</v>
      </c>
      <c r="M46" s="10">
        <f>M13/Model!M157</f>
        <v>1114.5504065040652</v>
      </c>
      <c r="N46" s="10">
        <f>N13/Model!N157</f>
        <v>120.82323608445296</v>
      </c>
      <c r="O46" s="10">
        <f>O13/Model!O157</f>
        <v>54.813203611426481</v>
      </c>
      <c r="P46" s="25">
        <f>P13/Model!P157</f>
        <v>35.326160934480569</v>
      </c>
      <c r="Q46" s="25">
        <f>Q13/Model!Q157</f>
        <v>25.023859286025342</v>
      </c>
      <c r="R46" s="25">
        <f>R13/Model!R157</f>
        <v>18.747236478665673</v>
      </c>
      <c r="S46" s="25">
        <f>S13/Model!S157</f>
        <v>14.299664435119871</v>
      </c>
      <c r="AE46" s="25"/>
    </row>
    <row r="47" spans="4:31" x14ac:dyDescent="0.2">
      <c r="F47" t="s">
        <v>44</v>
      </c>
      <c r="G47" s="332" t="s">
        <v>320</v>
      </c>
      <c r="L47" s="10">
        <f>IFERROR(L$13/MAX(Model!Y157:AB157),"NA ")/4</f>
        <v>86.858277027027029</v>
      </c>
      <c r="M47" s="10">
        <f>IFERROR(M$13/MAX(Model!AC157:AF157),"NA ")/4</f>
        <v>61.530385996409343</v>
      </c>
      <c r="N47" s="10">
        <f>IFERROR(N$13/MAX(Model!AG157:AJ157),"NA ")/4</f>
        <v>59.430613670694861</v>
      </c>
      <c r="O47" s="10">
        <f>IFERROR(O$13/MAX(Model!AK157:AN157),"NA ")/4</f>
        <v>39.696669286561331</v>
      </c>
    </row>
    <row r="48" spans="4:31" x14ac:dyDescent="0.2">
      <c r="F48" t="s">
        <v>45</v>
      </c>
      <c r="G48" s="332"/>
      <c r="I48" s="25">
        <f>I13/Model!I79</f>
        <v>2.2946146649514678</v>
      </c>
      <c r="J48" s="25">
        <f>J13/Model!J79</f>
        <v>1.5555275911558539</v>
      </c>
      <c r="K48" s="25">
        <f>K13/Model!K79</f>
        <v>1.778339744324227</v>
      </c>
      <c r="L48" s="10">
        <f>L13/Model!L79</f>
        <v>2.4172668296352011</v>
      </c>
      <c r="M48" s="10">
        <f>M13/Model!M79</f>
        <v>1.5405414213152337</v>
      </c>
      <c r="N48" s="10">
        <f>N13/Model!N79</f>
        <v>2.9413727267629848</v>
      </c>
      <c r="O48" s="10">
        <f>O13/Model!O79</f>
        <v>2.3011876607413986</v>
      </c>
      <c r="P48" s="25">
        <f>P13/Model!P79</f>
        <v>1.8415570476745411</v>
      </c>
      <c r="Q48" s="25">
        <f>Q13/Model!Q79</f>
        <v>1.4842454023813016</v>
      </c>
      <c r="R48" s="25">
        <f>R13/Model!R79</f>
        <v>1.2029334630632191</v>
      </c>
      <c r="S48" s="25">
        <f>S13/Model!S79</f>
        <v>0.97636338797374789</v>
      </c>
    </row>
    <row r="49" spans="4:19" x14ac:dyDescent="0.2">
      <c r="F49" t="s">
        <v>46</v>
      </c>
      <c r="G49" s="332" t="s">
        <v>320</v>
      </c>
      <c r="L49" s="10">
        <f>IFERROR(L$13/MAX(Model!Y79:AB79),"NA ")/4</f>
        <v>1.7584158947903232</v>
      </c>
      <c r="M49" s="10">
        <f>IFERROR(M$13/MAX(Model!AC79:AF79),"NA ")/4</f>
        <v>1.1685905960174578</v>
      </c>
      <c r="N49" s="10">
        <f>IFERROR(N$13/MAX(Model!AG79:AJ79),"NA ")/4</f>
        <v>2.20119541499986</v>
      </c>
      <c r="O49" s="10">
        <f>IFERROR(O$13/MAX(Model!AK79:AN79),"NA ")/4</f>
        <v>1.7553984377983582</v>
      </c>
    </row>
    <row r="50" spans="4:19" x14ac:dyDescent="0.2">
      <c r="F50" t="s">
        <v>25</v>
      </c>
      <c r="I50" s="25">
        <f>I13/Model!I207</f>
        <v>22.456366237482118</v>
      </c>
      <c r="J50" s="25">
        <f>J13/Model!J207</f>
        <v>19.160927491673068</v>
      </c>
      <c r="K50" s="25">
        <f>K13/Model!K207</f>
        <v>25.991413875598088</v>
      </c>
      <c r="L50" s="25">
        <f>L13/Model!L207</f>
        <v>32.871296803652967</v>
      </c>
      <c r="M50" s="25">
        <f>M13/Model!M207</f>
        <v>20.036495176848877</v>
      </c>
      <c r="N50" s="25">
        <f>N13/Model!N207</f>
        <v>26.404742449664425</v>
      </c>
      <c r="O50" s="25">
        <f>O13/Model!O207</f>
        <v>22.003179747086065</v>
      </c>
      <c r="P50" s="25">
        <f>P13/Model!P207</f>
        <v>13.940517218878746</v>
      </c>
      <c r="Q50" s="25">
        <f>Q13/Model!Q207</f>
        <v>10.940346833093949</v>
      </c>
      <c r="R50" s="25">
        <f>R13/Model!R207</f>
        <v>8.6445003575005863</v>
      </c>
      <c r="S50" s="25">
        <f>S13/Model!S207</f>
        <v>6.8466392080365539</v>
      </c>
    </row>
    <row r="51" spans="4:19" x14ac:dyDescent="0.2">
      <c r="L51" s="10">
        <f>IFERROR(L$13/MAX(Model!Y207:AB207),"NA ")/4</f>
        <v>7.9548422029702985</v>
      </c>
      <c r="M51" s="10">
        <f>IFERROR(M$13/MAX(Model!AC207:AF207),"NA ")/4</f>
        <v>5.1038607594936716</v>
      </c>
      <c r="N51" s="10">
        <f>IFERROR(N$13/MAX(Model!AG207:AJ207),"NA ")/4</f>
        <v>8.9294294711756681</v>
      </c>
      <c r="O51" s="10">
        <f>IFERROR(O$13/MAX(Model!AK207:AN207),"NA ")/4</f>
        <v>9.3096200632126127</v>
      </c>
    </row>
    <row r="52" spans="4:19" x14ac:dyDescent="0.2">
      <c r="D52" s="15" t="s">
        <v>47</v>
      </c>
    </row>
    <row r="53" spans="4:19" x14ac:dyDescent="0.2">
      <c r="F53" t="s">
        <v>48</v>
      </c>
      <c r="J53" s="19">
        <f>Model!J80</f>
        <v>0.40559583674424049</v>
      </c>
      <c r="K53" s="19">
        <f>Model!K80</f>
        <v>0.27073236682821311</v>
      </c>
      <c r="L53" s="19">
        <f>Model!L80</f>
        <v>0.21866662301736706</v>
      </c>
      <c r="M53" s="19">
        <f>Model!M80</f>
        <v>0.1952398861011122</v>
      </c>
      <c r="N53" s="19">
        <f>Model!N80</f>
        <v>0.20247673843664304</v>
      </c>
      <c r="O53" s="19">
        <f>Model!O80</f>
        <v>0.26422097021871593</v>
      </c>
      <c r="P53" s="19">
        <f>Model!P80</f>
        <v>0.24809249483351326</v>
      </c>
      <c r="Q53" s="19">
        <f>Model!Q80</f>
        <v>0.22842586517327468</v>
      </c>
      <c r="R53" s="19">
        <f>Model!R80</f>
        <v>0.20768603241968897</v>
      </c>
      <c r="S53" s="19">
        <f>Model!S80</f>
        <v>0.18798001367889894</v>
      </c>
    </row>
    <row r="54" spans="4:19" x14ac:dyDescent="0.2">
      <c r="F54" t="s">
        <v>49</v>
      </c>
      <c r="J54" s="19">
        <f>Model!J111</f>
        <v>-0.18698347107438018</v>
      </c>
      <c r="K54" s="19">
        <f>Model!K111</f>
        <v>5.9720457433291019E-2</v>
      </c>
      <c r="L54" s="19">
        <f>Model!L111</f>
        <v>0.19484412470023971</v>
      </c>
      <c r="M54" s="19">
        <f>Model!M111</f>
        <v>-9.2824887104867027E-2</v>
      </c>
      <c r="N54" s="19">
        <f>Model!N111</f>
        <v>1.5016592920353982</v>
      </c>
      <c r="O54" s="19">
        <f>Model!O111</f>
        <v>0.77627516485966974</v>
      </c>
      <c r="P54" s="19">
        <f>Model!P111</f>
        <v>0.45468656868588186</v>
      </c>
      <c r="Q54" s="19">
        <f>Model!Q111</f>
        <v>0.35038555417495409</v>
      </c>
      <c r="R54" s="19">
        <f>Model!R111</f>
        <v>0.2798698704739393</v>
      </c>
      <c r="S54" s="19">
        <f>Model!S111</f>
        <v>0.24417172180704649</v>
      </c>
    </row>
    <row r="55" spans="4:19" x14ac:dyDescent="0.2">
      <c r="F55" t="s">
        <v>50</v>
      </c>
      <c r="I55" s="19"/>
      <c r="J55" s="19">
        <f>Model!J151</f>
        <v>-4.304979253112029E-2</v>
      </c>
      <c r="K55" s="19">
        <f>Model!K151</f>
        <v>0.5024390243902439</v>
      </c>
      <c r="L55" s="19">
        <f>Model!L151</f>
        <v>0.44408369408369408</v>
      </c>
      <c r="M55" s="19">
        <f>Model!M151</f>
        <v>0.21633774668998251</v>
      </c>
      <c r="N55" s="19">
        <f>Model!N151</f>
        <v>0.82501540357362901</v>
      </c>
      <c r="O55" s="19">
        <f>Model!O151</f>
        <v>0.51179136094256328</v>
      </c>
      <c r="P55" s="19">
        <f>Model!P151</f>
        <v>0.26418659197213978</v>
      </c>
      <c r="Q55" s="19">
        <f>Model!Q151</f>
        <v>0.29363318418031326</v>
      </c>
      <c r="R55" s="19">
        <f>Model!R151</f>
        <v>0.25962758370256522</v>
      </c>
      <c r="S55" s="19">
        <f>Model!S151</f>
        <v>0.23588199986010161</v>
      </c>
    </row>
    <row r="56" spans="4:19" x14ac:dyDescent="0.2">
      <c r="F56" t="s">
        <v>51</v>
      </c>
      <c r="J56" s="180">
        <f>Model!J209</f>
        <v>0.11673819742489289</v>
      </c>
      <c r="K56" s="180">
        <f>Model!K209</f>
        <v>7.0971047911862595E-2</v>
      </c>
      <c r="L56" s="180">
        <f>Model!L209</f>
        <v>0.30980861244019131</v>
      </c>
      <c r="M56" s="180">
        <f>Model!M209</f>
        <v>0.2496803652968036</v>
      </c>
      <c r="N56" s="180">
        <f>Model!N209</f>
        <v>0.74218064893306046</v>
      </c>
      <c r="O56" s="180">
        <f>Model!O209</f>
        <v>0.18692001797058189</v>
      </c>
      <c r="P56" s="180">
        <f>Model!P209</f>
        <v>0.57647276162824168</v>
      </c>
      <c r="Q56" s="180">
        <f>Model!Q209</f>
        <v>0.26158723023382313</v>
      </c>
      <c r="R56" s="180">
        <f>Model!R209</f>
        <v>0.23874276527623239</v>
      </c>
      <c r="S56" s="180">
        <f>Model!S209</f>
        <v>0.2174229024486598</v>
      </c>
    </row>
    <row r="57" spans="4:19" x14ac:dyDescent="0.2">
      <c r="F57" t="s">
        <v>52</v>
      </c>
      <c r="J57" s="180">
        <f>Model!J253</f>
        <v>-0.28191721132897585</v>
      </c>
      <c r="K57" s="180">
        <f>Model!K253</f>
        <v>-1.0673543689320388</v>
      </c>
      <c r="L57" s="180">
        <f>Model!L253</f>
        <v>-12.27027027027027</v>
      </c>
      <c r="M57" s="180">
        <f>Model!M253</f>
        <v>-0.5771382893685052</v>
      </c>
      <c r="N57" s="180">
        <f>Model!N253</f>
        <v>7.975425330812854</v>
      </c>
      <c r="O57" s="180">
        <f>Model!O253</f>
        <v>-0.10539383688180326</v>
      </c>
      <c r="P57" s="180">
        <f>Model!P253</f>
        <v>1.2439880217880508</v>
      </c>
      <c r="Q57" s="180">
        <f>Model!Q253</f>
        <v>0.31129607459536746</v>
      </c>
      <c r="R57" s="180">
        <f>Model!R253</f>
        <v>0.2965236412312855</v>
      </c>
      <c r="S57" s="180">
        <f>Model!S253</f>
        <v>0.27890618612983631</v>
      </c>
    </row>
  </sheetData>
  <pageMargins left="0.7" right="0.7" top="0.75" bottom="0.75" header="0.3" footer="0.3"/>
  <pageSetup orientation="portrait" horizontalDpi="4294967292" verticalDpi="4294967292"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2:AS383"/>
  <sheetViews>
    <sheetView showGridLines="0" zoomScale="115" workbookViewId="0">
      <pane xSplit="7" ySplit="3" topLeftCell="H201" activePane="bottomRight" state="frozen"/>
      <selection pane="topRight" activeCell="F1" sqref="F1"/>
      <selection pane="bottomLeft" activeCell="A4" sqref="A4"/>
      <selection pane="bottomRight" activeCell="O250" sqref="O250"/>
    </sheetView>
  </sheetViews>
  <sheetFormatPr baseColWidth="10" defaultColWidth="8.83203125" defaultRowHeight="15" outlineLevelRow="1" outlineLevelCol="1" x14ac:dyDescent="0.2"/>
  <cols>
    <col min="1" max="5" width="2.83203125" style="17" customWidth="1"/>
    <col min="6" max="6" width="44.1640625" style="17" customWidth="1"/>
    <col min="7" max="7" width="18.1640625" style="17" customWidth="1" outlineLevel="1"/>
    <col min="8" max="8" width="2.33203125" style="17" customWidth="1"/>
    <col min="9" max="10" width="10.83203125" style="17" customWidth="1"/>
    <col min="11" max="11" width="10.83203125" style="23" customWidth="1"/>
    <col min="12" max="12" width="11.5" style="23" bestFit="1" customWidth="1"/>
    <col min="13" max="19" width="10.83203125" style="23" customWidth="1"/>
    <col min="20" max="20" width="13" style="17" bestFit="1" customWidth="1"/>
    <col min="21" max="24" width="11.33203125" style="23" customWidth="1"/>
    <col min="25" max="25" width="10.1640625" style="23" customWidth="1"/>
    <col min="26" max="27" width="10.1640625" style="17" customWidth="1"/>
    <col min="28" max="28" width="11" style="17" customWidth="1"/>
    <col min="29" max="29" width="10.1640625" style="17" customWidth="1"/>
    <col min="30" max="30" width="12.1640625" style="17" bestFit="1" customWidth="1"/>
    <col min="31" max="31" width="12.1640625" style="23" bestFit="1" customWidth="1"/>
    <col min="32" max="32" width="11.5" style="23" customWidth="1"/>
    <col min="33" max="33" width="10.1640625" style="17" customWidth="1"/>
    <col min="34" max="34" width="12" style="17" bestFit="1" customWidth="1"/>
    <col min="35" max="35" width="10.1640625" style="17" customWidth="1"/>
    <col min="36" max="36" width="11.6640625" style="17" customWidth="1"/>
    <col min="37" max="37" width="11.5" style="17" bestFit="1" customWidth="1"/>
    <col min="38" max="38" width="10.5" style="17" customWidth="1"/>
    <col min="39" max="39" width="9.83203125" style="17" customWidth="1"/>
    <col min="40" max="40" width="10.6640625" style="17" bestFit="1" customWidth="1"/>
    <col min="41" max="43" width="10.83203125" style="17" customWidth="1"/>
    <col min="44" max="44" width="12.5" style="17" customWidth="1"/>
    <col min="45" max="16384" width="8.83203125" style="17"/>
  </cols>
  <sheetData>
    <row r="2" spans="1:43" x14ac:dyDescent="0.2">
      <c r="F2" s="44"/>
      <c r="G2" s="139" t="s">
        <v>0</v>
      </c>
      <c r="H2" s="139"/>
      <c r="I2" s="48" t="s">
        <v>53</v>
      </c>
      <c r="J2" s="23"/>
      <c r="O2" s="173"/>
      <c r="T2" s="23"/>
      <c r="U2" s="23" t="s">
        <v>54</v>
      </c>
      <c r="Z2" s="23"/>
      <c r="AA2" s="23"/>
      <c r="AB2" s="23"/>
      <c r="AC2" s="23"/>
      <c r="AD2" s="23"/>
      <c r="AG2" s="23"/>
      <c r="AH2" s="23"/>
      <c r="AI2" s="23"/>
      <c r="AJ2" s="23"/>
      <c r="AK2" s="173"/>
      <c r="AL2" s="23"/>
      <c r="AM2" s="23"/>
      <c r="AN2" s="23"/>
      <c r="AO2" s="23"/>
      <c r="AP2" s="23"/>
      <c r="AQ2" s="23"/>
    </row>
    <row r="3" spans="1:43" s="45" customFormat="1" x14ac:dyDescent="0.2">
      <c r="F3" s="136"/>
      <c r="G3" s="46"/>
      <c r="H3" s="46"/>
      <c r="I3" s="58">
        <f>'Company Data'!U3</f>
        <v>40543</v>
      </c>
      <c r="J3" s="58">
        <f>'Company Data'!V3</f>
        <v>40908</v>
      </c>
      <c r="K3" s="58">
        <f>'Company Data'!W3</f>
        <v>41274</v>
      </c>
      <c r="L3" s="58">
        <f>'Company Data'!X3</f>
        <v>41639</v>
      </c>
      <c r="M3" s="58">
        <f>'Company Data'!Y3</f>
        <v>42004</v>
      </c>
      <c r="N3" s="58">
        <f>'Company Data'!Z3</f>
        <v>42369</v>
      </c>
      <c r="O3" s="60">
        <f>'Company Data'!AA3</f>
        <v>42735</v>
      </c>
      <c r="P3" s="60">
        <f>'Company Data'!AB3</f>
        <v>43100</v>
      </c>
      <c r="Q3" s="60">
        <f>'Company Data'!AC3</f>
        <v>43465</v>
      </c>
      <c r="R3" s="147">
        <f>'Company Data'!AD3</f>
        <v>43830</v>
      </c>
      <c r="S3" s="60">
        <f>'Company Data'!AE3</f>
        <v>44196</v>
      </c>
      <c r="T3" s="47"/>
      <c r="U3" s="58">
        <v>40999</v>
      </c>
      <c r="V3" s="58">
        <v>41090</v>
      </c>
      <c r="W3" s="58">
        <v>41182</v>
      </c>
      <c r="X3" s="58">
        <f>'Company Data'!F3</f>
        <v>41274</v>
      </c>
      <c r="Y3" s="58">
        <f>'Company Data'!G3</f>
        <v>41364</v>
      </c>
      <c r="Z3" s="58">
        <f>'Company Data'!H3</f>
        <v>41455</v>
      </c>
      <c r="AA3" s="58">
        <f>'Company Data'!I3</f>
        <v>41547</v>
      </c>
      <c r="AB3" s="58">
        <f>'Company Data'!J3</f>
        <v>41639</v>
      </c>
      <c r="AC3" s="58">
        <f>'Company Data'!K3</f>
        <v>41729</v>
      </c>
      <c r="AD3" s="58">
        <f>'Company Data'!L3</f>
        <v>41820</v>
      </c>
      <c r="AE3" s="58">
        <f>'Company Data'!M3</f>
        <v>41912</v>
      </c>
      <c r="AF3" s="58">
        <f>'Company Data'!N3</f>
        <v>42004</v>
      </c>
      <c r="AG3" s="58">
        <f>'Company Data'!O3</f>
        <v>42094</v>
      </c>
      <c r="AH3" s="58">
        <f>'Company Data'!P3</f>
        <v>42185</v>
      </c>
      <c r="AI3" s="58">
        <f>'Company Data'!Q3</f>
        <v>42277</v>
      </c>
      <c r="AJ3" s="58">
        <f>'Company Data'!R3</f>
        <v>42369</v>
      </c>
      <c r="AK3" s="58">
        <f>AG3+366</f>
        <v>42460</v>
      </c>
      <c r="AL3" s="60">
        <f>AH3+366</f>
        <v>42551</v>
      </c>
      <c r="AM3" s="60">
        <f>AI3+366</f>
        <v>42643</v>
      </c>
      <c r="AN3" s="60">
        <f>AJ3+366</f>
        <v>42735</v>
      </c>
      <c r="AO3" s="47"/>
      <c r="AP3" s="47"/>
      <c r="AQ3" s="47"/>
    </row>
    <row r="4" spans="1:43" s="45" customFormat="1" x14ac:dyDescent="0.2">
      <c r="F4" s="46"/>
      <c r="G4" s="46"/>
      <c r="H4" s="46"/>
      <c r="I4" s="58"/>
      <c r="J4" s="58"/>
      <c r="K4" s="58"/>
      <c r="L4" s="58"/>
      <c r="M4" s="58"/>
      <c r="N4" s="58"/>
      <c r="O4" s="60"/>
      <c r="P4" s="60"/>
      <c r="Q4" s="60"/>
      <c r="R4" s="147"/>
      <c r="S4" s="60"/>
      <c r="T4" s="47"/>
      <c r="U4" s="58"/>
      <c r="V4" s="58"/>
      <c r="W4" s="58"/>
      <c r="X4" s="58"/>
      <c r="Y4" s="58"/>
      <c r="Z4" s="58"/>
      <c r="AA4" s="58"/>
      <c r="AB4" s="58"/>
      <c r="AC4" s="58"/>
      <c r="AD4" s="58"/>
      <c r="AE4" s="58"/>
      <c r="AF4" s="58"/>
      <c r="AG4" s="58"/>
      <c r="AH4" s="58"/>
      <c r="AI4" s="58"/>
      <c r="AJ4" s="58"/>
      <c r="AK4" s="58"/>
      <c r="AL4" s="58"/>
      <c r="AM4" s="58"/>
      <c r="AN4" s="58"/>
      <c r="AO4" s="47"/>
      <c r="AP4" s="47"/>
      <c r="AQ4" s="47"/>
    </row>
    <row r="5" spans="1:43" x14ac:dyDescent="0.2">
      <c r="A5" s="111" t="s">
        <v>55</v>
      </c>
      <c r="E5" s="71"/>
      <c r="I5" s="336"/>
      <c r="J5" s="335"/>
      <c r="K5" s="335"/>
      <c r="L5" s="335"/>
      <c r="M5" s="335"/>
      <c r="N5" s="335"/>
      <c r="O5" s="335"/>
      <c r="P5" s="335"/>
      <c r="Q5" s="335"/>
      <c r="R5" s="335"/>
      <c r="S5" s="335"/>
      <c r="T5" s="336"/>
      <c r="U5" s="354"/>
      <c r="V5" s="335"/>
      <c r="W5" s="335"/>
      <c r="X5" s="335"/>
      <c r="Y5" s="72"/>
      <c r="Z5" s="73"/>
      <c r="AA5" s="73"/>
      <c r="AB5" s="73"/>
      <c r="AC5" s="336"/>
      <c r="AD5" s="336"/>
      <c r="AE5" s="335"/>
      <c r="AF5" s="335"/>
      <c r="AG5" s="336"/>
      <c r="AH5" s="336"/>
      <c r="AI5" s="336"/>
      <c r="AJ5" s="336"/>
      <c r="AK5" s="336"/>
      <c r="AL5" s="336"/>
      <c r="AM5" s="336"/>
      <c r="AN5" s="336"/>
      <c r="AO5" s="335"/>
      <c r="AP5" s="335"/>
      <c r="AQ5" s="335"/>
    </row>
    <row r="6" spans="1:43" x14ac:dyDescent="0.2">
      <c r="A6" s="111"/>
      <c r="E6" s="71"/>
      <c r="I6" s="336"/>
      <c r="J6" s="335"/>
      <c r="K6" s="335"/>
      <c r="L6" s="335"/>
      <c r="M6" s="335"/>
      <c r="N6" s="335"/>
      <c r="O6" s="335"/>
      <c r="P6" s="335"/>
      <c r="Q6" s="335"/>
      <c r="R6" s="335"/>
      <c r="S6" s="335"/>
      <c r="T6" s="336"/>
      <c r="U6" s="335"/>
      <c r="V6" s="335"/>
      <c r="W6" s="335"/>
      <c r="X6" s="335"/>
      <c r="Y6" s="72"/>
      <c r="Z6" s="73"/>
      <c r="AA6" s="73"/>
      <c r="AB6" s="73"/>
      <c r="AC6" s="336"/>
      <c r="AD6" s="336"/>
      <c r="AE6" s="335"/>
      <c r="AF6" s="335"/>
      <c r="AG6" s="336"/>
      <c r="AH6" s="336"/>
      <c r="AI6" s="336"/>
      <c r="AJ6" s="336"/>
      <c r="AK6" s="336"/>
      <c r="AL6" s="336"/>
      <c r="AM6" s="336"/>
      <c r="AN6" s="336"/>
      <c r="AO6" s="335"/>
      <c r="AP6" s="335"/>
      <c r="AQ6" s="335"/>
    </row>
    <row r="7" spans="1:43" x14ac:dyDescent="0.2">
      <c r="A7" s="111"/>
      <c r="B7" s="111" t="s">
        <v>56</v>
      </c>
      <c r="E7" s="71"/>
      <c r="I7" s="346"/>
      <c r="J7" s="343"/>
      <c r="K7" s="343"/>
      <c r="L7" s="343"/>
      <c r="M7" s="315"/>
      <c r="N7" s="315">
        <v>54</v>
      </c>
      <c r="O7" s="343"/>
      <c r="P7" s="343"/>
      <c r="Q7" s="343"/>
      <c r="R7" s="343"/>
      <c r="S7" s="343"/>
      <c r="T7" s="346"/>
      <c r="U7" s="343"/>
      <c r="V7" s="343"/>
      <c r="W7" s="343"/>
      <c r="X7" s="343"/>
      <c r="Y7" s="344"/>
      <c r="Z7" s="345"/>
      <c r="AA7" s="315"/>
      <c r="AB7" s="315"/>
      <c r="AC7" s="315">
        <v>28</v>
      </c>
      <c r="AD7" s="315">
        <v>28</v>
      </c>
      <c r="AE7" s="315">
        <v>29</v>
      </c>
      <c r="AF7" s="315">
        <v>40</v>
      </c>
      <c r="AG7" s="315">
        <v>41</v>
      </c>
      <c r="AH7" s="315">
        <v>42</v>
      </c>
      <c r="AI7" s="315">
        <v>48</v>
      </c>
      <c r="AJ7" s="315">
        <v>54</v>
      </c>
      <c r="AK7" s="346"/>
      <c r="AL7" s="346"/>
      <c r="AM7" s="346"/>
      <c r="AN7" s="346"/>
      <c r="AO7" s="335"/>
      <c r="AP7" s="335"/>
      <c r="AQ7" s="335"/>
    </row>
    <row r="8" spans="1:43" x14ac:dyDescent="0.2">
      <c r="A8" s="111"/>
      <c r="B8" s="168"/>
      <c r="E8" s="71"/>
      <c r="I8" s="313"/>
      <c r="J8" s="339"/>
      <c r="K8" s="339"/>
      <c r="L8" s="339"/>
      <c r="M8" s="339"/>
      <c r="N8" s="339"/>
      <c r="O8" s="339"/>
      <c r="P8" s="339"/>
      <c r="Q8" s="339"/>
      <c r="R8" s="339"/>
      <c r="S8" s="339"/>
      <c r="T8" s="313"/>
      <c r="U8" s="339"/>
      <c r="V8" s="339"/>
      <c r="W8" s="339"/>
      <c r="X8" s="339"/>
      <c r="Y8" s="341"/>
      <c r="Z8" s="342"/>
      <c r="AA8" s="342"/>
      <c r="AB8" s="342"/>
      <c r="AC8" s="313"/>
      <c r="AD8" s="313"/>
      <c r="AE8" s="339"/>
      <c r="AF8" s="339"/>
      <c r="AG8" s="313"/>
      <c r="AH8" s="313"/>
      <c r="AI8" s="313"/>
      <c r="AJ8" s="308">
        <f>AJ7/AF7</f>
        <v>1.35</v>
      </c>
      <c r="AK8" s="308">
        <f>AVERAGE(AG7:AJ7)/AVERAGE(AC7:AF7)</f>
        <v>1.48</v>
      </c>
      <c r="AL8" s="313"/>
      <c r="AM8" s="313"/>
      <c r="AN8" s="313"/>
      <c r="AO8" s="335"/>
      <c r="AP8" s="335"/>
      <c r="AQ8" s="335"/>
    </row>
    <row r="9" spans="1:43" x14ac:dyDescent="0.2">
      <c r="A9" s="111"/>
      <c r="B9" s="111" t="s">
        <v>57</v>
      </c>
      <c r="E9" s="71"/>
      <c r="I9" s="346"/>
      <c r="J9" s="343"/>
      <c r="K9" s="343"/>
      <c r="L9" s="343"/>
      <c r="M9" s="315">
        <v>1</v>
      </c>
      <c r="N9" s="315">
        <v>20</v>
      </c>
      <c r="O9" s="343"/>
      <c r="P9" s="343"/>
      <c r="Q9" s="343"/>
      <c r="R9" s="343"/>
      <c r="S9" s="343"/>
      <c r="T9" s="346"/>
      <c r="U9" s="343"/>
      <c r="V9" s="343"/>
      <c r="W9" s="343"/>
      <c r="X9" s="343"/>
      <c r="Y9" s="344"/>
      <c r="Z9" s="345"/>
      <c r="AA9" s="345"/>
      <c r="AB9" s="345"/>
      <c r="AC9" s="346"/>
      <c r="AD9" s="346"/>
      <c r="AE9" s="343"/>
      <c r="AF9" s="343"/>
      <c r="AG9" s="346"/>
      <c r="AH9" s="346"/>
      <c r="AI9" s="315">
        <v>16</v>
      </c>
      <c r="AJ9" s="315">
        <v>20</v>
      </c>
      <c r="AK9" s="315">
        <v>30</v>
      </c>
      <c r="AL9" s="346"/>
      <c r="AM9" s="346"/>
      <c r="AN9" s="346"/>
      <c r="AO9" s="335"/>
      <c r="AP9" s="335"/>
      <c r="AQ9" s="335"/>
    </row>
    <row r="10" spans="1:43" x14ac:dyDescent="0.2">
      <c r="A10" s="111"/>
      <c r="B10" s="168"/>
      <c r="E10" s="71"/>
      <c r="I10" s="336"/>
      <c r="J10" s="335"/>
      <c r="K10" s="335"/>
      <c r="L10" s="335"/>
      <c r="M10" s="335"/>
      <c r="N10" s="335"/>
      <c r="O10" s="335"/>
      <c r="P10" s="335"/>
      <c r="Q10" s="335"/>
      <c r="R10" s="335"/>
      <c r="S10" s="335"/>
      <c r="T10" s="336"/>
      <c r="U10" s="335"/>
      <c r="V10" s="335"/>
      <c r="W10" s="335"/>
      <c r="X10" s="335"/>
      <c r="Y10" s="72"/>
      <c r="Z10" s="73"/>
      <c r="AA10" s="73"/>
      <c r="AB10" s="73"/>
      <c r="AC10" s="336"/>
      <c r="AD10" s="336"/>
      <c r="AE10" s="335"/>
      <c r="AF10" s="335"/>
      <c r="AG10" s="336"/>
      <c r="AH10" s="336"/>
      <c r="AI10" s="336"/>
      <c r="AJ10" s="150"/>
      <c r="AK10" s="150"/>
      <c r="AL10" s="336"/>
      <c r="AM10" s="336"/>
      <c r="AN10" s="336"/>
      <c r="AO10" s="335"/>
      <c r="AP10" s="335"/>
      <c r="AQ10" s="335"/>
    </row>
    <row r="11" spans="1:43" x14ac:dyDescent="0.2">
      <c r="A11" s="111"/>
      <c r="B11" s="111" t="s">
        <v>58</v>
      </c>
      <c r="E11" s="71"/>
      <c r="I11" s="346"/>
      <c r="J11" s="343"/>
      <c r="K11" s="315"/>
      <c r="L11" s="315">
        <f>1802+4485</f>
        <v>6287</v>
      </c>
      <c r="M11" s="315">
        <f>5672+1802</f>
        <v>7474</v>
      </c>
      <c r="N11" s="315">
        <f>7245+2601</f>
        <v>9846</v>
      </c>
      <c r="O11" s="343"/>
      <c r="P11" s="343"/>
      <c r="Q11" s="343"/>
      <c r="R11" s="343"/>
      <c r="S11" s="343"/>
      <c r="T11" s="346"/>
      <c r="U11" s="343"/>
      <c r="V11" s="343"/>
      <c r="W11" s="343"/>
      <c r="X11" s="343"/>
      <c r="Y11" s="344"/>
      <c r="Z11" s="345"/>
      <c r="AA11" s="345"/>
      <c r="AB11" s="345"/>
      <c r="AC11" s="346"/>
      <c r="AD11" s="346"/>
      <c r="AE11" s="343"/>
      <c r="AF11" s="343"/>
      <c r="AG11" s="346"/>
      <c r="AH11" s="346"/>
      <c r="AI11" s="346"/>
      <c r="AJ11" s="346"/>
      <c r="AK11" s="346"/>
      <c r="AL11" s="346"/>
      <c r="AM11" s="346"/>
      <c r="AN11" s="346"/>
      <c r="AO11" s="335"/>
      <c r="AP11" s="335"/>
      <c r="AQ11" s="335"/>
    </row>
    <row r="12" spans="1:43" x14ac:dyDescent="0.2">
      <c r="A12" s="111"/>
      <c r="B12" s="111" t="s">
        <v>59</v>
      </c>
      <c r="E12" s="71"/>
      <c r="I12" s="346"/>
      <c r="J12" s="343"/>
      <c r="K12" s="315"/>
      <c r="L12" s="315">
        <v>3002</v>
      </c>
      <c r="M12" s="315">
        <v>3371</v>
      </c>
      <c r="N12" s="315">
        <f>4843</f>
        <v>4843</v>
      </c>
      <c r="O12" s="343"/>
      <c r="P12" s="343"/>
      <c r="Q12" s="343"/>
      <c r="R12" s="343"/>
      <c r="S12" s="343"/>
      <c r="T12" s="346"/>
      <c r="U12" s="343"/>
      <c r="V12" s="343"/>
      <c r="W12" s="343"/>
      <c r="X12" s="343"/>
      <c r="Y12" s="344"/>
      <c r="Z12" s="345"/>
      <c r="AA12" s="345"/>
      <c r="AB12" s="345"/>
      <c r="AC12" s="346"/>
      <c r="AD12" s="346"/>
      <c r="AE12" s="343"/>
      <c r="AF12" s="343"/>
      <c r="AG12" s="346"/>
      <c r="AH12" s="346"/>
      <c r="AI12" s="346"/>
      <c r="AJ12" s="346"/>
      <c r="AK12" s="346"/>
      <c r="AL12" s="346"/>
      <c r="AM12" s="346"/>
      <c r="AN12" s="346"/>
      <c r="AO12" s="335"/>
      <c r="AP12" s="335"/>
      <c r="AQ12" s="335"/>
    </row>
    <row r="13" spans="1:43" x14ac:dyDescent="0.2">
      <c r="A13" s="111"/>
      <c r="B13" s="111" t="s">
        <v>60</v>
      </c>
      <c r="E13" s="71"/>
      <c r="I13" s="346"/>
      <c r="J13" s="343"/>
      <c r="K13" s="316"/>
      <c r="L13" s="315">
        <f>48013+329</f>
        <v>48342</v>
      </c>
      <c r="M13" s="315">
        <f>57898+735</f>
        <v>58633</v>
      </c>
      <c r="N13" s="315">
        <f>69890+1765</f>
        <v>71655</v>
      </c>
      <c r="O13" s="343"/>
      <c r="P13" s="343"/>
      <c r="Q13" s="343"/>
      <c r="R13" s="343"/>
      <c r="S13" s="343"/>
      <c r="T13" s="346"/>
      <c r="U13" s="343"/>
      <c r="V13" s="343"/>
      <c r="W13" s="343"/>
      <c r="X13" s="343"/>
      <c r="Y13" s="344"/>
      <c r="Z13" s="345"/>
      <c r="AA13" s="345"/>
      <c r="AB13" s="345"/>
      <c r="AC13" s="346"/>
      <c r="AD13" s="346"/>
      <c r="AE13" s="343"/>
      <c r="AF13" s="343"/>
      <c r="AG13" s="346"/>
      <c r="AH13" s="346"/>
      <c r="AI13" s="346"/>
      <c r="AJ13" s="346"/>
      <c r="AK13" s="346"/>
      <c r="AL13" s="346"/>
      <c r="AM13" s="346"/>
      <c r="AN13" s="346"/>
      <c r="AO13" s="335"/>
      <c r="AP13" s="335"/>
      <c r="AQ13" s="335"/>
    </row>
    <row r="14" spans="1:43" x14ac:dyDescent="0.2">
      <c r="A14" s="111"/>
      <c r="B14" s="111" t="s">
        <v>61</v>
      </c>
      <c r="E14" s="71"/>
      <c r="I14" s="346"/>
      <c r="J14" s="343"/>
      <c r="K14" s="316"/>
      <c r="L14" s="315">
        <f>36131+122</f>
        <v>36253</v>
      </c>
      <c r="M14" s="315">
        <f>43969+272</f>
        <v>44241</v>
      </c>
      <c r="N14" s="315">
        <f>47976+670</f>
        <v>48646</v>
      </c>
      <c r="O14" s="343"/>
      <c r="P14" s="343"/>
      <c r="Q14" s="343"/>
      <c r="R14" s="343"/>
      <c r="S14" s="343"/>
      <c r="T14" s="346"/>
      <c r="U14" s="343"/>
      <c r="V14" s="343"/>
      <c r="W14" s="343"/>
      <c r="X14" s="343"/>
      <c r="Y14" s="344"/>
      <c r="Z14" s="345"/>
      <c r="AA14" s="345"/>
      <c r="AB14" s="345"/>
      <c r="AC14" s="346"/>
      <c r="AD14" s="346"/>
      <c r="AE14" s="343"/>
      <c r="AF14" s="343"/>
      <c r="AG14" s="346"/>
      <c r="AH14" s="346"/>
      <c r="AI14" s="346"/>
      <c r="AJ14" s="346"/>
      <c r="AK14" s="346"/>
      <c r="AL14" s="346"/>
      <c r="AM14" s="346"/>
      <c r="AN14" s="346"/>
      <c r="AO14" s="335"/>
      <c r="AP14" s="335"/>
      <c r="AQ14" s="335"/>
    </row>
    <row r="15" spans="1:43" x14ac:dyDescent="0.2">
      <c r="A15" s="111"/>
      <c r="B15" s="111" t="s">
        <v>62</v>
      </c>
      <c r="E15" s="71"/>
      <c r="G15" s="168"/>
      <c r="H15" s="168"/>
      <c r="I15" s="316">
        <v>30</v>
      </c>
      <c r="J15" s="316">
        <v>40</v>
      </c>
      <c r="K15" s="316">
        <f>59-12</f>
        <v>47</v>
      </c>
      <c r="L15" s="337">
        <v>59</v>
      </c>
      <c r="M15" s="337">
        <v>64</v>
      </c>
      <c r="N15" s="337">
        <v>75</v>
      </c>
      <c r="O15" s="337">
        <v>81</v>
      </c>
      <c r="P15" s="337">
        <v>85</v>
      </c>
      <c r="Q15" s="343"/>
      <c r="R15" s="343"/>
      <c r="S15" s="343"/>
      <c r="T15" s="346"/>
      <c r="U15" s="343"/>
      <c r="V15" s="343"/>
      <c r="W15" s="343"/>
      <c r="X15" s="343"/>
      <c r="Y15" s="344"/>
      <c r="Z15" s="345"/>
      <c r="AA15" s="345"/>
      <c r="AB15" s="345"/>
      <c r="AC15" s="346"/>
      <c r="AD15" s="346"/>
      <c r="AE15" s="343"/>
      <c r="AF15" s="343"/>
      <c r="AG15" s="346"/>
      <c r="AH15" s="346"/>
      <c r="AI15" s="346"/>
      <c r="AJ15" s="346"/>
      <c r="AK15" s="346"/>
      <c r="AL15" s="346"/>
      <c r="AM15" s="346"/>
      <c r="AN15" s="346"/>
      <c r="AO15" s="335"/>
      <c r="AP15" s="335"/>
      <c r="AQ15" s="335"/>
    </row>
    <row r="16" spans="1:43" x14ac:dyDescent="0.2">
      <c r="A16" s="111"/>
      <c r="B16" s="111" t="s">
        <v>63</v>
      </c>
      <c r="E16" s="71"/>
      <c r="G16" s="168"/>
      <c r="H16" s="168"/>
      <c r="I16" s="316">
        <v>40</v>
      </c>
      <c r="J16" s="316">
        <v>48</v>
      </c>
      <c r="K16" s="316">
        <v>59</v>
      </c>
      <c r="L16" s="337">
        <v>69</v>
      </c>
      <c r="M16" s="337">
        <v>74</v>
      </c>
      <c r="N16" s="337">
        <v>86</v>
      </c>
      <c r="O16" s="337">
        <v>90</v>
      </c>
      <c r="P16" s="337">
        <v>92</v>
      </c>
      <c r="Q16" s="343"/>
      <c r="R16" s="343"/>
      <c r="S16" s="343"/>
      <c r="T16" s="346"/>
      <c r="U16" s="343"/>
      <c r="V16" s="343"/>
      <c r="W16" s="343"/>
      <c r="X16" s="343"/>
      <c r="Y16" s="344"/>
      <c r="Z16" s="345"/>
      <c r="AA16" s="345"/>
      <c r="AB16" s="345"/>
      <c r="AC16" s="346"/>
      <c r="AD16" s="346"/>
      <c r="AE16" s="343"/>
      <c r="AF16" s="343"/>
      <c r="AG16" s="346"/>
      <c r="AH16" s="346"/>
      <c r="AI16" s="346"/>
      <c r="AJ16" s="346"/>
      <c r="AK16" s="346"/>
      <c r="AL16" s="346"/>
      <c r="AM16" s="346"/>
      <c r="AN16" s="346"/>
      <c r="AO16" s="335"/>
      <c r="AP16" s="335"/>
      <c r="AQ16" s="335"/>
    </row>
    <row r="17" spans="1:43" x14ac:dyDescent="0.2">
      <c r="A17" s="111"/>
      <c r="B17" s="111"/>
      <c r="E17" s="71"/>
      <c r="G17" s="168"/>
      <c r="H17" s="168"/>
      <c r="I17" s="336"/>
      <c r="J17" s="335"/>
      <c r="K17" s="335"/>
      <c r="L17" s="335"/>
      <c r="M17" s="335"/>
      <c r="N17" s="335"/>
      <c r="O17" s="335"/>
      <c r="P17" s="335"/>
      <c r="Q17" s="335"/>
      <c r="R17" s="335"/>
      <c r="S17" s="335"/>
      <c r="T17" s="336"/>
      <c r="U17" s="335"/>
      <c r="V17" s="335"/>
      <c r="W17" s="335"/>
      <c r="X17" s="335"/>
      <c r="Y17" s="72"/>
      <c r="Z17" s="73"/>
      <c r="AA17" s="73"/>
      <c r="AB17" s="73"/>
      <c r="AC17" s="336"/>
      <c r="AD17" s="336"/>
      <c r="AE17" s="335"/>
      <c r="AF17" s="335"/>
      <c r="AG17" s="336"/>
      <c r="AH17" s="336"/>
      <c r="AI17" s="336"/>
      <c r="AJ17" s="336"/>
      <c r="AK17" s="336"/>
      <c r="AL17" s="336"/>
      <c r="AM17" s="336"/>
      <c r="AN17" s="336"/>
      <c r="AO17" s="335"/>
      <c r="AP17" s="335"/>
      <c r="AQ17" s="335"/>
    </row>
    <row r="18" spans="1:43" x14ac:dyDescent="0.2">
      <c r="A18" s="111"/>
      <c r="B18" s="111" t="s">
        <v>64</v>
      </c>
      <c r="E18" s="71"/>
      <c r="G18" s="362" t="s">
        <v>65</v>
      </c>
      <c r="H18" s="168"/>
      <c r="I18" s="346"/>
      <c r="J18" s="343"/>
      <c r="K18" s="316">
        <v>23</v>
      </c>
      <c r="L18" s="315">
        <v>25</v>
      </c>
      <c r="M18" s="315">
        <v>28</v>
      </c>
      <c r="N18" s="315">
        <v>32</v>
      </c>
      <c r="O18" s="315">
        <v>43</v>
      </c>
      <c r="P18" s="343"/>
      <c r="Q18" s="343"/>
      <c r="R18" s="343"/>
      <c r="S18" s="343"/>
      <c r="T18" s="346"/>
      <c r="U18" s="343"/>
      <c r="V18" s="343"/>
      <c r="W18" s="343"/>
      <c r="X18" s="343"/>
      <c r="Y18" s="344"/>
      <c r="Z18" s="345"/>
      <c r="AA18" s="345"/>
      <c r="AB18" s="345"/>
      <c r="AC18" s="346"/>
      <c r="AD18" s="346"/>
      <c r="AE18" s="343"/>
      <c r="AF18" s="343"/>
      <c r="AG18" s="346"/>
      <c r="AH18" s="346"/>
      <c r="AI18" s="346"/>
      <c r="AJ18" s="315">
        <v>32</v>
      </c>
      <c r="AK18" s="315">
        <v>33</v>
      </c>
      <c r="AL18" s="346"/>
      <c r="AM18" s="346"/>
      <c r="AN18" s="346"/>
      <c r="AO18" s="335"/>
      <c r="AP18" s="335"/>
      <c r="AQ18" s="335"/>
    </row>
    <row r="19" spans="1:43" x14ac:dyDescent="0.2">
      <c r="A19" s="111"/>
      <c r="B19" s="111" t="s">
        <v>66</v>
      </c>
      <c r="E19" s="71"/>
      <c r="I19" s="346"/>
      <c r="J19" s="343"/>
      <c r="K19" s="315">
        <v>8</v>
      </c>
      <c r="L19" s="315">
        <v>9</v>
      </c>
      <c r="M19" s="315">
        <v>12</v>
      </c>
      <c r="N19" s="315">
        <v>12</v>
      </c>
      <c r="O19" s="315">
        <v>17</v>
      </c>
      <c r="P19" s="343"/>
      <c r="Q19" s="343"/>
      <c r="R19" s="343"/>
      <c r="S19" s="343"/>
      <c r="T19" s="346"/>
      <c r="U19" s="343"/>
      <c r="V19" s="343"/>
      <c r="W19" s="343"/>
      <c r="X19" s="343"/>
      <c r="Y19" s="344"/>
      <c r="Z19" s="345"/>
      <c r="AA19" s="345"/>
      <c r="AB19" s="345"/>
      <c r="AC19" s="346"/>
      <c r="AD19" s="346"/>
      <c r="AE19" s="343"/>
      <c r="AF19" s="343"/>
      <c r="AG19" s="346"/>
      <c r="AH19" s="346"/>
      <c r="AI19" s="346"/>
      <c r="AJ19" s="315">
        <v>12</v>
      </c>
      <c r="AK19" s="315">
        <v>12</v>
      </c>
      <c r="AL19" s="346"/>
      <c r="AM19" s="346"/>
      <c r="AN19" s="346"/>
      <c r="AO19" s="335"/>
      <c r="AP19" s="335"/>
      <c r="AQ19" s="335"/>
    </row>
    <row r="20" spans="1:43" x14ac:dyDescent="0.2">
      <c r="A20" s="111"/>
      <c r="B20" s="111" t="s">
        <v>67</v>
      </c>
      <c r="C20" s="111"/>
      <c r="E20" s="71"/>
      <c r="G20" s="362" t="s">
        <v>68</v>
      </c>
      <c r="I20" s="346"/>
      <c r="J20" s="343"/>
      <c r="K20" s="315"/>
      <c r="L20" s="315"/>
      <c r="M20" s="315"/>
      <c r="N20" s="315">
        <f>4813+1894</f>
        <v>6707</v>
      </c>
      <c r="O20" s="343"/>
      <c r="P20" s="343"/>
      <c r="Q20" s="343"/>
      <c r="R20" s="343"/>
      <c r="S20" s="343"/>
      <c r="T20" s="346"/>
      <c r="U20" s="343"/>
      <c r="V20" s="343"/>
      <c r="W20" s="343"/>
      <c r="X20" s="343"/>
      <c r="Y20" s="344"/>
      <c r="Z20" s="345"/>
      <c r="AA20" s="345"/>
      <c r="AB20" s="345"/>
      <c r="AC20" s="346"/>
      <c r="AD20" s="346"/>
      <c r="AE20" s="343"/>
      <c r="AF20" s="343"/>
      <c r="AG20" s="346"/>
      <c r="AH20" s="346"/>
      <c r="AI20" s="346"/>
      <c r="AJ20" s="315"/>
      <c r="AK20" s="346"/>
      <c r="AL20" s="346"/>
      <c r="AM20" s="346"/>
      <c r="AN20" s="346"/>
      <c r="AO20" s="335"/>
      <c r="AP20" s="335"/>
      <c r="AQ20" s="335"/>
    </row>
    <row r="21" spans="1:43" x14ac:dyDescent="0.2">
      <c r="A21" s="111"/>
      <c r="B21" s="111" t="s">
        <v>69</v>
      </c>
      <c r="E21" s="71"/>
      <c r="I21" s="346"/>
      <c r="J21" s="343"/>
      <c r="K21" s="315"/>
      <c r="L21" s="315">
        <v>117300</v>
      </c>
      <c r="M21" s="315">
        <v>154100</v>
      </c>
      <c r="N21" s="315">
        <f>AJ21</f>
        <v>230800</v>
      </c>
      <c r="O21" s="343"/>
      <c r="P21" s="343"/>
      <c r="Q21" s="343"/>
      <c r="R21" s="343"/>
      <c r="S21" s="343"/>
      <c r="T21" s="346"/>
      <c r="U21" s="343"/>
      <c r="V21" s="343"/>
      <c r="W21" s="343"/>
      <c r="X21" s="343"/>
      <c r="Y21" s="344"/>
      <c r="Z21" s="345"/>
      <c r="AA21" s="345"/>
      <c r="AB21" s="345"/>
      <c r="AC21" s="346"/>
      <c r="AD21" s="346"/>
      <c r="AE21" s="343"/>
      <c r="AF21" s="343"/>
      <c r="AG21" s="346"/>
      <c r="AH21" s="346"/>
      <c r="AI21" s="346"/>
      <c r="AJ21" s="315">
        <v>230800</v>
      </c>
      <c r="AK21" s="346"/>
      <c r="AL21" s="346"/>
      <c r="AM21" s="346"/>
      <c r="AN21" s="346"/>
      <c r="AO21" s="335"/>
      <c r="AP21" s="335"/>
      <c r="AQ21" s="335"/>
    </row>
    <row r="22" spans="1:43" x14ac:dyDescent="0.2">
      <c r="A22" s="111"/>
      <c r="B22" s="111" t="s">
        <v>70</v>
      </c>
      <c r="E22" s="71"/>
      <c r="I22" s="346"/>
      <c r="J22" s="343"/>
      <c r="K22" s="315"/>
      <c r="L22" s="315">
        <v>271</v>
      </c>
      <c r="M22" s="315">
        <v>515</v>
      </c>
      <c r="N22" s="315">
        <v>722</v>
      </c>
      <c r="O22" s="343"/>
      <c r="P22" s="343"/>
      <c r="Q22" s="343"/>
      <c r="R22" s="343"/>
      <c r="S22" s="343"/>
      <c r="T22" s="346"/>
      <c r="U22" s="343"/>
      <c r="V22" s="343"/>
      <c r="W22" s="343"/>
      <c r="X22" s="343"/>
      <c r="Y22" s="340"/>
      <c r="Z22" s="340"/>
      <c r="AA22" s="340"/>
      <c r="AB22" s="340"/>
      <c r="AC22" s="340"/>
      <c r="AD22" s="340"/>
      <c r="AE22" s="340"/>
      <c r="AF22" s="343"/>
      <c r="AG22" s="315">
        <v>170</v>
      </c>
      <c r="AH22" s="346"/>
      <c r="AI22" s="346"/>
      <c r="AJ22" s="315"/>
      <c r="AK22" s="315">
        <v>214</v>
      </c>
      <c r="AL22" s="346"/>
      <c r="AM22" s="346"/>
      <c r="AN22" s="346"/>
      <c r="AO22" s="335"/>
      <c r="AP22" s="335"/>
      <c r="AQ22" s="335"/>
    </row>
    <row r="23" spans="1:43" x14ac:dyDescent="0.2">
      <c r="A23" s="111"/>
      <c r="B23" s="111"/>
      <c r="E23" s="71"/>
      <c r="I23" s="336"/>
      <c r="J23" s="335"/>
      <c r="K23" s="335"/>
      <c r="L23" s="335"/>
      <c r="M23" s="335"/>
      <c r="N23" s="334"/>
      <c r="O23" s="335"/>
      <c r="P23" s="335"/>
      <c r="Q23" s="335"/>
      <c r="R23" s="335"/>
      <c r="S23" s="335"/>
      <c r="T23" s="336"/>
      <c r="U23" s="335"/>
      <c r="V23" s="335"/>
      <c r="W23" s="335"/>
      <c r="X23" s="335"/>
      <c r="Y23" s="340"/>
      <c r="Z23" s="340"/>
      <c r="AA23" s="340"/>
      <c r="AB23" s="340"/>
      <c r="AC23" s="340"/>
      <c r="AD23" s="340"/>
      <c r="AE23" s="340"/>
      <c r="AF23" s="335"/>
      <c r="AG23" s="336"/>
      <c r="AH23" s="336"/>
      <c r="AI23" s="336"/>
      <c r="AJ23" s="336"/>
      <c r="AK23" s="336"/>
      <c r="AL23" s="336"/>
      <c r="AM23" s="336"/>
      <c r="AN23" s="336"/>
      <c r="AO23" s="335"/>
      <c r="AP23" s="335"/>
      <c r="AQ23" s="335"/>
    </row>
    <row r="24" spans="1:43" x14ac:dyDescent="0.2">
      <c r="A24" s="111"/>
      <c r="B24" s="111" t="s">
        <v>71</v>
      </c>
      <c r="E24" s="71"/>
      <c r="I24" s="313"/>
      <c r="J24" s="339"/>
      <c r="K24" s="339"/>
      <c r="L24" s="339"/>
      <c r="M24" s="340">
        <v>0.65</v>
      </c>
      <c r="N24" s="340">
        <v>0.5</v>
      </c>
      <c r="O24" s="339"/>
      <c r="P24" s="339"/>
      <c r="Q24" s="339"/>
      <c r="R24" s="339"/>
      <c r="S24" s="339"/>
      <c r="T24" s="313"/>
      <c r="U24" s="339"/>
      <c r="V24" s="339"/>
      <c r="W24" s="339"/>
      <c r="X24" s="339"/>
      <c r="Y24" s="340"/>
      <c r="Z24" s="340"/>
      <c r="AA24" s="340"/>
      <c r="AB24" s="340"/>
      <c r="AC24" s="340"/>
      <c r="AD24" s="340"/>
      <c r="AE24" s="340"/>
      <c r="AF24" s="339"/>
      <c r="AG24" s="313"/>
      <c r="AH24" s="313"/>
      <c r="AI24" s="313"/>
      <c r="AJ24" s="313"/>
      <c r="AK24" s="313"/>
      <c r="AL24" s="313"/>
      <c r="AM24" s="313"/>
      <c r="AN24" s="313"/>
      <c r="AO24" s="335"/>
      <c r="AP24" s="335"/>
      <c r="AQ24" s="335"/>
    </row>
    <row r="25" spans="1:43" x14ac:dyDescent="0.2">
      <c r="A25" s="111"/>
      <c r="B25" s="111"/>
      <c r="E25" s="71"/>
      <c r="I25" s="336"/>
      <c r="J25" s="335"/>
      <c r="K25" s="335"/>
      <c r="L25" s="335"/>
      <c r="M25" s="337"/>
      <c r="N25" s="334"/>
      <c r="O25" s="335"/>
      <c r="P25" s="335"/>
      <c r="Q25" s="335"/>
      <c r="R25" s="335"/>
      <c r="S25" s="335"/>
      <c r="T25" s="336"/>
      <c r="U25" s="335"/>
      <c r="V25" s="335"/>
      <c r="W25" s="335"/>
      <c r="X25" s="335"/>
      <c r="Y25" s="340"/>
      <c r="Z25" s="340"/>
      <c r="AA25" s="340"/>
      <c r="AB25" s="340"/>
      <c r="AC25" s="340"/>
      <c r="AD25" s="340"/>
      <c r="AE25" s="340"/>
      <c r="AF25" s="335"/>
      <c r="AG25" s="336"/>
      <c r="AH25" s="336"/>
      <c r="AI25" s="336"/>
      <c r="AJ25" s="336"/>
      <c r="AK25" s="336"/>
      <c r="AL25" s="336"/>
      <c r="AM25" s="336"/>
      <c r="AN25" s="336"/>
      <c r="AO25" s="335"/>
      <c r="AP25" s="335"/>
      <c r="AQ25" s="335"/>
    </row>
    <row r="26" spans="1:43" x14ac:dyDescent="0.2">
      <c r="A26" s="111"/>
      <c r="B26" s="111" t="s">
        <v>72</v>
      </c>
      <c r="E26" s="71"/>
      <c r="G26" s="168"/>
      <c r="H26" s="168"/>
      <c r="I26" s="313"/>
      <c r="J26" s="339"/>
      <c r="K26" s="339"/>
      <c r="L26" s="339">
        <f>AVERAGE(Y26:AB26)</f>
        <v>0.26808333333333334</v>
      </c>
      <c r="M26" s="339">
        <f>AVERAGE(AC26:AF26)</f>
        <v>0.30499999999999999</v>
      </c>
      <c r="N26" s="339">
        <f>AVERAGE(AG26:AJ26)</f>
        <v>0.22958333333333333</v>
      </c>
      <c r="O26" s="335"/>
      <c r="P26" s="335"/>
      <c r="Q26" s="335"/>
      <c r="R26" s="335"/>
      <c r="S26" s="335"/>
      <c r="T26" s="313"/>
      <c r="U26" s="339"/>
      <c r="V26" s="339"/>
      <c r="W26" s="339"/>
      <c r="X26" s="339"/>
      <c r="Y26" s="340">
        <f>AVERAGE(31.6%,34.3%,30.8%)</f>
        <v>0.32233333333333336</v>
      </c>
      <c r="Z26" s="340">
        <f>AVERAGE(30.6%,25.8%,30.6%)</f>
        <v>0.29000000000000004</v>
      </c>
      <c r="AA26" s="340">
        <f>AVERAGE(26.5%,24%,24.9%)</f>
        <v>0.25133333333333335</v>
      </c>
      <c r="AB26" s="340">
        <f>AVERAGE(27.9%,10.9%,23.8%)</f>
        <v>0.20866666666666667</v>
      </c>
      <c r="AC26" s="340">
        <f>AVERAGE(26.2%,23%,14%)</f>
        <v>0.21066666666666667</v>
      </c>
      <c r="AD26" s="340">
        <f>AVERAGE(34.4%,28.1%,27%)</f>
        <v>0.29833333333333334</v>
      </c>
      <c r="AE26" s="340">
        <f>AVERAGE(37.9%,45.1%,40.4%)</f>
        <v>0.41133333333333333</v>
      </c>
      <c r="AF26" s="340">
        <f>AVERAGE(21.8%,35.7%,32.4%)</f>
        <v>0.29966666666666669</v>
      </c>
      <c r="AG26" s="340">
        <f>AVERAGE(24.6%,22.7%,27%)</f>
        <v>0.24766666666666667</v>
      </c>
      <c r="AH26" s="340">
        <f>AVERAGE(26%,23.8%,22.6%)</f>
        <v>0.24133333333333332</v>
      </c>
      <c r="AI26" s="340">
        <f>AVERAGE(19.2%,24.7%,30.1%)</f>
        <v>0.24666666666666667</v>
      </c>
      <c r="AJ26" s="340">
        <f>AVERAGE(15.5%,22.9%,16.4%)</f>
        <v>0.18266666666666667</v>
      </c>
      <c r="AK26" s="340">
        <f>AVERAGE(16.6%,17.8%,14.9%)</f>
        <v>0.16433333333333333</v>
      </c>
      <c r="AL26" s="313"/>
      <c r="AM26" s="313"/>
      <c r="AN26" s="313"/>
      <c r="AO26" s="335"/>
      <c r="AP26" s="335"/>
      <c r="AQ26" s="335"/>
    </row>
    <row r="27" spans="1:43" x14ac:dyDescent="0.2">
      <c r="A27" s="111"/>
      <c r="B27" s="111" t="s">
        <v>73</v>
      </c>
      <c r="E27" s="71"/>
      <c r="G27" s="168"/>
      <c r="H27" s="168"/>
      <c r="I27" s="346"/>
      <c r="J27" s="343"/>
      <c r="K27" s="343"/>
      <c r="L27" s="317">
        <f>AVERAGE(Y27:AB27)</f>
        <v>60.75</v>
      </c>
      <c r="M27" s="317">
        <f>AVERAGE(AC27:AF27)</f>
        <v>63.583333333333329</v>
      </c>
      <c r="N27" s="317">
        <f>AVERAGE(AG27:AJ27)</f>
        <v>70.5</v>
      </c>
      <c r="O27" s="343"/>
      <c r="P27" s="343"/>
      <c r="Q27" s="343"/>
      <c r="R27" s="343"/>
      <c r="S27" s="343"/>
      <c r="T27" s="346"/>
      <c r="U27" s="343"/>
      <c r="V27" s="343"/>
      <c r="W27" s="343"/>
      <c r="X27" s="343"/>
      <c r="Y27" s="315">
        <f>(60+55+55)/3</f>
        <v>56.666666666666664</v>
      </c>
      <c r="Z27" s="315">
        <f>(55+54+58)/3</f>
        <v>55.666666666666664</v>
      </c>
      <c r="AA27" s="315">
        <f>(59+63+59)/3</f>
        <v>60.333333333333336</v>
      </c>
      <c r="AB27" s="315">
        <f>(55+67+89)/3</f>
        <v>70.333333333333329</v>
      </c>
      <c r="AC27" s="315">
        <f>(64+58+57)/3</f>
        <v>59.666666666666664</v>
      </c>
      <c r="AD27" s="315">
        <f>(56+56+60)/3</f>
        <v>57.333333333333336</v>
      </c>
      <c r="AE27" s="315">
        <f>(60+64+61)/3</f>
        <v>61.666666666666664</v>
      </c>
      <c r="AF27" s="315">
        <f>(61+75+91)/3</f>
        <v>75.666666666666671</v>
      </c>
      <c r="AG27" s="315">
        <f>(67+62+61)/3</f>
        <v>63.333333333333336</v>
      </c>
      <c r="AH27" s="315">
        <f>(59+61+65)/3</f>
        <v>61.666666666666664</v>
      </c>
      <c r="AI27" s="315">
        <f>(75+74+68)/3</f>
        <v>72.333333333333329</v>
      </c>
      <c r="AJ27" s="315">
        <f>(69+85+100)/3</f>
        <v>84.666666666666671</v>
      </c>
      <c r="AK27" s="315">
        <f>(74+69+68)/3</f>
        <v>70.333333333333329</v>
      </c>
      <c r="AL27" s="346"/>
      <c r="AM27" s="346"/>
      <c r="AN27" s="346"/>
      <c r="AO27" s="335"/>
      <c r="AP27" s="335"/>
      <c r="AQ27" s="335"/>
    </row>
    <row r="28" spans="1:43" x14ac:dyDescent="0.2">
      <c r="A28" s="111"/>
      <c r="B28" s="111" t="s">
        <v>74</v>
      </c>
      <c r="E28" s="71"/>
      <c r="G28" s="168"/>
      <c r="H28" s="168"/>
      <c r="I28" s="336"/>
      <c r="J28" s="335"/>
      <c r="K28" s="335"/>
      <c r="L28" s="335"/>
      <c r="M28" s="335"/>
      <c r="N28" s="335"/>
      <c r="O28" s="335"/>
      <c r="P28" s="335"/>
      <c r="Q28" s="335"/>
      <c r="R28" s="335"/>
      <c r="S28" s="335"/>
      <c r="T28" s="336"/>
      <c r="U28" s="335"/>
      <c r="V28" s="335"/>
      <c r="W28" s="335"/>
      <c r="X28" s="335"/>
      <c r="Y28" s="72"/>
      <c r="Z28" s="73"/>
      <c r="AA28" s="73"/>
      <c r="AB28" s="73"/>
      <c r="AC28" s="336"/>
      <c r="AD28" s="336"/>
      <c r="AE28" s="335"/>
      <c r="AF28" s="335"/>
      <c r="AG28" s="336"/>
      <c r="AH28" s="336"/>
      <c r="AI28" s="336"/>
      <c r="AJ28" s="336"/>
      <c r="AK28" s="336"/>
      <c r="AL28" s="336"/>
      <c r="AM28" s="336"/>
      <c r="AN28" s="336"/>
      <c r="AO28" s="335"/>
      <c r="AP28" s="335"/>
      <c r="AQ28" s="335"/>
    </row>
    <row r="29" spans="1:43" x14ac:dyDescent="0.2">
      <c r="A29" s="111"/>
      <c r="B29" s="111"/>
      <c r="C29" s="17" t="s">
        <v>75</v>
      </c>
      <c r="E29" s="71"/>
      <c r="G29" s="168"/>
      <c r="H29" s="168"/>
      <c r="I29" s="346"/>
      <c r="J29" s="343"/>
      <c r="K29" s="343"/>
      <c r="L29" s="343"/>
      <c r="M29" s="343"/>
      <c r="N29" s="343"/>
      <c r="O29" s="343"/>
      <c r="P29" s="343"/>
      <c r="Q29" s="343"/>
      <c r="R29" s="343"/>
      <c r="S29" s="343"/>
      <c r="T29" s="346"/>
      <c r="U29" s="343"/>
      <c r="V29" s="343"/>
      <c r="W29" s="343"/>
      <c r="X29" s="343"/>
      <c r="Y29" s="344"/>
      <c r="Z29" s="345"/>
      <c r="AA29" s="345"/>
      <c r="AB29" s="345"/>
      <c r="AC29" s="346"/>
      <c r="AD29" s="315">
        <f>AVERAGE(92506,95010,99805)</f>
        <v>95773.666666666672</v>
      </c>
      <c r="AE29" s="315">
        <f>AVERAGE(168497,172093,95406)</f>
        <v>145332</v>
      </c>
      <c r="AF29" s="315">
        <f>AVERAGE(181119,167715,175969)</f>
        <v>174934.33333333334</v>
      </c>
      <c r="AG29" s="315">
        <f>AVERAGE(175094,174914,179966)</f>
        <v>176658</v>
      </c>
      <c r="AH29" s="315">
        <f>AVERAGE(181575,182621,178318)</f>
        <v>180838</v>
      </c>
      <c r="AI29" s="315">
        <f>AVERAGE(187612,188297,187509)</f>
        <v>187806</v>
      </c>
      <c r="AJ29" s="315">
        <f>AVERAGE(198719,192702,189830)</f>
        <v>193750.33333333334</v>
      </c>
      <c r="AK29" s="346"/>
      <c r="AL29" s="346"/>
      <c r="AM29" s="346"/>
      <c r="AN29" s="346"/>
      <c r="AO29" s="335"/>
      <c r="AP29" s="335"/>
      <c r="AQ29" s="335"/>
    </row>
    <row r="30" spans="1:43" x14ac:dyDescent="0.2">
      <c r="A30" s="111"/>
      <c r="B30" s="111"/>
      <c r="C30" s="17" t="s">
        <v>76</v>
      </c>
      <c r="E30" s="71"/>
      <c r="G30" s="168"/>
      <c r="H30" s="168"/>
      <c r="I30" s="313"/>
      <c r="J30" s="339"/>
      <c r="K30" s="339"/>
      <c r="L30" s="339"/>
      <c r="M30" s="339"/>
      <c r="N30" s="339"/>
      <c r="O30" s="339"/>
      <c r="P30" s="339"/>
      <c r="Q30" s="339"/>
      <c r="R30" s="339"/>
      <c r="S30" s="339"/>
      <c r="T30" s="313"/>
      <c r="U30" s="335"/>
      <c r="V30" s="335"/>
      <c r="W30" s="335"/>
      <c r="X30" s="335"/>
      <c r="Y30" s="340"/>
      <c r="Z30" s="340"/>
      <c r="AA30" s="340"/>
      <c r="AB30" s="340"/>
      <c r="AC30" s="340"/>
      <c r="AD30" s="340"/>
      <c r="AE30" s="340"/>
      <c r="AF30" s="340">
        <f>AVERAGE(23.3%,20.2%,19.4%)</f>
        <v>0.20966666666666667</v>
      </c>
      <c r="AG30" s="340">
        <f>AVERAGE(23.1%,23%,24.4%)</f>
        <v>0.23500000000000001</v>
      </c>
      <c r="AH30" s="340">
        <f>AVERAGE(25.1%,25.9%,25%)</f>
        <v>0.25333333333333335</v>
      </c>
      <c r="AI30" s="340">
        <f>AVERAGE(27.6%,28%,26.1%)</f>
        <v>0.27233333333333337</v>
      </c>
      <c r="AJ30" s="340">
        <f>AVERAGE(38.7%,29.9%,27.2%)</f>
        <v>0.3193333333333333</v>
      </c>
      <c r="AK30" s="313"/>
      <c r="AL30" s="313"/>
      <c r="AM30" s="313"/>
      <c r="AN30" s="313"/>
      <c r="AO30" s="335"/>
      <c r="AP30" s="335"/>
      <c r="AQ30" s="335"/>
    </row>
    <row r="31" spans="1:43" x14ac:dyDescent="0.2">
      <c r="A31" s="111"/>
      <c r="B31" s="111"/>
      <c r="E31" s="71"/>
      <c r="G31" s="168"/>
      <c r="H31" s="168"/>
      <c r="I31" s="336"/>
      <c r="J31" s="335"/>
      <c r="K31" s="335"/>
      <c r="L31" s="335"/>
      <c r="M31" s="335"/>
      <c r="N31" s="335"/>
      <c r="O31" s="335"/>
      <c r="P31" s="335"/>
      <c r="Q31" s="335"/>
      <c r="R31" s="335"/>
      <c r="S31" s="335"/>
      <c r="T31" s="336"/>
      <c r="U31" s="335"/>
      <c r="V31" s="335"/>
      <c r="W31" s="335"/>
      <c r="X31" s="335"/>
      <c r="Y31" s="72"/>
      <c r="Z31" s="73"/>
      <c r="AA31" s="73"/>
      <c r="AB31" s="73"/>
      <c r="AC31" s="336"/>
      <c r="AD31" s="336"/>
      <c r="AE31" s="335"/>
      <c r="AF31" s="335"/>
      <c r="AG31" s="336"/>
      <c r="AH31" s="336"/>
      <c r="AI31" s="336"/>
      <c r="AJ31" s="336"/>
      <c r="AK31" s="336"/>
      <c r="AL31" s="336"/>
      <c r="AM31" s="336"/>
      <c r="AN31" s="336"/>
      <c r="AO31" s="335"/>
      <c r="AP31" s="335"/>
      <c r="AQ31" s="335"/>
    </row>
    <row r="32" spans="1:43" x14ac:dyDescent="0.2">
      <c r="A32" s="111"/>
      <c r="B32" s="111"/>
      <c r="E32" s="71"/>
      <c r="I32" s="336"/>
      <c r="J32" s="335"/>
      <c r="K32" s="335"/>
      <c r="L32" s="335"/>
      <c r="M32" s="335"/>
      <c r="N32" s="335"/>
      <c r="O32" s="335"/>
      <c r="P32" s="335"/>
      <c r="Q32" s="335"/>
      <c r="R32" s="335"/>
      <c r="S32" s="335"/>
      <c r="T32" s="336"/>
      <c r="U32" s="335"/>
      <c r="V32" s="335"/>
      <c r="W32" s="335"/>
      <c r="X32" s="335"/>
      <c r="Y32" s="72"/>
      <c r="Z32" s="73"/>
      <c r="AA32" s="73"/>
      <c r="AB32" s="73"/>
      <c r="AC32" s="336"/>
      <c r="AD32" s="336"/>
      <c r="AE32" s="335"/>
      <c r="AF32" s="335"/>
      <c r="AG32" s="336"/>
      <c r="AH32" s="336"/>
      <c r="AI32" s="336"/>
      <c r="AJ32" s="336"/>
      <c r="AK32" s="336"/>
      <c r="AL32" s="336"/>
      <c r="AM32" s="336"/>
      <c r="AN32" s="336"/>
      <c r="AO32" s="335"/>
      <c r="AP32" s="335"/>
      <c r="AQ32" s="335"/>
    </row>
    <row r="33" spans="1:44" x14ac:dyDescent="0.2">
      <c r="A33" s="111"/>
      <c r="B33" s="111" t="s">
        <v>77</v>
      </c>
      <c r="E33" s="71"/>
      <c r="I33" s="336"/>
      <c r="J33" s="335"/>
      <c r="K33" s="335"/>
      <c r="L33" s="335"/>
      <c r="M33" s="335"/>
      <c r="N33" s="335"/>
      <c r="O33" s="335"/>
      <c r="P33" s="335"/>
      <c r="Q33" s="335"/>
      <c r="R33" s="335"/>
      <c r="S33" s="335"/>
      <c r="T33" s="336"/>
      <c r="U33" s="335"/>
      <c r="V33" s="335"/>
      <c r="W33" s="335"/>
      <c r="X33" s="335"/>
      <c r="Y33" s="72"/>
      <c r="Z33" s="73"/>
      <c r="AA33" s="73"/>
      <c r="AB33" s="73"/>
      <c r="AC33" s="336"/>
      <c r="AD33" s="336"/>
      <c r="AE33" s="335"/>
      <c r="AF33" s="335"/>
      <c r="AG33" s="336"/>
      <c r="AH33" s="336"/>
      <c r="AI33" s="336"/>
      <c r="AJ33" s="336"/>
      <c r="AK33" s="336"/>
      <c r="AL33" s="336"/>
      <c r="AM33" s="336"/>
      <c r="AN33" s="336"/>
      <c r="AO33" s="335"/>
      <c r="AP33" s="335"/>
      <c r="AQ33" s="335"/>
    </row>
    <row r="34" spans="1:44" x14ac:dyDescent="0.2">
      <c r="B34" s="111"/>
      <c r="C34" s="111" t="str">
        <f>'Company Data'!B121</f>
        <v>Media</v>
      </c>
      <c r="D34" s="111"/>
      <c r="I34" s="188">
        <f>'Company Data'!U121</f>
        <v>6881</v>
      </c>
      <c r="J34" s="188">
        <f>'Company Data'!V121</f>
        <v>7959</v>
      </c>
      <c r="K34" s="188">
        <f>'Company Data'!W121</f>
        <v>9189</v>
      </c>
      <c r="L34" s="188">
        <f>'Company Data'!X121</f>
        <v>10809</v>
      </c>
      <c r="M34" s="188">
        <f>'Company Data'!Y121</f>
        <v>11567</v>
      </c>
      <c r="N34" s="188">
        <f>'Company Data'!Z121</f>
        <v>12483</v>
      </c>
      <c r="O34" s="189">
        <f>SUM(AK34:AN34)</f>
        <v>13656.486307315543</v>
      </c>
      <c r="P34" s="189">
        <f t="shared" ref="P34:S34" si="0">O34*(1+P35)</f>
        <v>14811.908058409774</v>
      </c>
      <c r="Q34" s="189">
        <f t="shared" si="0"/>
        <v>15939.76776731998</v>
      </c>
      <c r="R34" s="191">
        <f t="shared" si="0"/>
        <v>17032.134772767644</v>
      </c>
      <c r="S34" s="189">
        <f t="shared" si="0"/>
        <v>18082.639905384996</v>
      </c>
      <c r="T34" s="190"/>
      <c r="U34" s="188"/>
      <c r="V34" s="188"/>
      <c r="W34" s="188"/>
      <c r="X34" s="188">
        <f>'Company Data'!F121</f>
        <v>2903</v>
      </c>
      <c r="Y34" s="188">
        <f>'Company Data'!G121</f>
        <v>2513</v>
      </c>
      <c r="Z34" s="188">
        <f>'Company Data'!H121</f>
        <v>2173</v>
      </c>
      <c r="AA34" s="188">
        <f>'Company Data'!I121</f>
        <v>2609</v>
      </c>
      <c r="AB34" s="188">
        <f>'Company Data'!J121</f>
        <v>3513</v>
      </c>
      <c r="AC34" s="188">
        <f>'Company Data'!K121</f>
        <v>2825</v>
      </c>
      <c r="AD34" s="188">
        <f>'Company Data'!L121</f>
        <v>2464</v>
      </c>
      <c r="AE34" s="188">
        <f>'Company Data'!M121</f>
        <v>2734</v>
      </c>
      <c r="AF34" s="188">
        <f>'Company Data'!N121</f>
        <v>3544</v>
      </c>
      <c r="AG34" s="188">
        <f>'Company Data'!O121</f>
        <v>2969</v>
      </c>
      <c r="AH34" s="188">
        <f>'Company Data'!P121</f>
        <v>2620</v>
      </c>
      <c r="AI34" s="188">
        <f>'Company Data'!Q121</f>
        <v>2963</v>
      </c>
      <c r="AJ34" s="188">
        <f>'Company Data'!R121</f>
        <v>3931</v>
      </c>
      <c r="AK34" s="188">
        <f>'Company Data'!S121</f>
        <v>3208</v>
      </c>
      <c r="AL34" s="189">
        <f>AH34*(1+AL35)</f>
        <v>2852.2272727272721</v>
      </c>
      <c r="AM34" s="189">
        <f>AI34*(1+AM35)</f>
        <v>3235.9991587417703</v>
      </c>
      <c r="AN34" s="189">
        <f>AJ34*(1+AN35)</f>
        <v>4360.259875846501</v>
      </c>
      <c r="AO34" s="62"/>
      <c r="AP34" s="335"/>
      <c r="AQ34" s="335"/>
    </row>
    <row r="35" spans="1:44" x14ac:dyDescent="0.2">
      <c r="B35" s="111"/>
      <c r="C35" s="111"/>
      <c r="E35" s="137" t="s">
        <v>78</v>
      </c>
      <c r="G35" s="168"/>
      <c r="H35" s="111"/>
      <c r="I35" s="265" t="s">
        <v>79</v>
      </c>
      <c r="J35" s="267">
        <f t="shared" ref="J35" si="1">IFERROR(J34/I34-1,"NA")</f>
        <v>0.15666327568667349</v>
      </c>
      <c r="K35" s="267">
        <f t="shared" ref="K35" si="2">IFERROR(K34/J34-1,"NA")</f>
        <v>0.15454202789295146</v>
      </c>
      <c r="L35" s="267">
        <f t="shared" ref="L35" si="3">IFERROR(L34/K34-1,"NA")</f>
        <v>0.17629774730656211</v>
      </c>
      <c r="M35" s="267">
        <f>IFERROR(M34/L34-1,"NA")</f>
        <v>7.0126746229993486E-2</v>
      </c>
      <c r="N35" s="267">
        <f t="shared" ref="N35" si="4">IFERROR(N34/M34-1,"NA")</f>
        <v>7.919080141782664E-2</v>
      </c>
      <c r="O35" s="267">
        <f>O34/N34-1</f>
        <v>9.4006753770371043E-2</v>
      </c>
      <c r="P35" s="268">
        <f>O35*0.9</f>
        <v>8.4606078393333936E-2</v>
      </c>
      <c r="Q35" s="268">
        <f t="shared" ref="Q35:S35" si="5">P35*0.9</f>
        <v>7.6145470554000547E-2</v>
      </c>
      <c r="R35" s="268">
        <f t="shared" si="5"/>
        <v>6.8530923498600488E-2</v>
      </c>
      <c r="S35" s="268">
        <f t="shared" si="5"/>
        <v>6.1677831148740439E-2</v>
      </c>
      <c r="T35" s="195"/>
      <c r="U35" s="265"/>
      <c r="V35" s="265"/>
      <c r="W35" s="265"/>
      <c r="X35" s="265" t="s">
        <v>79</v>
      </c>
      <c r="Y35" s="265" t="s">
        <v>79</v>
      </c>
      <c r="Z35" s="265" t="s">
        <v>79</v>
      </c>
      <c r="AA35" s="265" t="s">
        <v>79</v>
      </c>
      <c r="AB35" s="267">
        <f t="shared" ref="AB35:AK35" si="6">IF(OR(ISBLANK(X34), NOT(ISNUMBER(X34))),"NA",IF(X34&lt;0,-(AB34/X34-1),(AB34/X34-1)))</f>
        <v>0.21012745435756108</v>
      </c>
      <c r="AC35" s="267">
        <f t="shared" si="6"/>
        <v>0.12415439713489862</v>
      </c>
      <c r="AD35" s="267">
        <f t="shared" si="6"/>
        <v>0.13391624482282549</v>
      </c>
      <c r="AE35" s="267">
        <f t="shared" si="6"/>
        <v>4.7911077041011829E-2</v>
      </c>
      <c r="AF35" s="267">
        <f t="shared" si="6"/>
        <v>8.8243666382010755E-3</v>
      </c>
      <c r="AG35" s="267">
        <f t="shared" si="6"/>
        <v>5.0973451327433583E-2</v>
      </c>
      <c r="AH35" s="267">
        <f t="shared" si="6"/>
        <v>6.3311688311688208E-2</v>
      </c>
      <c r="AI35" s="267">
        <f t="shared" si="6"/>
        <v>8.376005852231172E-2</v>
      </c>
      <c r="AJ35" s="267">
        <f t="shared" si="6"/>
        <v>0.10919864559819414</v>
      </c>
      <c r="AK35" s="267">
        <f t="shared" si="6"/>
        <v>8.0498484338161092E-2</v>
      </c>
      <c r="AL35" s="268">
        <f>AH35*1.4</f>
        <v>8.8636363636363485E-2</v>
      </c>
      <c r="AM35" s="268">
        <f>AI35*1.1</f>
        <v>9.21360643745429E-2</v>
      </c>
      <c r="AN35" s="268">
        <f>AJ35</f>
        <v>0.10919864559819414</v>
      </c>
      <c r="AO35" s="335"/>
      <c r="AP35" s="335"/>
      <c r="AQ35" s="335"/>
    </row>
    <row r="36" spans="1:44" x14ac:dyDescent="0.2">
      <c r="B36" s="111"/>
      <c r="C36" s="111"/>
      <c r="E36" s="137" t="s">
        <v>80</v>
      </c>
      <c r="G36" s="168"/>
      <c r="H36" s="168"/>
      <c r="I36" s="265" t="s">
        <v>79</v>
      </c>
      <c r="J36" s="244">
        <f>IFERROR(J34-I34,"NA ")</f>
        <v>1078</v>
      </c>
      <c r="K36" s="244">
        <f t="shared" ref="K36:S36" si="7">IFERROR(K34-J34,"NA ")</f>
        <v>1230</v>
      </c>
      <c r="L36" s="244">
        <f t="shared" si="7"/>
        <v>1620</v>
      </c>
      <c r="M36" s="244">
        <f t="shared" si="7"/>
        <v>758</v>
      </c>
      <c r="N36" s="244">
        <f t="shared" si="7"/>
        <v>916</v>
      </c>
      <c r="O36" s="244">
        <f t="shared" si="7"/>
        <v>1173.4863073155429</v>
      </c>
      <c r="P36" s="244">
        <f t="shared" si="7"/>
        <v>1155.4217510942308</v>
      </c>
      <c r="Q36" s="244">
        <f t="shared" si="7"/>
        <v>1127.8597089102059</v>
      </c>
      <c r="R36" s="244">
        <f t="shared" si="7"/>
        <v>1092.3670054476643</v>
      </c>
      <c r="S36" s="244">
        <f t="shared" si="7"/>
        <v>1050.5051326173525</v>
      </c>
      <c r="T36" s="195"/>
      <c r="U36" s="265"/>
      <c r="V36" s="265"/>
      <c r="W36" s="265"/>
      <c r="X36" s="265" t="s">
        <v>79</v>
      </c>
      <c r="Y36" s="265" t="s">
        <v>79</v>
      </c>
      <c r="Z36" s="265" t="s">
        <v>79</v>
      </c>
      <c r="AA36" s="265" t="s">
        <v>79</v>
      </c>
      <c r="AB36" s="266">
        <f>AB34-X34</f>
        <v>610</v>
      </c>
      <c r="AC36" s="266">
        <f t="shared" ref="AC36:AN36" si="8">AC34-Y34</f>
        <v>312</v>
      </c>
      <c r="AD36" s="266">
        <f t="shared" si="8"/>
        <v>291</v>
      </c>
      <c r="AE36" s="266">
        <f t="shared" si="8"/>
        <v>125</v>
      </c>
      <c r="AF36" s="266">
        <f t="shared" si="8"/>
        <v>31</v>
      </c>
      <c r="AG36" s="266">
        <f t="shared" si="8"/>
        <v>144</v>
      </c>
      <c r="AH36" s="266">
        <f t="shared" si="8"/>
        <v>156</v>
      </c>
      <c r="AI36" s="266">
        <f t="shared" si="8"/>
        <v>229</v>
      </c>
      <c r="AJ36" s="266">
        <f t="shared" si="8"/>
        <v>387</v>
      </c>
      <c r="AK36" s="266">
        <f t="shared" si="8"/>
        <v>239</v>
      </c>
      <c r="AL36" s="266">
        <f t="shared" si="8"/>
        <v>232.22727272727207</v>
      </c>
      <c r="AM36" s="266">
        <f t="shared" si="8"/>
        <v>272.99915874177032</v>
      </c>
      <c r="AN36" s="266">
        <f t="shared" si="8"/>
        <v>429.25987584650102</v>
      </c>
      <c r="AO36" s="335"/>
      <c r="AP36" s="108">
        <f>AK35/AG35</f>
        <v>1.5792237378840646</v>
      </c>
      <c r="AQ36" s="335"/>
    </row>
    <row r="37" spans="1:44" x14ac:dyDescent="0.2">
      <c r="B37" s="111"/>
      <c r="C37" s="111" t="str">
        <f>'Company Data'!B122</f>
        <v>Electronics and other general merchandise</v>
      </c>
      <c r="I37" s="337">
        <f>'Company Data'!U122</f>
        <v>10998</v>
      </c>
      <c r="J37" s="337">
        <f>'Company Data'!V122</f>
        <v>17315</v>
      </c>
      <c r="K37" s="337">
        <f>'Company Data'!W122</f>
        <v>23273</v>
      </c>
      <c r="L37" s="337">
        <f>'Company Data'!X122</f>
        <v>29985</v>
      </c>
      <c r="M37" s="337">
        <f>'Company Data'!Y122</f>
        <v>38517</v>
      </c>
      <c r="N37" s="337">
        <f>'Company Data'!Z122</f>
        <v>50401</v>
      </c>
      <c r="O37" s="187">
        <f>SUM(AK37:AN37)</f>
        <v>65647</v>
      </c>
      <c r="P37" s="187">
        <f t="shared" ref="P37:S37" si="9">O37*(1+P38)</f>
        <v>83519.041146009011</v>
      </c>
      <c r="Q37" s="187">
        <f t="shared" si="9"/>
        <v>103982.888174099</v>
      </c>
      <c r="R37" s="161">
        <f t="shared" si="9"/>
        <v>126912.99966894211</v>
      </c>
      <c r="S37" s="187">
        <f t="shared" si="9"/>
        <v>152100.95468047482</v>
      </c>
      <c r="T37" s="169"/>
      <c r="U37" s="337"/>
      <c r="V37" s="337"/>
      <c r="W37" s="337"/>
      <c r="X37" s="337">
        <f>'Company Data'!F122</f>
        <v>8503</v>
      </c>
      <c r="Y37" s="337">
        <f>'Company Data'!G122</f>
        <v>6128</v>
      </c>
      <c r="Z37" s="337">
        <f>'Company Data'!H122</f>
        <v>6478</v>
      </c>
      <c r="AA37" s="337">
        <f>'Company Data'!I122</f>
        <v>6732</v>
      </c>
      <c r="AB37" s="337">
        <f>'Company Data'!J122</f>
        <v>10648</v>
      </c>
      <c r="AC37" s="337">
        <f>'Company Data'!K122</f>
        <v>7829</v>
      </c>
      <c r="AD37" s="337">
        <f>'Company Data'!L122</f>
        <v>8366</v>
      </c>
      <c r="AE37" s="337">
        <f>'Company Data'!M122</f>
        <v>8793</v>
      </c>
      <c r="AF37" s="337">
        <f>'Company Data'!N122</f>
        <v>13529</v>
      </c>
      <c r="AG37" s="337">
        <f>'Company Data'!O122</f>
        <v>10250</v>
      </c>
      <c r="AH37" s="337">
        <f>'Company Data'!P122</f>
        <v>10987</v>
      </c>
      <c r="AI37" s="337">
        <f>'Company Data'!Q122</f>
        <v>11840</v>
      </c>
      <c r="AJ37" s="337">
        <f>'Company Data'!R122</f>
        <v>17325</v>
      </c>
      <c r="AK37" s="337">
        <f>'Company Data'!S122</f>
        <v>13511</v>
      </c>
      <c r="AL37" s="187">
        <f>AL39+AH37</f>
        <v>14448</v>
      </c>
      <c r="AM37" s="187">
        <f t="shared" ref="AM37:AN37" si="10">AM39+AI37</f>
        <v>15727</v>
      </c>
      <c r="AN37" s="187">
        <f t="shared" si="10"/>
        <v>21961</v>
      </c>
      <c r="AO37" s="335"/>
      <c r="AP37" s="335"/>
      <c r="AQ37" s="335"/>
    </row>
    <row r="38" spans="1:44" x14ac:dyDescent="0.2">
      <c r="B38" s="111"/>
      <c r="C38" s="111"/>
      <c r="E38" s="137" t="s">
        <v>78</v>
      </c>
      <c r="G38" s="168"/>
      <c r="H38" s="168"/>
      <c r="I38" s="265" t="s">
        <v>79</v>
      </c>
      <c r="J38" s="195">
        <f t="shared" ref="J38" si="11">IFERROR(J37/I37-1,"NA")</f>
        <v>0.57437715948354251</v>
      </c>
      <c r="K38" s="195">
        <f t="shared" ref="K38" si="12">IFERROR(K37/J37-1,"NA")</f>
        <v>0.34409471556453952</v>
      </c>
      <c r="L38" s="195">
        <f t="shared" ref="L38" si="13">IFERROR(L37/K37-1,"NA")</f>
        <v>0.28840287027886391</v>
      </c>
      <c r="M38" s="195">
        <f>IFERROR(M37/L37-1,"NA")</f>
        <v>0.28454227113556785</v>
      </c>
      <c r="N38" s="195">
        <f t="shared" ref="N38" si="14">IFERROR(N37/M37-1,"NA")</f>
        <v>0.30853908663706942</v>
      </c>
      <c r="O38" s="195">
        <f>O37/N37-1</f>
        <v>0.3024939981349577</v>
      </c>
      <c r="P38" s="201">
        <f>O38*0.9</f>
        <v>0.27224459832146192</v>
      </c>
      <c r="Q38" s="201">
        <f>P38*0.9</f>
        <v>0.24502013848931573</v>
      </c>
      <c r="R38" s="201">
        <f>Q38*0.9</f>
        <v>0.22051812464038414</v>
      </c>
      <c r="S38" s="201">
        <f>R38*0.9</f>
        <v>0.19846631217634572</v>
      </c>
      <c r="T38" s="195"/>
      <c r="U38" s="265"/>
      <c r="V38" s="265"/>
      <c r="W38" s="265"/>
      <c r="X38" s="265" t="s">
        <v>79</v>
      </c>
      <c r="Y38" s="265" t="s">
        <v>79</v>
      </c>
      <c r="Z38" s="265" t="s">
        <v>79</v>
      </c>
      <c r="AA38" s="265" t="s">
        <v>79</v>
      </c>
      <c r="AB38" s="195">
        <f t="shared" ref="AB38:AK38" si="15">IF(OR(ISBLANK(X37), NOT(ISNUMBER(X37))),"NA",IF(X37&lt;0,-(AB37/X37-1),(AB37/X37-1)))</f>
        <v>0.25226390685640365</v>
      </c>
      <c r="AC38" s="195">
        <f t="shared" si="15"/>
        <v>0.2775783289817233</v>
      </c>
      <c r="AD38" s="195">
        <f t="shared" si="15"/>
        <v>0.29144797777091691</v>
      </c>
      <c r="AE38" s="195">
        <f t="shared" si="15"/>
        <v>0.30614973262032086</v>
      </c>
      <c r="AF38" s="195">
        <f t="shared" si="15"/>
        <v>0.2705672426746808</v>
      </c>
      <c r="AG38" s="195">
        <f t="shared" si="15"/>
        <v>0.30923489589985942</v>
      </c>
      <c r="AH38" s="195">
        <f t="shared" si="15"/>
        <v>0.31329189576858707</v>
      </c>
      <c r="AI38" s="195">
        <f t="shared" si="15"/>
        <v>0.34652564539974984</v>
      </c>
      <c r="AJ38" s="195">
        <f t="shared" si="15"/>
        <v>0.28058245250942426</v>
      </c>
      <c r="AK38" s="195">
        <f t="shared" si="15"/>
        <v>0.31814634146341469</v>
      </c>
      <c r="AL38" s="195">
        <f t="shared" ref="AL38" si="16">IF(OR(ISBLANK(AH37), NOT(ISNUMBER(AH37))),"NA",IF(AH37&lt;0,-(AL37/AH37-1),(AL37/AH37-1)))</f>
        <v>0.31500864658232453</v>
      </c>
      <c r="AM38" s="195">
        <f t="shared" ref="AM38" si="17">IF(OR(ISBLANK(AI37), NOT(ISNUMBER(AI37))),"NA",IF(AI37&lt;0,-(AM37/AI37-1),(AM37/AI37-1)))</f>
        <v>0.3282939189189189</v>
      </c>
      <c r="AN38" s="195">
        <f t="shared" ref="AN38" si="18">IF(OR(ISBLANK(AJ37), NOT(ISNUMBER(AJ37))),"NA",IF(AJ37&lt;0,-(AN37/AJ37-1),(AN37/AJ37-1)))</f>
        <v>0.2675901875901876</v>
      </c>
      <c r="AO38" s="335"/>
      <c r="AP38" s="335"/>
      <c r="AQ38" s="335"/>
    </row>
    <row r="39" spans="1:44" x14ac:dyDescent="0.2">
      <c r="B39" s="111"/>
      <c r="C39" s="111"/>
      <c r="E39" s="137" t="s">
        <v>80</v>
      </c>
      <c r="G39" s="168"/>
      <c r="H39" s="168"/>
      <c r="I39" s="265" t="s">
        <v>79</v>
      </c>
      <c r="J39" s="244">
        <f>IFERROR(J37-I37,"NA ")</f>
        <v>6317</v>
      </c>
      <c r="K39" s="244">
        <f t="shared" ref="K39" si="19">IFERROR(K37-J37,"NA ")</f>
        <v>5958</v>
      </c>
      <c r="L39" s="244">
        <f t="shared" ref="L39" si="20">IFERROR(L37-K37,"NA ")</f>
        <v>6712</v>
      </c>
      <c r="M39" s="244">
        <f t="shared" ref="M39" si="21">IFERROR(M37-L37,"NA ")</f>
        <v>8532</v>
      </c>
      <c r="N39" s="244">
        <f t="shared" ref="N39" si="22">IFERROR(N37-M37,"NA ")</f>
        <v>11884</v>
      </c>
      <c r="O39" s="244">
        <f t="shared" ref="O39" si="23">IFERROR(O37-N37,"NA ")</f>
        <v>15246</v>
      </c>
      <c r="P39" s="244">
        <f t="shared" ref="P39" si="24">IFERROR(P37-O37,"NA ")</f>
        <v>17872.041146009011</v>
      </c>
      <c r="Q39" s="244">
        <f t="shared" ref="Q39" si="25">IFERROR(Q37-P37,"NA ")</f>
        <v>20463.847028089993</v>
      </c>
      <c r="R39" s="244">
        <f t="shared" ref="R39" si="26">IFERROR(R37-Q37,"NA ")</f>
        <v>22930.111494843106</v>
      </c>
      <c r="S39" s="244">
        <f t="shared" ref="S39" si="27">IFERROR(S37-R37,"NA ")</f>
        <v>25187.955011532715</v>
      </c>
      <c r="T39" s="195"/>
      <c r="U39" s="265"/>
      <c r="V39" s="265"/>
      <c r="W39" s="265"/>
      <c r="X39" s="265" t="s">
        <v>79</v>
      </c>
      <c r="Y39" s="265" t="s">
        <v>79</v>
      </c>
      <c r="Z39" s="265" t="s">
        <v>79</v>
      </c>
      <c r="AA39" s="265" t="s">
        <v>79</v>
      </c>
      <c r="AB39" s="266">
        <f>AB37-X37</f>
        <v>2145</v>
      </c>
      <c r="AC39" s="266">
        <f t="shared" ref="AC39" si="28">AC37-Y37</f>
        <v>1701</v>
      </c>
      <c r="AD39" s="266">
        <f t="shared" ref="AD39" si="29">AD37-Z37</f>
        <v>1888</v>
      </c>
      <c r="AE39" s="266">
        <f t="shared" ref="AE39" si="30">AE37-AA37</f>
        <v>2061</v>
      </c>
      <c r="AF39" s="266">
        <f t="shared" ref="AF39" si="31">AF37-AB37</f>
        <v>2881</v>
      </c>
      <c r="AG39" s="266">
        <f t="shared" ref="AG39" si="32">AG37-AC37</f>
        <v>2421</v>
      </c>
      <c r="AH39" s="266">
        <f t="shared" ref="AH39" si="33">AH37-AD37</f>
        <v>2621</v>
      </c>
      <c r="AI39" s="266">
        <f t="shared" ref="AI39" si="34">AI37-AE37</f>
        <v>3047</v>
      </c>
      <c r="AJ39" s="266">
        <f t="shared" ref="AJ39:AK39" si="35">AJ37-AF37</f>
        <v>3796</v>
      </c>
      <c r="AK39" s="266">
        <f t="shared" si="35"/>
        <v>3261</v>
      </c>
      <c r="AL39" s="337">
        <f>AH39+(AK39-AG39)</f>
        <v>3461</v>
      </c>
      <c r="AM39" s="337">
        <f t="shared" ref="AM39:AN39" si="36">AI39+(AL39-AH39)</f>
        <v>3887</v>
      </c>
      <c r="AN39" s="337">
        <f t="shared" si="36"/>
        <v>4636</v>
      </c>
      <c r="AO39" s="335"/>
      <c r="AP39" s="335"/>
      <c r="AQ39" s="335"/>
    </row>
    <row r="40" spans="1:44" x14ac:dyDescent="0.2">
      <c r="B40" s="111"/>
      <c r="C40" s="111" t="str">
        <f>'Company Data'!B123</f>
        <v>Other</v>
      </c>
      <c r="I40" s="337">
        <f>'Company Data'!U123</f>
        <v>828</v>
      </c>
      <c r="J40" s="337">
        <f>'Company Data'!V123</f>
        <v>1431</v>
      </c>
      <c r="K40" s="337">
        <f>'Company Data'!W123</f>
        <v>2351</v>
      </c>
      <c r="L40" s="337">
        <f>'Company Data'!X123</f>
        <v>616</v>
      </c>
      <c r="M40" s="337">
        <f>'Company Data'!Y123</f>
        <v>750</v>
      </c>
      <c r="N40" s="337">
        <f>'Company Data'!Z123</f>
        <v>824</v>
      </c>
      <c r="O40" s="187">
        <f>SUM(AK40:AN40)</f>
        <v>1039.6388932806594</v>
      </c>
      <c r="P40" s="187">
        <f t="shared" ref="P40" si="37">O40*(1+P41)</f>
        <v>1311.7099859488283</v>
      </c>
      <c r="Q40" s="187">
        <f t="shared" ref="Q40" si="38">P40*(1+Q41)</f>
        <v>1654.9814540012489</v>
      </c>
      <c r="R40" s="161">
        <f t="shared" ref="R40" si="39">Q40*(1+R41)</f>
        <v>2088.0862709197513</v>
      </c>
      <c r="S40" s="187">
        <f t="shared" ref="S40" si="40">R40*(1+S41)</f>
        <v>2634.5336162300359</v>
      </c>
      <c r="T40" s="169"/>
      <c r="U40" s="337"/>
      <c r="V40" s="337"/>
      <c r="W40" s="337"/>
      <c r="X40" s="337">
        <f>'Company Data'!F123</f>
        <v>769</v>
      </c>
      <c r="Y40" s="337">
        <f>'Company Data'!G123</f>
        <v>750</v>
      </c>
      <c r="Z40" s="337">
        <f>'Company Data'!H123</f>
        <v>844</v>
      </c>
      <c r="AA40" s="337">
        <f>'Company Data'!I123</f>
        <v>960</v>
      </c>
      <c r="AB40" s="337">
        <f>'Company Data'!J123</f>
        <v>1170</v>
      </c>
      <c r="AC40" s="337">
        <f>'Company Data'!K123</f>
        <v>154</v>
      </c>
      <c r="AD40" s="337">
        <f>'Company Data'!L123</f>
        <v>164</v>
      </c>
      <c r="AE40" s="337">
        <f>'Company Data'!M123</f>
        <v>172</v>
      </c>
      <c r="AF40" s="337">
        <f>'Company Data'!N123</f>
        <v>260</v>
      </c>
      <c r="AG40" s="337">
        <f>'Company Data'!O123</f>
        <v>187</v>
      </c>
      <c r="AH40" s="337">
        <f>'Company Data'!P123</f>
        <v>189</v>
      </c>
      <c r="AI40" s="337">
        <f>'Company Data'!Q123</f>
        <v>203</v>
      </c>
      <c r="AJ40" s="337">
        <f>'Company Data'!R123</f>
        <v>245</v>
      </c>
      <c r="AK40" s="337">
        <f>'Company Data'!S123</f>
        <v>277</v>
      </c>
      <c r="AL40" s="187">
        <f>AH40*(1+AL41)</f>
        <v>224.73341244730045</v>
      </c>
      <c r="AM40" s="187">
        <f>AI40*(1+AM41)</f>
        <v>243.23913437199664</v>
      </c>
      <c r="AN40" s="187">
        <f>AJ40*(1+AN41)</f>
        <v>294.66634646136225</v>
      </c>
      <c r="AO40" s="159"/>
      <c r="AP40" s="159"/>
      <c r="AQ40" s="160"/>
      <c r="AR40" s="159"/>
    </row>
    <row r="41" spans="1:44" x14ac:dyDescent="0.2">
      <c r="B41" s="111"/>
      <c r="C41" s="111"/>
      <c r="E41" s="137" t="s">
        <v>78</v>
      </c>
      <c r="G41" s="177"/>
      <c r="H41" s="177"/>
      <c r="I41" s="265" t="s">
        <v>79</v>
      </c>
      <c r="J41" s="195">
        <f t="shared" ref="J41" si="41">IFERROR(J40/I40-1,"NA")</f>
        <v>0.72826086956521729</v>
      </c>
      <c r="K41" s="195">
        <f t="shared" ref="K41" si="42">IFERROR(K40/J40-1,"NA")</f>
        <v>0.64290705800139758</v>
      </c>
      <c r="L41" s="195">
        <f t="shared" ref="L41" si="43">IFERROR(L40/K40-1,"NA")</f>
        <v>-0.7379838366652488</v>
      </c>
      <c r="M41" s="195">
        <f>IFERROR(M40/L40-1,"NA")</f>
        <v>0.21753246753246747</v>
      </c>
      <c r="N41" s="195">
        <f t="shared" ref="N41" si="44">IFERROR(N40/M40-1,"NA")</f>
        <v>9.866666666666668E-2</v>
      </c>
      <c r="O41" s="195">
        <f>O40/N40-1</f>
        <v>0.26169768602021781</v>
      </c>
      <c r="P41" s="194">
        <f>O41</f>
        <v>0.26169768602021781</v>
      </c>
      <c r="Q41" s="194">
        <f t="shared" ref="Q41:S41" si="45">P41</f>
        <v>0.26169768602021781</v>
      </c>
      <c r="R41" s="194">
        <f t="shared" si="45"/>
        <v>0.26169768602021781</v>
      </c>
      <c r="S41" s="194">
        <f t="shared" si="45"/>
        <v>0.26169768602021781</v>
      </c>
      <c r="T41" s="195"/>
      <c r="U41" s="265"/>
      <c r="V41" s="265"/>
      <c r="W41" s="265"/>
      <c r="X41" s="265" t="s">
        <v>79</v>
      </c>
      <c r="Y41" s="265" t="s">
        <v>79</v>
      </c>
      <c r="Z41" s="265" t="s">
        <v>79</v>
      </c>
      <c r="AA41" s="265" t="s">
        <v>79</v>
      </c>
      <c r="AB41" s="267">
        <f t="shared" ref="AB41" si="46">IFERROR(AB40/X40-1,"NA")</f>
        <v>0.52145643693107924</v>
      </c>
      <c r="AC41" s="267">
        <f t="shared" ref="AC41" si="47">IFERROR(AC40/Y40-1,"NA")</f>
        <v>-0.79466666666666663</v>
      </c>
      <c r="AD41" s="267">
        <f t="shared" ref="AD41" si="48">IFERROR(AD40/Z40-1,"NA")</f>
        <v>-0.80568720379146919</v>
      </c>
      <c r="AE41" s="267">
        <f t="shared" ref="AE41" si="49">IFERROR(AE40/AA40-1,"NA")</f>
        <v>-0.8208333333333333</v>
      </c>
      <c r="AF41" s="267">
        <f t="shared" ref="AF41" si="50">IFERROR(AF40/AB40-1,"NA")</f>
        <v>-0.77777777777777779</v>
      </c>
      <c r="AG41" s="267">
        <f t="shared" ref="AG41" si="51">IFERROR(AG40/AC40-1,"NA")</f>
        <v>0.21428571428571419</v>
      </c>
      <c r="AH41" s="267">
        <f t="shared" ref="AH41" si="52">IFERROR(AH40/AD40-1,"NA")</f>
        <v>0.15243902439024382</v>
      </c>
      <c r="AI41" s="267">
        <f t="shared" ref="AI41" si="53">IFERROR(AI40/AE40-1,"NA")</f>
        <v>0.18023255813953498</v>
      </c>
      <c r="AJ41" s="267">
        <f>IFERROR(AJ40/AF40-1,"NA")</f>
        <v>-5.7692307692307709E-2</v>
      </c>
      <c r="AK41" s="267">
        <f>IFERROR(AK40/AG40-1,"NA")</f>
        <v>0.48128342245989297</v>
      </c>
      <c r="AL41" s="269">
        <f>AVERAGE(AH41:AK41)</f>
        <v>0.18906567432434102</v>
      </c>
      <c r="AM41" s="269">
        <f t="shared" ref="AM41:AN41" si="54">AVERAGE(AI41:AL41)</f>
        <v>0.19822233680786533</v>
      </c>
      <c r="AN41" s="269">
        <f t="shared" si="54"/>
        <v>0.2027197814749479</v>
      </c>
      <c r="AO41" s="335"/>
      <c r="AP41" s="335"/>
      <c r="AQ41" s="335"/>
    </row>
    <row r="42" spans="1:44" x14ac:dyDescent="0.2">
      <c r="B42" s="111"/>
      <c r="C42" s="111"/>
      <c r="E42" s="137" t="s">
        <v>80</v>
      </c>
      <c r="G42" s="168"/>
      <c r="H42" s="168"/>
      <c r="I42" s="265" t="s">
        <v>79</v>
      </c>
      <c r="J42" s="244">
        <f>IFERROR(J40-I40,"NA ")</f>
        <v>603</v>
      </c>
      <c r="K42" s="244">
        <f t="shared" ref="K42" si="55">IFERROR(K40-J40,"NA ")</f>
        <v>920</v>
      </c>
      <c r="L42" s="244">
        <f t="shared" ref="L42" si="56">IFERROR(L40-K40,"NA ")</f>
        <v>-1735</v>
      </c>
      <c r="M42" s="244">
        <f t="shared" ref="M42" si="57">IFERROR(M40-L40,"NA ")</f>
        <v>134</v>
      </c>
      <c r="N42" s="244">
        <f t="shared" ref="N42" si="58">IFERROR(N40-M40,"NA ")</f>
        <v>74</v>
      </c>
      <c r="O42" s="244">
        <f t="shared" ref="O42" si="59">IFERROR(O40-N40,"NA ")</f>
        <v>215.63889328065943</v>
      </c>
      <c r="P42" s="244">
        <f t="shared" ref="P42" si="60">IFERROR(P40-O40,"NA ")</f>
        <v>272.07109266816883</v>
      </c>
      <c r="Q42" s="244">
        <f t="shared" ref="Q42" si="61">IFERROR(Q40-P40,"NA ")</f>
        <v>343.27146805242069</v>
      </c>
      <c r="R42" s="244">
        <f t="shared" ref="R42" si="62">IFERROR(R40-Q40,"NA ")</f>
        <v>433.10481691850237</v>
      </c>
      <c r="S42" s="244">
        <f t="shared" ref="S42" si="63">IFERROR(S40-R40,"NA ")</f>
        <v>546.44734531028462</v>
      </c>
      <c r="T42" s="195"/>
      <c r="U42" s="265"/>
      <c r="V42" s="265"/>
      <c r="W42" s="265"/>
      <c r="X42" s="265" t="s">
        <v>79</v>
      </c>
      <c r="Y42" s="265" t="s">
        <v>79</v>
      </c>
      <c r="Z42" s="265" t="s">
        <v>79</v>
      </c>
      <c r="AA42" s="265" t="s">
        <v>79</v>
      </c>
      <c r="AB42" s="266">
        <f>AB40-X40</f>
        <v>401</v>
      </c>
      <c r="AC42" s="266">
        <f t="shared" ref="AC42" si="64">AC40-Y40</f>
        <v>-596</v>
      </c>
      <c r="AD42" s="266">
        <f t="shared" ref="AD42" si="65">AD40-Z40</f>
        <v>-680</v>
      </c>
      <c r="AE42" s="266">
        <f t="shared" ref="AE42" si="66">AE40-AA40</f>
        <v>-788</v>
      </c>
      <c r="AF42" s="266">
        <f t="shared" ref="AF42" si="67">AF40-AB40</f>
        <v>-910</v>
      </c>
      <c r="AG42" s="266">
        <f t="shared" ref="AG42" si="68">AG40-AC40</f>
        <v>33</v>
      </c>
      <c r="AH42" s="266">
        <f t="shared" ref="AH42" si="69">AH40-AD40</f>
        <v>25</v>
      </c>
      <c r="AI42" s="266">
        <f t="shared" ref="AI42" si="70">AI40-AE40</f>
        <v>31</v>
      </c>
      <c r="AJ42" s="266">
        <f t="shared" ref="AJ42:AK42" si="71">AJ40-AF40</f>
        <v>-15</v>
      </c>
      <c r="AK42" s="266">
        <f t="shared" si="71"/>
        <v>90</v>
      </c>
      <c r="AL42" s="266">
        <f t="shared" ref="AL42" si="72">AL40-AH40</f>
        <v>35.733412447300452</v>
      </c>
      <c r="AM42" s="266">
        <f t="shared" ref="AM42" si="73">AM40-AI40</f>
        <v>40.239134371996641</v>
      </c>
      <c r="AN42" s="266">
        <f t="shared" ref="AN42" si="74">AN40-AJ40</f>
        <v>49.666346461362252</v>
      </c>
      <c r="AO42" s="335"/>
      <c r="AP42" s="335"/>
      <c r="AQ42" s="335"/>
    </row>
    <row r="43" spans="1:44" x14ac:dyDescent="0.2">
      <c r="B43" s="111" t="s">
        <v>81</v>
      </c>
      <c r="C43" s="111"/>
      <c r="G43" s="368" t="s">
        <v>318</v>
      </c>
      <c r="I43" s="188">
        <f>'Company Data'!U124</f>
        <v>18707</v>
      </c>
      <c r="J43" s="188">
        <f>'Company Data'!V124</f>
        <v>26705</v>
      </c>
      <c r="K43" s="188">
        <f>'Company Data'!W124</f>
        <v>34813</v>
      </c>
      <c r="L43" s="188">
        <f>'Company Data'!X124</f>
        <v>41410</v>
      </c>
      <c r="M43" s="188">
        <f>'Company Data'!Y124</f>
        <v>50834</v>
      </c>
      <c r="N43" s="188">
        <f>'Company Data'!Z124</f>
        <v>63708</v>
      </c>
      <c r="O43" s="192">
        <f>O34+O37+O40</f>
        <v>80343.125200596201</v>
      </c>
      <c r="P43" s="192">
        <f t="shared" ref="P43:S43" si="75">P34+P37+P40</f>
        <v>99642.659190367602</v>
      </c>
      <c r="Q43" s="192">
        <f t="shared" si="75"/>
        <v>121577.63739542023</v>
      </c>
      <c r="R43" s="193">
        <f t="shared" si="75"/>
        <v>146033.2207126295</v>
      </c>
      <c r="S43" s="192">
        <f t="shared" si="75"/>
        <v>172818.12820208987</v>
      </c>
      <c r="T43" s="192"/>
      <c r="U43" s="188">
        <v>7427</v>
      </c>
      <c r="V43" s="188">
        <v>7326</v>
      </c>
      <c r="W43" s="188">
        <v>7884</v>
      </c>
      <c r="X43" s="188">
        <f>'Company Data'!F124</f>
        <v>12175</v>
      </c>
      <c r="Y43" s="188">
        <f>'Company Data'!G124</f>
        <v>9391</v>
      </c>
      <c r="Z43" s="188">
        <f>'Company Data'!H124</f>
        <v>9495</v>
      </c>
      <c r="AA43" s="188">
        <f>'Company Data'!I124</f>
        <v>10301</v>
      </c>
      <c r="AB43" s="188">
        <f>'Company Data'!J124</f>
        <v>15331</v>
      </c>
      <c r="AC43" s="188">
        <f>'Company Data'!K124</f>
        <v>10808</v>
      </c>
      <c r="AD43" s="188">
        <f>'Company Data'!L124</f>
        <v>10994</v>
      </c>
      <c r="AE43" s="188">
        <f>'Company Data'!M124</f>
        <v>11699</v>
      </c>
      <c r="AF43" s="188">
        <f>'Company Data'!N124</f>
        <v>17333</v>
      </c>
      <c r="AG43" s="188">
        <f>'Company Data'!O124</f>
        <v>13406</v>
      </c>
      <c r="AH43" s="188">
        <f>'Company Data'!P124</f>
        <v>13796</v>
      </c>
      <c r="AI43" s="188">
        <f>'Company Data'!Q124</f>
        <v>15006</v>
      </c>
      <c r="AJ43" s="188">
        <f>'Company Data'!R124</f>
        <v>21501</v>
      </c>
      <c r="AK43" s="188">
        <f>'Company Data'!S124</f>
        <v>16996</v>
      </c>
      <c r="AL43" s="192">
        <f t="shared" ref="AL43:AN43" si="76">AL34+AL37+AL40</f>
        <v>17524.960685174574</v>
      </c>
      <c r="AM43" s="192">
        <f t="shared" si="76"/>
        <v>19206.238293113769</v>
      </c>
      <c r="AN43" s="192">
        <f t="shared" si="76"/>
        <v>26615.926222307866</v>
      </c>
      <c r="AO43" s="335"/>
      <c r="AP43" s="335"/>
      <c r="AQ43" s="335"/>
    </row>
    <row r="44" spans="1:44" x14ac:dyDescent="0.2">
      <c r="C44" s="71"/>
      <c r="E44" s="137" t="s">
        <v>78</v>
      </c>
      <c r="G44" s="177"/>
      <c r="H44" s="177"/>
      <c r="I44" s="265" t="s">
        <v>79</v>
      </c>
      <c r="J44" s="195">
        <f t="shared" ref="J44" si="77">IFERROR(J43/I43-1,"NA")</f>
        <v>0.42754049286363394</v>
      </c>
      <c r="K44" s="195">
        <f>IFERROR(K43/J43-1,"NA")</f>
        <v>0.30361355551394875</v>
      </c>
      <c r="L44" s="195">
        <f t="shared" ref="L44" si="78">IFERROR(L43/K43-1,"NA")</f>
        <v>0.1894981759687473</v>
      </c>
      <c r="M44" s="195">
        <f>IFERROR(M43/L43-1,"NA")</f>
        <v>0.22757787973919341</v>
      </c>
      <c r="N44" s="195">
        <f t="shared" ref="N44:S44" si="79">IFERROR(N43/M43-1,"NA")</f>
        <v>0.25325569500727863</v>
      </c>
      <c r="O44" s="195">
        <f t="shared" si="79"/>
        <v>0.26111516921887667</v>
      </c>
      <c r="P44" s="195">
        <f t="shared" si="79"/>
        <v>0.2402138819169084</v>
      </c>
      <c r="Q44" s="195">
        <f t="shared" si="79"/>
        <v>0.22013641931359729</v>
      </c>
      <c r="R44" s="196">
        <f t="shared" si="79"/>
        <v>0.20115198683841595</v>
      </c>
      <c r="S44" s="195">
        <f t="shared" si="79"/>
        <v>0.18341653603715868</v>
      </c>
      <c r="T44" s="195"/>
      <c r="U44" s="265"/>
      <c r="V44" s="265"/>
      <c r="W44" s="265"/>
      <c r="X44" s="265" t="s">
        <v>79</v>
      </c>
      <c r="Y44" s="265" t="s">
        <v>79</v>
      </c>
      <c r="Z44" s="265" t="s">
        <v>79</v>
      </c>
      <c r="AA44" s="265" t="s">
        <v>79</v>
      </c>
      <c r="AB44" s="195">
        <f t="shared" ref="AB44" si="80">IFERROR(AB43/X43-1,"NA")</f>
        <v>0.25921971252566745</v>
      </c>
      <c r="AC44" s="195">
        <f t="shared" ref="AC44" si="81">IFERROR(AC43/Y43-1,"NA")</f>
        <v>0.15088914918539031</v>
      </c>
      <c r="AD44" s="195">
        <f t="shared" ref="AD44" si="82">IFERROR(AD43/Z43-1,"NA")</f>
        <v>0.15787256450763554</v>
      </c>
      <c r="AE44" s="195">
        <f t="shared" ref="AE44" si="83">IFERROR(AE43/AA43-1,"NA")</f>
        <v>0.13571497912823993</v>
      </c>
      <c r="AF44" s="195">
        <f t="shared" ref="AF44" si="84">IFERROR(AF43/AB43-1,"NA")</f>
        <v>0.13058508903528798</v>
      </c>
      <c r="AG44" s="195">
        <f t="shared" ref="AG44" si="85">IFERROR(AG43/AC43-1,"NA")</f>
        <v>0.24037749814951881</v>
      </c>
      <c r="AH44" s="195">
        <f t="shared" ref="AH44" si="86">IFERROR(AH43/AD43-1,"NA")</f>
        <v>0.25486629070402045</v>
      </c>
      <c r="AI44" s="195">
        <f t="shared" ref="AI44" si="87">IFERROR(AI43/AE43-1,"NA")</f>
        <v>0.28267373279767494</v>
      </c>
      <c r="AJ44" s="195">
        <f>IFERROR(AJ43/AF43-1,"NA")</f>
        <v>0.24046616281082334</v>
      </c>
      <c r="AK44" s="195">
        <f>IFERROR(AK43/AG43-1,"NA")</f>
        <v>0.26779054154856041</v>
      </c>
      <c r="AL44" s="195">
        <f>IFERROR(AL43/AH43-1,"NA")</f>
        <v>0.27029288816864128</v>
      </c>
      <c r="AM44" s="195">
        <f>IFERROR(AM43/AI43-1,"NA")</f>
        <v>0.27990392463772951</v>
      </c>
      <c r="AN44" s="195">
        <f>IFERROR(AN43/AJ43-1,"NA")</f>
        <v>0.23789248045708877</v>
      </c>
      <c r="AO44" s="335"/>
      <c r="AP44" s="335"/>
      <c r="AQ44" s="335"/>
    </row>
    <row r="45" spans="1:44" x14ac:dyDescent="0.2">
      <c r="C45" s="71"/>
      <c r="E45" s="137" t="s">
        <v>80</v>
      </c>
      <c r="I45" s="265" t="s">
        <v>79</v>
      </c>
      <c r="J45" s="244">
        <f>IFERROR(J43-I43,"NA ")</f>
        <v>7998</v>
      </c>
      <c r="K45" s="244">
        <f t="shared" ref="K45" si="88">IFERROR(K43-J43,"NA ")</f>
        <v>8108</v>
      </c>
      <c r="L45" s="244">
        <f t="shared" ref="L45" si="89">IFERROR(L43-K43,"NA ")</f>
        <v>6597</v>
      </c>
      <c r="M45" s="244">
        <f t="shared" ref="M45" si="90">IFERROR(M43-L43,"NA ")</f>
        <v>9424</v>
      </c>
      <c r="N45" s="244">
        <f t="shared" ref="N45" si="91">IFERROR(N43-M43,"NA ")</f>
        <v>12874</v>
      </c>
      <c r="O45" s="244">
        <f t="shared" ref="O45" si="92">IFERROR(O43-N43,"NA ")</f>
        <v>16635.125200596201</v>
      </c>
      <c r="P45" s="244">
        <f t="shared" ref="P45" si="93">IFERROR(P43-O43,"NA ")</f>
        <v>19299.5339897714</v>
      </c>
      <c r="Q45" s="244">
        <f t="shared" ref="Q45" si="94">IFERROR(Q43-P43,"NA ")</f>
        <v>21934.978205052626</v>
      </c>
      <c r="R45" s="244">
        <f t="shared" ref="R45" si="95">IFERROR(R43-Q43,"NA ")</f>
        <v>24455.583317209268</v>
      </c>
      <c r="S45" s="244">
        <f t="shared" ref="S45" si="96">IFERROR(S43-R43,"NA ")</f>
        <v>26784.907489460369</v>
      </c>
      <c r="T45" s="195"/>
      <c r="U45" s="265"/>
      <c r="V45" s="265"/>
      <c r="W45" s="265"/>
      <c r="X45" s="265" t="s">
        <v>79</v>
      </c>
      <c r="Y45" s="265" t="s">
        <v>79</v>
      </c>
      <c r="Z45" s="265" t="s">
        <v>79</v>
      </c>
      <c r="AA45" s="265" t="s">
        <v>79</v>
      </c>
      <c r="AB45" s="266">
        <f>AB43-X43</f>
        <v>3156</v>
      </c>
      <c r="AC45" s="266">
        <f t="shared" ref="AC45" si="97">AC43-Y43</f>
        <v>1417</v>
      </c>
      <c r="AD45" s="266">
        <f t="shared" ref="AD45" si="98">AD43-Z43</f>
        <v>1499</v>
      </c>
      <c r="AE45" s="266">
        <f t="shared" ref="AE45" si="99">AE43-AA43</f>
        <v>1398</v>
      </c>
      <c r="AF45" s="266">
        <f t="shared" ref="AF45" si="100">AF43-AB43</f>
        <v>2002</v>
      </c>
      <c r="AG45" s="266">
        <f t="shared" ref="AG45" si="101">AG43-AC43</f>
        <v>2598</v>
      </c>
      <c r="AH45" s="266">
        <f t="shared" ref="AH45" si="102">AH43-AD43</f>
        <v>2802</v>
      </c>
      <c r="AI45" s="266">
        <f t="shared" ref="AI45" si="103">AI43-AE43</f>
        <v>3307</v>
      </c>
      <c r="AJ45" s="266">
        <f t="shared" ref="AJ45:AK45" si="104">AJ43-AF43</f>
        <v>4168</v>
      </c>
      <c r="AK45" s="266">
        <f t="shared" si="104"/>
        <v>3590</v>
      </c>
      <c r="AL45" s="266">
        <f t="shared" ref="AL45" si="105">AL43-AH43</f>
        <v>3728.9606851745739</v>
      </c>
      <c r="AM45" s="266">
        <f t="shared" ref="AM45" si="106">AM43-AI43</f>
        <v>4200.238293113769</v>
      </c>
      <c r="AN45" s="266">
        <f t="shared" ref="AN45" si="107">AN43-AJ43</f>
        <v>5114.9262223078658</v>
      </c>
      <c r="AO45" s="335"/>
      <c r="AP45" s="335"/>
      <c r="AQ45" s="335"/>
    </row>
    <row r="46" spans="1:44" x14ac:dyDescent="0.2">
      <c r="B46" s="111"/>
      <c r="C46" s="74" t="str">
        <f>'Company Data'!B127</f>
        <v>Media</v>
      </c>
      <c r="G46" s="111"/>
      <c r="H46" s="111"/>
      <c r="I46" s="188">
        <f>'Company Data'!U127</f>
        <v>8007</v>
      </c>
      <c r="J46" s="188">
        <f>'Company Data'!V127</f>
        <v>9820</v>
      </c>
      <c r="K46" s="188">
        <f>'Company Data'!W127</f>
        <v>10753</v>
      </c>
      <c r="L46" s="188">
        <f>'Company Data'!X127</f>
        <v>10907</v>
      </c>
      <c r="M46" s="188">
        <f>'Company Data'!Y127</f>
        <v>10938</v>
      </c>
      <c r="N46" s="188">
        <f>'Company Data'!Z127</f>
        <v>10026</v>
      </c>
      <c r="O46" s="189">
        <f>SUM(AK46:AN46)</f>
        <v>10658.31172413793</v>
      </c>
      <c r="P46" s="189">
        <f t="shared" ref="P46" si="108">O46*(1+P47)</f>
        <v>11263.28259152475</v>
      </c>
      <c r="Q46" s="189">
        <f t="shared" ref="Q46" si="109">P46*(1+Q47)</f>
        <v>11838.66096418272</v>
      </c>
      <c r="R46" s="191">
        <f t="shared" ref="R46" si="110">Q46*(1+R47)</f>
        <v>12382.955088227145</v>
      </c>
      <c r="S46" s="189">
        <f t="shared" ref="S46" si="111">R46*(1+S47)</f>
        <v>12895.341813541565</v>
      </c>
      <c r="T46" s="190"/>
      <c r="U46" s="188"/>
      <c r="V46" s="188"/>
      <c r="W46" s="188"/>
      <c r="X46" s="188">
        <f>'Company Data'!F127</f>
        <v>3611</v>
      </c>
      <c r="Y46" s="188">
        <f>'Company Data'!G127</f>
        <v>2545</v>
      </c>
      <c r="Z46" s="188">
        <f>'Company Data'!H127</f>
        <v>2224</v>
      </c>
      <c r="AA46" s="188">
        <f>'Company Data'!I127</f>
        <v>2424</v>
      </c>
      <c r="AB46" s="188">
        <f>'Company Data'!J127</f>
        <v>3714</v>
      </c>
      <c r="AC46" s="188">
        <f>'Company Data'!K127</f>
        <v>2642</v>
      </c>
      <c r="AD46" s="188">
        <f>'Company Data'!L127</f>
        <v>2380</v>
      </c>
      <c r="AE46" s="188">
        <f>'Company Data'!M127</f>
        <v>2510</v>
      </c>
      <c r="AF46" s="188">
        <f>'Company Data'!N127</f>
        <v>3406</v>
      </c>
      <c r="AG46" s="188">
        <f>'Company Data'!O127</f>
        <v>2320</v>
      </c>
      <c r="AH46" s="188">
        <f>'Company Data'!P127</f>
        <v>2094</v>
      </c>
      <c r="AI46" s="188">
        <f>'Company Data'!Q127</f>
        <v>2320</v>
      </c>
      <c r="AJ46" s="188">
        <f>'Company Data'!R127</f>
        <v>3292</v>
      </c>
      <c r="AK46" s="188">
        <f>'Company Data'!S127</f>
        <v>2480</v>
      </c>
      <c r="AL46" s="189">
        <f>AH46*(1+AL47)</f>
        <v>2238.4137931034479</v>
      </c>
      <c r="AM46" s="189">
        <f>AI46*(1+AM47)</f>
        <v>2464</v>
      </c>
      <c r="AN46" s="189">
        <f>AJ46*(1+AN47)</f>
        <v>3475.8979310344826</v>
      </c>
      <c r="AO46" s="335"/>
      <c r="AP46" s="335"/>
      <c r="AQ46" s="335"/>
    </row>
    <row r="47" spans="1:44" x14ac:dyDescent="0.2">
      <c r="B47" s="111"/>
      <c r="C47" s="111"/>
      <c r="E47" s="137" t="s">
        <v>78</v>
      </c>
      <c r="G47" s="111" t="s">
        <v>82</v>
      </c>
      <c r="H47" s="111"/>
      <c r="I47" s="265" t="s">
        <v>79</v>
      </c>
      <c r="J47" s="195">
        <f t="shared" ref="J47" si="112">IFERROR(J46/I46-1,"NA")</f>
        <v>0.22642687648307724</v>
      </c>
      <c r="K47" s="195">
        <f t="shared" ref="K47" si="113">IFERROR(K46/J46-1,"NA")</f>
        <v>9.5010183299389039E-2</v>
      </c>
      <c r="L47" s="195">
        <f t="shared" ref="L47" si="114">IFERROR(L46/K46-1,"NA")</f>
        <v>1.4321584674044541E-2</v>
      </c>
      <c r="M47" s="195">
        <f>IFERROR(M46/L46-1,"NA")</f>
        <v>2.8422114238562113E-3</v>
      </c>
      <c r="N47" s="195">
        <f t="shared" ref="N47" si="115">IFERROR(N46/M46-1,"NA")</f>
        <v>-8.3379045529347273E-2</v>
      </c>
      <c r="O47" s="195">
        <f>O46/N46-1</f>
        <v>6.3067197699773647E-2</v>
      </c>
      <c r="P47" s="201">
        <f>O47*0.9</f>
        <v>5.6760477929796285E-2</v>
      </c>
      <c r="Q47" s="201">
        <f>P47*0.9</f>
        <v>5.1084430136816655E-2</v>
      </c>
      <c r="R47" s="201">
        <f>Q47*0.9</f>
        <v>4.5975987123134991E-2</v>
      </c>
      <c r="S47" s="201">
        <f>R47*0.9</f>
        <v>4.137838841082149E-2</v>
      </c>
      <c r="T47" s="195"/>
      <c r="U47" s="265"/>
      <c r="V47" s="265"/>
      <c r="W47" s="265"/>
      <c r="X47" s="265" t="s">
        <v>79</v>
      </c>
      <c r="Y47" s="265" t="s">
        <v>79</v>
      </c>
      <c r="Z47" s="265" t="s">
        <v>79</v>
      </c>
      <c r="AA47" s="265" t="s">
        <v>79</v>
      </c>
      <c r="AB47" s="195">
        <f t="shared" ref="AB47" si="116">IFERROR(AB46/X46-1,"NA")</f>
        <v>2.8523954583217881E-2</v>
      </c>
      <c r="AC47" s="195">
        <f t="shared" ref="AC47" si="117">IFERROR(AC46/Y46-1,"NA")</f>
        <v>3.8113948919449969E-2</v>
      </c>
      <c r="AD47" s="195">
        <f t="shared" ref="AD47" si="118">IFERROR(AD46/Z46-1,"NA")</f>
        <v>7.0143884892086339E-2</v>
      </c>
      <c r="AE47" s="195">
        <f t="shared" ref="AE47" si="119">IFERROR(AE46/AA46-1,"NA")</f>
        <v>3.5478547854785436E-2</v>
      </c>
      <c r="AF47" s="195">
        <f t="shared" ref="AF47" si="120">IFERROR(AF46/AB46-1,"NA")</f>
        <v>-8.2929456112008637E-2</v>
      </c>
      <c r="AG47" s="195">
        <f t="shared" ref="AG47" si="121">IFERROR(AG46/AC46-1,"NA")</f>
        <v>-0.12187736563209695</v>
      </c>
      <c r="AH47" s="195">
        <f t="shared" ref="AH47" si="122">IFERROR(AH46/AD46-1,"NA")</f>
        <v>-0.12016806722689077</v>
      </c>
      <c r="AI47" s="195">
        <f t="shared" ref="AI47" si="123">IFERROR(AI46/AE46-1,"NA")</f>
        <v>-7.569721115537853E-2</v>
      </c>
      <c r="AJ47" s="195">
        <f>IFERROR(AJ46/AF46-1,"NA")</f>
        <v>-3.3470346447445731E-2</v>
      </c>
      <c r="AK47" s="195">
        <f>IFERROR(AK46/AG46-1,"NA")</f>
        <v>6.8965517241379226E-2</v>
      </c>
      <c r="AL47" s="201">
        <f>AK47</f>
        <v>6.8965517241379226E-2</v>
      </c>
      <c r="AM47" s="201">
        <f>AL47*0.9</f>
        <v>6.2068965517241302E-2</v>
      </c>
      <c r="AN47" s="201">
        <f>AM47*0.9</f>
        <v>5.5862068965517174E-2</v>
      </c>
      <c r="AO47" s="335"/>
      <c r="AP47" s="335"/>
      <c r="AQ47" s="335"/>
    </row>
    <row r="48" spans="1:44" x14ac:dyDescent="0.2">
      <c r="B48" s="111"/>
      <c r="C48" s="111"/>
      <c r="E48" s="137" t="s">
        <v>312</v>
      </c>
      <c r="G48" s="168"/>
      <c r="H48" s="111"/>
      <c r="I48" s="265"/>
      <c r="J48" s="195"/>
      <c r="K48" s="195"/>
      <c r="L48" s="195"/>
      <c r="M48" s="195"/>
      <c r="N48" s="195"/>
      <c r="O48" s="195"/>
      <c r="P48" s="201"/>
      <c r="Q48" s="201"/>
      <c r="R48" s="201"/>
      <c r="S48" s="201"/>
      <c r="T48" s="195"/>
      <c r="U48" s="265"/>
      <c r="V48" s="265"/>
      <c r="W48" s="265"/>
      <c r="X48" s="265"/>
      <c r="Y48" s="265"/>
      <c r="Z48" s="265"/>
      <c r="AA48" s="265"/>
      <c r="AB48" s="195"/>
      <c r="AC48" s="367"/>
      <c r="AD48" s="367"/>
      <c r="AE48" s="367"/>
      <c r="AF48" s="367">
        <v>0.01</v>
      </c>
      <c r="AG48" s="367">
        <v>0.02</v>
      </c>
      <c r="AH48" s="367">
        <v>0.03</v>
      </c>
      <c r="AI48" s="367">
        <v>0.06</v>
      </c>
      <c r="AJ48" s="367">
        <v>0.05</v>
      </c>
      <c r="AK48" s="195">
        <v>0.09</v>
      </c>
      <c r="AL48" s="201"/>
      <c r="AM48" s="201"/>
      <c r="AN48" s="201"/>
      <c r="AO48" s="335"/>
      <c r="AP48" s="335"/>
      <c r="AQ48" s="335"/>
    </row>
    <row r="49" spans="2:43" x14ac:dyDescent="0.2">
      <c r="B49" s="111"/>
      <c r="C49" s="111"/>
      <c r="E49" s="137" t="s">
        <v>80</v>
      </c>
      <c r="G49" s="168"/>
      <c r="H49" s="168"/>
      <c r="I49" s="265" t="s">
        <v>79</v>
      </c>
      <c r="J49" s="244">
        <f>IFERROR(J46-I46,"NA ")</f>
        <v>1813</v>
      </c>
      <c r="K49" s="244">
        <f t="shared" ref="K49" si="124">IFERROR(K46-J46,"NA ")</f>
        <v>933</v>
      </c>
      <c r="L49" s="244">
        <f t="shared" ref="L49" si="125">IFERROR(L46-K46,"NA ")</f>
        <v>154</v>
      </c>
      <c r="M49" s="244">
        <f t="shared" ref="M49" si="126">IFERROR(M46-L46,"NA ")</f>
        <v>31</v>
      </c>
      <c r="N49" s="244">
        <f t="shared" ref="N49" si="127">IFERROR(N46-M46,"NA ")</f>
        <v>-912</v>
      </c>
      <c r="O49" s="244">
        <f t="shared" ref="O49" si="128">IFERROR(O46-N46,"NA ")</f>
        <v>632.31172413792956</v>
      </c>
      <c r="P49" s="244">
        <f t="shared" ref="P49" si="129">IFERROR(P46-O46,"NA ")</f>
        <v>604.97086738682083</v>
      </c>
      <c r="Q49" s="244">
        <f t="shared" ref="Q49" si="130">IFERROR(Q46-P46,"NA ")</f>
        <v>575.37837265796952</v>
      </c>
      <c r="R49" s="244">
        <f t="shared" ref="R49" si="131">IFERROR(R46-Q46,"NA ")</f>
        <v>544.29412404442519</v>
      </c>
      <c r="S49" s="244">
        <f t="shared" ref="S49" si="132">IFERROR(S46-R46,"NA ")</f>
        <v>512.38672531441989</v>
      </c>
      <c r="T49" s="195"/>
      <c r="U49" s="265"/>
      <c r="V49" s="265"/>
      <c r="W49" s="265"/>
      <c r="X49" s="265" t="s">
        <v>79</v>
      </c>
      <c r="Y49" s="265" t="s">
        <v>79</v>
      </c>
      <c r="Z49" s="265" t="s">
        <v>79</v>
      </c>
      <c r="AA49" s="265" t="s">
        <v>79</v>
      </c>
      <c r="AB49" s="266">
        <f>AB46-X46</f>
        <v>103</v>
      </c>
      <c r="AC49" s="266">
        <f t="shared" ref="AC49" si="133">AC46-Y46</f>
        <v>97</v>
      </c>
      <c r="AD49" s="266">
        <f t="shared" ref="AD49" si="134">AD46-Z46</f>
        <v>156</v>
      </c>
      <c r="AE49" s="266">
        <f t="shared" ref="AE49" si="135">AE46-AA46</f>
        <v>86</v>
      </c>
      <c r="AF49" s="266">
        <f t="shared" ref="AF49" si="136">AF46-AB46</f>
        <v>-308</v>
      </c>
      <c r="AG49" s="266">
        <f t="shared" ref="AG49" si="137">AG46-AC46</f>
        <v>-322</v>
      </c>
      <c r="AH49" s="266">
        <f t="shared" ref="AH49" si="138">AH46-AD46</f>
        <v>-286</v>
      </c>
      <c r="AI49" s="266">
        <f t="shared" ref="AI49" si="139">AI46-AE46</f>
        <v>-190</v>
      </c>
      <c r="AJ49" s="266">
        <f t="shared" ref="AJ49:AK49" si="140">AJ46-AF46</f>
        <v>-114</v>
      </c>
      <c r="AK49" s="266">
        <f t="shared" si="140"/>
        <v>160</v>
      </c>
      <c r="AL49" s="266">
        <f t="shared" ref="AL49" si="141">AL46-AH46</f>
        <v>144.41379310344792</v>
      </c>
      <c r="AM49" s="266">
        <f t="shared" ref="AM49" si="142">AM46-AI46</f>
        <v>144</v>
      </c>
      <c r="AN49" s="266">
        <f t="shared" ref="AN49" si="143">AN46-AJ46</f>
        <v>183.89793103448255</v>
      </c>
      <c r="AO49" s="335"/>
      <c r="AP49" s="335"/>
      <c r="AQ49" s="335"/>
    </row>
    <row r="50" spans="2:43" x14ac:dyDescent="0.2">
      <c r="B50" s="111"/>
      <c r="C50" s="111" t="str">
        <f>'Company Data'!B128</f>
        <v>Electronics and other general merchandise</v>
      </c>
      <c r="G50" s="111"/>
      <c r="H50" s="111"/>
      <c r="I50" s="145">
        <f>'Company Data'!U128</f>
        <v>7365</v>
      </c>
      <c r="J50" s="145">
        <f>'Company Data'!V128</f>
        <v>11397</v>
      </c>
      <c r="K50" s="145">
        <f>'Company Data'!W128</f>
        <v>15355</v>
      </c>
      <c r="L50" s="145">
        <f>'Company Data'!X128</f>
        <v>18817</v>
      </c>
      <c r="M50" s="145">
        <f>'Company Data'!Y128</f>
        <v>22369</v>
      </c>
      <c r="N50" s="145">
        <f>'Company Data'!Z128</f>
        <v>25196</v>
      </c>
      <c r="O50" s="183">
        <f>SUM(AK50:AN50)</f>
        <v>31942.961293509856</v>
      </c>
      <c r="P50" s="183">
        <f t="shared" ref="P50" si="144">O50*(1+P51)</f>
        <v>39641.251938955756</v>
      </c>
      <c r="Q50" s="183">
        <f t="shared" ref="Q50" si="145">P50*(1+Q51)</f>
        <v>48239.480780490507</v>
      </c>
      <c r="R50" s="186">
        <f t="shared" ref="R50" si="146">Q50*(1+R51)</f>
        <v>57656.355051453829</v>
      </c>
      <c r="S50" s="183">
        <f t="shared" ref="S50" si="147">R50*(1+S51)</f>
        <v>67785.991065177877</v>
      </c>
      <c r="T50" s="159"/>
      <c r="U50" s="145"/>
      <c r="V50" s="145"/>
      <c r="W50" s="145"/>
      <c r="X50" s="145">
        <f>'Company Data'!F128</f>
        <v>5431</v>
      </c>
      <c r="Y50" s="145">
        <f>'Company Data'!G128</f>
        <v>4086</v>
      </c>
      <c r="Z50" s="145">
        <f>'Company Data'!H128</f>
        <v>3937</v>
      </c>
      <c r="AA50" s="145">
        <f>'Company Data'!I128</f>
        <v>4316</v>
      </c>
      <c r="AB50" s="145">
        <f>'Company Data'!J128</f>
        <v>6478</v>
      </c>
      <c r="AC50" s="145">
        <f>'Company Data'!K128</f>
        <v>5188</v>
      </c>
      <c r="AD50" s="145">
        <f>'Company Data'!L128</f>
        <v>4912</v>
      </c>
      <c r="AE50" s="145">
        <f>'Company Data'!M128</f>
        <v>5160</v>
      </c>
      <c r="AF50" s="145">
        <f>'Company Data'!N128</f>
        <v>7109</v>
      </c>
      <c r="AG50" s="145">
        <f>'Company Data'!O128</f>
        <v>5378</v>
      </c>
      <c r="AH50" s="145">
        <f>'Company Data'!P128</f>
        <v>5425</v>
      </c>
      <c r="AI50" s="145">
        <f>'Company Data'!Q128</f>
        <v>5901</v>
      </c>
      <c r="AJ50" s="145">
        <f>'Company Data'!R128</f>
        <v>8491</v>
      </c>
      <c r="AK50" s="145">
        <f>'Company Data'!S128</f>
        <v>7034</v>
      </c>
      <c r="AL50" s="183">
        <f>AH50*(1+AL51)</f>
        <v>6975.1937499999995</v>
      </c>
      <c r="AM50" s="183">
        <f>AI50*(1+AM51)</f>
        <v>7275.4568990286998</v>
      </c>
      <c r="AN50" s="183">
        <f>AJ50*(1+AN51)</f>
        <v>10658.310644481158</v>
      </c>
      <c r="AO50" s="335"/>
      <c r="AP50" s="335"/>
      <c r="AQ50" s="335"/>
    </row>
    <row r="51" spans="2:43" x14ac:dyDescent="0.2">
      <c r="B51" s="111"/>
      <c r="C51" s="111"/>
      <c r="E51" s="137" t="s">
        <v>78</v>
      </c>
      <c r="G51" s="168"/>
      <c r="H51" s="111"/>
      <c r="I51" s="265" t="s">
        <v>79</v>
      </c>
      <c r="J51" s="195">
        <f t="shared" ref="J51" si="148">IFERROR(J50/I50-1,"NA")</f>
        <v>0.54745417515274952</v>
      </c>
      <c r="K51" s="195">
        <f t="shared" ref="K51" si="149">IFERROR(K50/J50-1,"NA")</f>
        <v>0.3472843730806352</v>
      </c>
      <c r="L51" s="195">
        <f t="shared" ref="L51" si="150">IFERROR(L50/K50-1,"NA")</f>
        <v>0.22546401823510265</v>
      </c>
      <c r="M51" s="195">
        <f>IFERROR(M50/L50-1,"NA")</f>
        <v>0.18876547802518995</v>
      </c>
      <c r="N51" s="195">
        <f t="shared" ref="N51" si="151">IFERROR(N50/M50-1,"NA")</f>
        <v>0.12638025839331224</v>
      </c>
      <c r="O51" s="195">
        <f>O50/N50-1</f>
        <v>0.26777906387957828</v>
      </c>
      <c r="P51" s="201">
        <f>O51*0.9</f>
        <v>0.24100115749162046</v>
      </c>
      <c r="Q51" s="201">
        <f t="shared" ref="Q51:S51" si="152">P51*0.9</f>
        <v>0.21690104174245842</v>
      </c>
      <c r="R51" s="201">
        <f t="shared" si="152"/>
        <v>0.19521093756821259</v>
      </c>
      <c r="S51" s="201">
        <f t="shared" si="152"/>
        <v>0.17568984381139133</v>
      </c>
      <c r="T51" s="195"/>
      <c r="U51" s="265"/>
      <c r="V51" s="265"/>
      <c r="W51" s="265"/>
      <c r="X51" s="265" t="s">
        <v>79</v>
      </c>
      <c r="Y51" s="265" t="s">
        <v>79</v>
      </c>
      <c r="Z51" s="265" t="s">
        <v>79</v>
      </c>
      <c r="AA51" s="265" t="s">
        <v>79</v>
      </c>
      <c r="AB51" s="195">
        <f t="shared" ref="AB51" si="153">IFERROR(AB50/X50-1,"NA")</f>
        <v>0.1927821763947708</v>
      </c>
      <c r="AC51" s="195">
        <f t="shared" ref="AC51" si="154">IFERROR(AC50/Y50-1,"NA")</f>
        <v>0.26970141948115511</v>
      </c>
      <c r="AD51" s="195">
        <f t="shared" ref="AD51" si="155">IFERROR(AD50/Z50-1,"NA")</f>
        <v>0.24765049530099059</v>
      </c>
      <c r="AE51" s="195">
        <f t="shared" ref="AE51" si="156">IFERROR(AE50/AA50-1,"NA")</f>
        <v>0.19555143651529194</v>
      </c>
      <c r="AF51" s="195">
        <f t="shared" ref="AF51" si="157">IFERROR(AF50/AB50-1,"NA")</f>
        <v>9.7406606977462173E-2</v>
      </c>
      <c r="AG51" s="195">
        <f t="shared" ref="AG51" si="158">IFERROR(AG50/AC50-1,"NA")</f>
        <v>3.6622976098689364E-2</v>
      </c>
      <c r="AH51" s="195">
        <f t="shared" ref="AH51" si="159">IFERROR(AH50/AD50-1,"NA")</f>
        <v>0.10443811074918563</v>
      </c>
      <c r="AI51" s="195">
        <f t="shared" ref="AI51" si="160">IFERROR(AI50/AE50-1,"NA")</f>
        <v>0.14360465116279064</v>
      </c>
      <c r="AJ51" s="195">
        <f>IFERROR(AJ50/AF50-1,"NA")</f>
        <v>0.19440146293430871</v>
      </c>
      <c r="AK51" s="195">
        <f>IFERROR(AK50/AG50-1,"NA")</f>
        <v>0.30792116028263306</v>
      </c>
      <c r="AL51" s="201">
        <f>AVERAGE(AH52:AK52)*0.9</f>
        <v>0.28575</v>
      </c>
      <c r="AM51" s="201">
        <f>AVERAGE(AI51:AL51)</f>
        <v>0.23291931859493309</v>
      </c>
      <c r="AN51" s="201">
        <f>AVERAGE(AJ51:AM51)</f>
        <v>0.25524798545296867</v>
      </c>
      <c r="AO51" s="335"/>
      <c r="AP51" s="335"/>
      <c r="AQ51" s="335"/>
    </row>
    <row r="52" spans="2:43" x14ac:dyDescent="0.2">
      <c r="B52" s="111"/>
      <c r="C52" s="111"/>
      <c r="E52" s="137" t="s">
        <v>312</v>
      </c>
      <c r="G52" s="168"/>
      <c r="H52" s="111"/>
      <c r="I52" s="265"/>
      <c r="J52" s="195"/>
      <c r="K52" s="195"/>
      <c r="L52" s="195"/>
      <c r="M52" s="195"/>
      <c r="N52" s="195"/>
      <c r="O52" s="195"/>
      <c r="P52" s="201"/>
      <c r="Q52" s="201"/>
      <c r="R52" s="201"/>
      <c r="S52" s="201"/>
      <c r="T52" s="195"/>
      <c r="U52" s="265"/>
      <c r="V52" s="265"/>
      <c r="W52" s="265"/>
      <c r="X52" s="265"/>
      <c r="Y52" s="265"/>
      <c r="Z52" s="265"/>
      <c r="AA52" s="265"/>
      <c r="AB52" s="195"/>
      <c r="AC52" s="367"/>
      <c r="AD52" s="367"/>
      <c r="AE52" s="367"/>
      <c r="AF52" s="367">
        <v>0.19</v>
      </c>
      <c r="AG52" s="367">
        <v>0.21</v>
      </c>
      <c r="AH52" s="367">
        <v>0.31</v>
      </c>
      <c r="AI52" s="367">
        <v>0.32</v>
      </c>
      <c r="AJ52" s="367">
        <v>0.31</v>
      </c>
      <c r="AK52" s="195">
        <v>0.33</v>
      </c>
      <c r="AL52" s="201"/>
      <c r="AM52" s="201"/>
      <c r="AN52" s="201"/>
      <c r="AO52" s="335"/>
      <c r="AP52" s="335"/>
      <c r="AQ52" s="335"/>
    </row>
    <row r="53" spans="2:43" x14ac:dyDescent="0.2">
      <c r="B53" s="111"/>
      <c r="C53" s="111"/>
      <c r="E53" s="137" t="s">
        <v>80</v>
      </c>
      <c r="G53" s="168"/>
      <c r="H53" s="168"/>
      <c r="I53" s="265" t="s">
        <v>79</v>
      </c>
      <c r="J53" s="244">
        <f>IFERROR(J50-I50,"NA ")</f>
        <v>4032</v>
      </c>
      <c r="K53" s="244">
        <f t="shared" ref="K53" si="161">IFERROR(K50-J50,"NA ")</f>
        <v>3958</v>
      </c>
      <c r="L53" s="244">
        <f t="shared" ref="L53" si="162">IFERROR(L50-K50,"NA ")</f>
        <v>3462</v>
      </c>
      <c r="M53" s="244">
        <f t="shared" ref="M53" si="163">IFERROR(M50-L50,"NA ")</f>
        <v>3552</v>
      </c>
      <c r="N53" s="244">
        <f t="shared" ref="N53" si="164">IFERROR(N50-M50,"NA ")</f>
        <v>2827</v>
      </c>
      <c r="O53" s="244">
        <f t="shared" ref="O53" si="165">IFERROR(O50-N50,"NA ")</f>
        <v>6746.9612935098558</v>
      </c>
      <c r="P53" s="244">
        <f t="shared" ref="P53" si="166">IFERROR(P50-O50,"NA ")</f>
        <v>7698.2906454459007</v>
      </c>
      <c r="Q53" s="244">
        <f t="shared" ref="Q53" si="167">IFERROR(Q50-P50,"NA ")</f>
        <v>8598.2288415347502</v>
      </c>
      <c r="R53" s="244">
        <f t="shared" ref="R53" si="168">IFERROR(R50-Q50,"NA ")</f>
        <v>9416.8742709633225</v>
      </c>
      <c r="S53" s="244">
        <f t="shared" ref="S53" si="169">IFERROR(S50-R50,"NA ")</f>
        <v>10129.636013724048</v>
      </c>
      <c r="T53" s="195"/>
      <c r="U53" s="265"/>
      <c r="V53" s="265"/>
      <c r="W53" s="265"/>
      <c r="X53" s="265" t="s">
        <v>79</v>
      </c>
      <c r="Y53" s="265" t="s">
        <v>79</v>
      </c>
      <c r="Z53" s="265" t="s">
        <v>79</v>
      </c>
      <c r="AA53" s="265" t="s">
        <v>79</v>
      </c>
      <c r="AB53" s="266">
        <f>AB50-X50</f>
        <v>1047</v>
      </c>
      <c r="AC53" s="266">
        <f t="shared" ref="AC53" si="170">AC50-Y50</f>
        <v>1102</v>
      </c>
      <c r="AD53" s="266">
        <f t="shared" ref="AD53" si="171">AD50-Z50</f>
        <v>975</v>
      </c>
      <c r="AE53" s="266">
        <f t="shared" ref="AE53" si="172">AE50-AA50</f>
        <v>844</v>
      </c>
      <c r="AF53" s="266">
        <f t="shared" ref="AF53" si="173">AF50-AB50</f>
        <v>631</v>
      </c>
      <c r="AG53" s="266">
        <f t="shared" ref="AG53" si="174">AG50-AC50</f>
        <v>190</v>
      </c>
      <c r="AH53" s="266">
        <f t="shared" ref="AH53" si="175">AH50-AD50</f>
        <v>513</v>
      </c>
      <c r="AI53" s="266">
        <f t="shared" ref="AI53" si="176">AI50-AE50</f>
        <v>741</v>
      </c>
      <c r="AJ53" s="266">
        <f t="shared" ref="AJ53:AK53" si="177">AJ50-AF50</f>
        <v>1382</v>
      </c>
      <c r="AK53" s="266">
        <f t="shared" si="177"/>
        <v>1656</v>
      </c>
      <c r="AL53" s="266">
        <f t="shared" ref="AL53" si="178">AL50-AH50</f>
        <v>1550.1937499999995</v>
      </c>
      <c r="AM53" s="266">
        <f t="shared" ref="AM53" si="179">AM50-AI50</f>
        <v>1374.4568990286998</v>
      </c>
      <c r="AN53" s="266">
        <f t="shared" ref="AN53" si="180">AN50-AJ50</f>
        <v>2167.3106444811583</v>
      </c>
      <c r="AO53" s="335"/>
      <c r="AP53" s="335"/>
      <c r="AQ53" s="335"/>
    </row>
    <row r="54" spans="2:43" x14ac:dyDescent="0.2">
      <c r="B54" s="111"/>
      <c r="C54" s="111" t="str">
        <f>'Company Data'!B129</f>
        <v>Other</v>
      </c>
      <c r="I54" s="337">
        <f>'Company Data'!U129</f>
        <v>125</v>
      </c>
      <c r="J54" s="337">
        <f>'Company Data'!V129</f>
        <v>155</v>
      </c>
      <c r="K54" s="337">
        <f>'Company Data'!W129</f>
        <v>172</v>
      </c>
      <c r="L54" s="337">
        <f>'Company Data'!X129</f>
        <v>210</v>
      </c>
      <c r="M54" s="337">
        <f>'Company Data'!Y129</f>
        <v>203</v>
      </c>
      <c r="N54" s="337">
        <f>'Company Data'!Z129</f>
        <v>196</v>
      </c>
      <c r="O54" s="187">
        <f>SUM(AK54:AN54)</f>
        <v>208.5378175316572</v>
      </c>
      <c r="P54" s="187">
        <f t="shared" ref="P54" si="181">O54*(1+P55)</f>
        <v>221.2106677838452</v>
      </c>
      <c r="Q54" s="187">
        <f t="shared" ref="Q54" si="182">P54*(1+Q55)</f>
        <v>233.98149858654276</v>
      </c>
      <c r="R54" s="161">
        <f t="shared" ref="R54" si="183">Q54*(1+R55)</f>
        <v>246.81420349801519</v>
      </c>
      <c r="S54" s="187">
        <f t="shared" ref="S54" si="184">R54*(1+S55)</f>
        <v>259.67389183899195</v>
      </c>
      <c r="T54" s="169"/>
      <c r="U54" s="337"/>
      <c r="V54" s="337"/>
      <c r="W54" s="337"/>
      <c r="X54" s="337">
        <f>'Company Data'!F129</f>
        <v>51</v>
      </c>
      <c r="Y54" s="337">
        <f>'Company Data'!G129</f>
        <v>48</v>
      </c>
      <c r="Z54" s="337">
        <f>'Company Data'!H129</f>
        <v>48</v>
      </c>
      <c r="AA54" s="337">
        <f>'Company Data'!I129</f>
        <v>51</v>
      </c>
      <c r="AB54" s="337">
        <f>'Company Data'!J129</f>
        <v>64</v>
      </c>
      <c r="AC54" s="337">
        <f>'Company Data'!K129</f>
        <v>53</v>
      </c>
      <c r="AD54" s="337">
        <f>'Company Data'!L129</f>
        <v>49</v>
      </c>
      <c r="AE54" s="337">
        <f>'Company Data'!M129</f>
        <v>41</v>
      </c>
      <c r="AF54" s="337">
        <f>'Company Data'!N129</f>
        <v>60</v>
      </c>
      <c r="AG54" s="337">
        <f>'Company Data'!O129</f>
        <v>47</v>
      </c>
      <c r="AH54" s="337">
        <f>'Company Data'!P129</f>
        <v>46</v>
      </c>
      <c r="AI54" s="337">
        <f>'Company Data'!Q129</f>
        <v>46</v>
      </c>
      <c r="AJ54" s="337">
        <f>'Company Data'!R129</f>
        <v>58</v>
      </c>
      <c r="AK54" s="337">
        <f>'Company Data'!S129</f>
        <v>52</v>
      </c>
      <c r="AL54" s="187">
        <f>AH54*(1+AL55)</f>
        <v>47.538428313723003</v>
      </c>
      <c r="AM54" s="187">
        <f>AI54*(1+AM55)</f>
        <v>48.627117024806815</v>
      </c>
      <c r="AN54" s="187">
        <f>AJ54*(1+AN55)</f>
        <v>60.372272193127387</v>
      </c>
      <c r="AO54" s="335"/>
      <c r="AP54" s="335"/>
      <c r="AQ54" s="335"/>
    </row>
    <row r="55" spans="2:43" x14ac:dyDescent="0.2">
      <c r="B55" s="111"/>
      <c r="C55" s="111"/>
      <c r="E55" s="137" t="s">
        <v>78</v>
      </c>
      <c r="G55" s="168"/>
      <c r="H55" s="74"/>
      <c r="I55" s="265" t="s">
        <v>79</v>
      </c>
      <c r="J55" s="195">
        <f t="shared" ref="J55" si="185">IFERROR(J54/I54-1,"NA")</f>
        <v>0.24</v>
      </c>
      <c r="K55" s="195">
        <f t="shared" ref="K55" si="186">IFERROR(K54/J54-1,"NA")</f>
        <v>0.10967741935483866</v>
      </c>
      <c r="L55" s="195">
        <f t="shared" ref="L55" si="187">IFERROR(L54/K54-1,"NA")</f>
        <v>0.22093023255813948</v>
      </c>
      <c r="M55" s="195">
        <f>IFERROR(M54/L54-1,"NA")</f>
        <v>-3.3333333333333326E-2</v>
      </c>
      <c r="N55" s="195">
        <f t="shared" ref="N55" si="188">IFERROR(N54/M54-1,"NA")</f>
        <v>-3.4482758620689613E-2</v>
      </c>
      <c r="O55" s="195">
        <f>O54/N54-1</f>
        <v>6.3968456794169404E-2</v>
      </c>
      <c r="P55" s="201">
        <f>O55*0.95</f>
        <v>6.0770033954460928E-2</v>
      </c>
      <c r="Q55" s="201">
        <f t="shared" ref="Q55:S55" si="189">P55*0.95</f>
        <v>5.7731532256737876E-2</v>
      </c>
      <c r="R55" s="201">
        <f t="shared" si="189"/>
        <v>5.4844955643900982E-2</v>
      </c>
      <c r="S55" s="201">
        <f t="shared" si="189"/>
        <v>5.2102707861705927E-2</v>
      </c>
      <c r="T55" s="195"/>
      <c r="U55" s="265"/>
      <c r="V55" s="265"/>
      <c r="W55" s="265"/>
      <c r="X55" s="265" t="s">
        <v>79</v>
      </c>
      <c r="Y55" s="265" t="s">
        <v>79</v>
      </c>
      <c r="Z55" s="265" t="s">
        <v>79</v>
      </c>
      <c r="AA55" s="265" t="s">
        <v>79</v>
      </c>
      <c r="AB55" s="195">
        <f t="shared" ref="AB55" si="190">IFERROR(AB54/X54-1,"NA")</f>
        <v>0.25490196078431371</v>
      </c>
      <c r="AC55" s="195">
        <f t="shared" ref="AC55" si="191">IFERROR(AC54/Y54-1,"NA")</f>
        <v>0.10416666666666674</v>
      </c>
      <c r="AD55" s="195">
        <f t="shared" ref="AD55" si="192">IFERROR(AD54/Z54-1,"NA")</f>
        <v>2.0833333333333259E-2</v>
      </c>
      <c r="AE55" s="195">
        <f t="shared" ref="AE55" si="193">IFERROR(AE54/AA54-1,"NA")</f>
        <v>-0.19607843137254899</v>
      </c>
      <c r="AF55" s="195">
        <f t="shared" ref="AF55" si="194">IFERROR(AF54/AB54-1,"NA")</f>
        <v>-6.25E-2</v>
      </c>
      <c r="AG55" s="195">
        <f t="shared" ref="AG55" si="195">IFERROR(AG54/AC54-1,"NA")</f>
        <v>-0.1132075471698113</v>
      </c>
      <c r="AH55" s="195">
        <f t="shared" ref="AH55" si="196">IFERROR(AH54/AD54-1,"NA")</f>
        <v>-6.1224489795918324E-2</v>
      </c>
      <c r="AI55" s="195">
        <f t="shared" ref="AI55" si="197">IFERROR(AI54/AE54-1,"NA")</f>
        <v>0.12195121951219523</v>
      </c>
      <c r="AJ55" s="195">
        <f>IFERROR(AJ54/AF54-1,"NA")</f>
        <v>-3.3333333333333326E-2</v>
      </c>
      <c r="AK55" s="195">
        <f>IFERROR(AK54/AG54-1,"NA")</f>
        <v>0.1063829787234043</v>
      </c>
      <c r="AL55" s="201">
        <f>AVERAGE(AH55:AK55)</f>
        <v>3.3444093776586969E-2</v>
      </c>
      <c r="AM55" s="201">
        <f>AVERAGE(AI55:AL55)</f>
        <v>5.7111239669713293E-2</v>
      </c>
      <c r="AN55" s="201">
        <f>AVERAGE(AJ55:AM55)</f>
        <v>4.0901244709092809E-2</v>
      </c>
      <c r="AO55" s="335"/>
      <c r="AP55" s="335"/>
      <c r="AQ55" s="335"/>
    </row>
    <row r="56" spans="2:43" x14ac:dyDescent="0.2">
      <c r="B56" s="111"/>
      <c r="C56" s="111"/>
      <c r="E56" s="137" t="s">
        <v>312</v>
      </c>
      <c r="G56" s="168"/>
      <c r="H56" s="168"/>
      <c r="I56" s="265"/>
      <c r="J56" s="244"/>
      <c r="K56" s="244"/>
      <c r="L56" s="244"/>
      <c r="M56" s="244"/>
      <c r="N56" s="244"/>
      <c r="O56" s="244"/>
      <c r="P56" s="244"/>
      <c r="Q56" s="244"/>
      <c r="R56" s="244"/>
      <c r="S56" s="244"/>
      <c r="T56" s="195"/>
      <c r="U56" s="265"/>
      <c r="V56" s="265"/>
      <c r="W56" s="265"/>
      <c r="X56" s="265"/>
      <c r="Y56" s="265"/>
      <c r="Z56" s="265"/>
      <c r="AA56" s="265"/>
      <c r="AB56" s="266"/>
      <c r="AC56" s="367"/>
      <c r="AD56" s="367"/>
      <c r="AE56" s="367"/>
      <c r="AF56" s="367">
        <v>0.11</v>
      </c>
      <c r="AG56" s="367"/>
      <c r="AH56" s="367">
        <v>0.08</v>
      </c>
      <c r="AI56" s="367">
        <v>0.25</v>
      </c>
      <c r="AJ56" s="367">
        <v>0.05</v>
      </c>
      <c r="AK56" s="266"/>
      <c r="AL56" s="266"/>
      <c r="AM56" s="266"/>
      <c r="AN56" s="266"/>
      <c r="AO56" s="335"/>
      <c r="AP56" s="335"/>
      <c r="AQ56" s="335"/>
    </row>
    <row r="57" spans="2:43" x14ac:dyDescent="0.2">
      <c r="B57" s="111"/>
      <c r="C57" s="111"/>
      <c r="E57" s="137" t="s">
        <v>80</v>
      </c>
      <c r="G57" s="168"/>
      <c r="H57" s="168"/>
      <c r="I57" s="265" t="s">
        <v>79</v>
      </c>
      <c r="J57" s="244">
        <f>IFERROR(J54-I54,"NA ")</f>
        <v>30</v>
      </c>
      <c r="K57" s="244">
        <f t="shared" ref="K57" si="198">IFERROR(K54-J54,"NA ")</f>
        <v>17</v>
      </c>
      <c r="L57" s="244">
        <f t="shared" ref="L57" si="199">IFERROR(L54-K54,"NA ")</f>
        <v>38</v>
      </c>
      <c r="M57" s="244">
        <f t="shared" ref="M57" si="200">IFERROR(M54-L54,"NA ")</f>
        <v>-7</v>
      </c>
      <c r="N57" s="244">
        <f t="shared" ref="N57" si="201">IFERROR(N54-M54,"NA ")</f>
        <v>-7</v>
      </c>
      <c r="O57" s="244">
        <f t="shared" ref="O57" si="202">IFERROR(O54-N54,"NA ")</f>
        <v>12.537817531657197</v>
      </c>
      <c r="P57" s="244">
        <f t="shared" ref="P57" si="203">IFERROR(P54-O54,"NA ")</f>
        <v>12.672850252187999</v>
      </c>
      <c r="Q57" s="244">
        <f t="shared" ref="Q57" si="204">IFERROR(Q54-P54,"NA ")</f>
        <v>12.77083080269756</v>
      </c>
      <c r="R57" s="244">
        <f t="shared" ref="R57" si="205">IFERROR(R54-Q54,"NA ")</f>
        <v>12.832704911472433</v>
      </c>
      <c r="S57" s="244">
        <f t="shared" ref="S57" si="206">IFERROR(S54-R54,"NA ")</f>
        <v>12.85968834097676</v>
      </c>
      <c r="T57" s="195"/>
      <c r="U57" s="265"/>
      <c r="V57" s="265"/>
      <c r="W57" s="265"/>
      <c r="X57" s="265" t="s">
        <v>79</v>
      </c>
      <c r="Y57" s="265" t="s">
        <v>79</v>
      </c>
      <c r="Z57" s="265" t="s">
        <v>79</v>
      </c>
      <c r="AA57" s="265" t="s">
        <v>79</v>
      </c>
      <c r="AB57" s="266">
        <f>AB54-X54</f>
        <v>13</v>
      </c>
      <c r="AC57" s="266">
        <f t="shared" ref="AC57" si="207">AC54-Y54</f>
        <v>5</v>
      </c>
      <c r="AD57" s="266">
        <f t="shared" ref="AD57" si="208">AD54-Z54</f>
        <v>1</v>
      </c>
      <c r="AE57" s="266">
        <f t="shared" ref="AE57" si="209">AE54-AA54</f>
        <v>-10</v>
      </c>
      <c r="AF57" s="266">
        <f t="shared" ref="AF57" si="210">AF54-AB54</f>
        <v>-4</v>
      </c>
      <c r="AG57" s="266">
        <f t="shared" ref="AG57" si="211">AG54-AC54</f>
        <v>-6</v>
      </c>
      <c r="AH57" s="266">
        <f t="shared" ref="AH57" si="212">AH54-AD54</f>
        <v>-3</v>
      </c>
      <c r="AI57" s="266">
        <f t="shared" ref="AI57" si="213">AI54-AE54</f>
        <v>5</v>
      </c>
      <c r="AJ57" s="266">
        <f t="shared" ref="AJ57:AK57" si="214">AJ54-AF54</f>
        <v>-2</v>
      </c>
      <c r="AK57" s="266">
        <f t="shared" si="214"/>
        <v>5</v>
      </c>
      <c r="AL57" s="266">
        <f t="shared" ref="AL57" si="215">AL54-AH54</f>
        <v>1.5384283137230028</v>
      </c>
      <c r="AM57" s="266">
        <f t="shared" ref="AM57" si="216">AM54-AI54</f>
        <v>2.6271170248068145</v>
      </c>
      <c r="AN57" s="266">
        <f t="shared" ref="AN57" si="217">AN54-AJ54</f>
        <v>2.3722721931273867</v>
      </c>
      <c r="AO57" s="335"/>
      <c r="AP57" s="335"/>
      <c r="AQ57" s="335"/>
    </row>
    <row r="58" spans="2:43" x14ac:dyDescent="0.2">
      <c r="B58" s="111" t="s">
        <v>83</v>
      </c>
      <c r="C58" s="111"/>
      <c r="G58" s="17" t="s">
        <v>314</v>
      </c>
      <c r="I58" s="188">
        <f>'Company Data'!U130</f>
        <v>15497</v>
      </c>
      <c r="J58" s="188">
        <f>'Company Data'!V130</f>
        <v>21372</v>
      </c>
      <c r="K58" s="188">
        <f>'Company Data'!W130</f>
        <v>26280</v>
      </c>
      <c r="L58" s="188">
        <f>'Company Data'!X130</f>
        <v>29934</v>
      </c>
      <c r="M58" s="188">
        <f>'Company Data'!Y130</f>
        <v>33510</v>
      </c>
      <c r="N58" s="188">
        <f>'Company Data'!Z130</f>
        <v>35418</v>
      </c>
      <c r="O58" s="192">
        <f>O46+O50+O54</f>
        <v>42809.810835179444</v>
      </c>
      <c r="P58" s="192">
        <f>P46+P50+P54</f>
        <v>51125.745198264354</v>
      </c>
      <c r="Q58" s="192">
        <f>Q46+Q50+Q54</f>
        <v>60312.123243259768</v>
      </c>
      <c r="R58" s="193">
        <f>R46+R50+R54</f>
        <v>70286.124343178992</v>
      </c>
      <c r="S58" s="192">
        <f>S46+S50+S54</f>
        <v>80941.006770558437</v>
      </c>
      <c r="T58" s="192"/>
      <c r="U58" s="188">
        <v>5758</v>
      </c>
      <c r="V58" s="188">
        <v>5508</v>
      </c>
      <c r="W58" s="188">
        <v>5922</v>
      </c>
      <c r="X58" s="188">
        <f>'Company Data'!F130</f>
        <v>9093</v>
      </c>
      <c r="Y58" s="188">
        <f>'Company Data'!G130</f>
        <v>6679</v>
      </c>
      <c r="Z58" s="188">
        <f>'Company Data'!H130</f>
        <v>6209</v>
      </c>
      <c r="AA58" s="188">
        <f>'Company Data'!I130</f>
        <v>6791</v>
      </c>
      <c r="AB58" s="188">
        <f>'Company Data'!J130</f>
        <v>10256</v>
      </c>
      <c r="AC58" s="188">
        <f>'Company Data'!K130</f>
        <v>7883</v>
      </c>
      <c r="AD58" s="188">
        <f>'Company Data'!L130</f>
        <v>7341</v>
      </c>
      <c r="AE58" s="188">
        <f>'Company Data'!M130</f>
        <v>7711</v>
      </c>
      <c r="AF58" s="188">
        <f>'Company Data'!N130</f>
        <v>10575</v>
      </c>
      <c r="AG58" s="188">
        <f>'Company Data'!O130</f>
        <v>7745</v>
      </c>
      <c r="AH58" s="188">
        <f>'Company Data'!P130</f>
        <v>7565</v>
      </c>
      <c r="AI58" s="188">
        <f>'Company Data'!Q130</f>
        <v>8267</v>
      </c>
      <c r="AJ58" s="188">
        <f>'Company Data'!R130</f>
        <v>11841</v>
      </c>
      <c r="AK58" s="188">
        <f>'Company Data'!S130</f>
        <v>9566</v>
      </c>
      <c r="AL58" s="192">
        <f>AL46+AL50+AL54</f>
        <v>9261.1459714171706</v>
      </c>
      <c r="AM58" s="192">
        <f>AM46+AM50+AM54</f>
        <v>9788.0840160535081</v>
      </c>
      <c r="AN58" s="192">
        <f>AN46+AN50+AN54</f>
        <v>14194.580847708768</v>
      </c>
      <c r="AO58" s="335"/>
      <c r="AP58" s="335"/>
      <c r="AQ58" s="335"/>
    </row>
    <row r="59" spans="2:43" x14ac:dyDescent="0.2">
      <c r="C59" s="71"/>
      <c r="E59" s="137" t="s">
        <v>78</v>
      </c>
      <c r="G59" s="74"/>
      <c r="H59" s="74"/>
      <c r="I59" s="265" t="s">
        <v>79</v>
      </c>
      <c r="J59" s="197">
        <f t="shared" ref="J59" si="218">IFERROR(J58/I58-1,"NA")</f>
        <v>0.37910563334838998</v>
      </c>
      <c r="K59" s="197">
        <f t="shared" ref="K59" si="219">IFERROR(K58/J58-1,"NA")</f>
        <v>0.22964626614261641</v>
      </c>
      <c r="L59" s="197">
        <f t="shared" ref="L59" si="220">IFERROR(L58/K58-1,"NA")</f>
        <v>0.13904109589041092</v>
      </c>
      <c r="M59" s="197">
        <f>IFERROR(M58/L58-1,"NA")</f>
        <v>0.11946281820004012</v>
      </c>
      <c r="N59" s="197">
        <f t="shared" ref="N59" si="221">IFERROR(N58/M58-1,"NA")</f>
        <v>5.6938227394807583E-2</v>
      </c>
      <c r="O59" s="197">
        <f t="shared" ref="O59" si="222">IFERROR(O58/N58-1,"NA")</f>
        <v>0.2087020959732182</v>
      </c>
      <c r="P59" s="197">
        <f t="shared" ref="P59" si="223">IFERROR(P58/O58-1,"NA")</f>
        <v>0.19425300417938773</v>
      </c>
      <c r="Q59" s="197">
        <f t="shared" ref="Q59" si="224">IFERROR(Q58/P58-1,"NA")</f>
        <v>0.17968203709052788</v>
      </c>
      <c r="R59" s="198">
        <f t="shared" ref="R59" si="225">IFERROR(R58/Q58-1,"NA")</f>
        <v>0.16537307200561657</v>
      </c>
      <c r="S59" s="197">
        <f t="shared" ref="S59" si="226">IFERROR(S58/R58-1,"NA")</f>
        <v>0.151592971257825</v>
      </c>
      <c r="T59" s="197"/>
      <c r="U59" s="265"/>
      <c r="V59" s="265"/>
      <c r="W59" s="265"/>
      <c r="X59" s="265" t="s">
        <v>79</v>
      </c>
      <c r="Y59" s="265" t="s">
        <v>79</v>
      </c>
      <c r="Z59" s="265" t="s">
        <v>79</v>
      </c>
      <c r="AA59" s="265" t="s">
        <v>79</v>
      </c>
      <c r="AB59" s="197">
        <f t="shared" ref="AB59" si="227">IFERROR(AB58/X58-1,"NA")</f>
        <v>0.12790058286594075</v>
      </c>
      <c r="AC59" s="197">
        <f t="shared" ref="AC59" si="228">IFERROR(AC58/Y58-1,"NA")</f>
        <v>0.1802665069621201</v>
      </c>
      <c r="AD59" s="197">
        <f t="shared" ref="AD59" si="229">IFERROR(AD58/Z58-1,"NA")</f>
        <v>0.18231599291351275</v>
      </c>
      <c r="AE59" s="197">
        <f t="shared" ref="AE59" si="230">IFERROR(AE58/AA58-1,"NA")</f>
        <v>0.1354734207038728</v>
      </c>
      <c r="AF59" s="197">
        <f t="shared" ref="AF59" si="231">IFERROR(AF58/AB58-1,"NA")</f>
        <v>3.1103744149765911E-2</v>
      </c>
      <c r="AG59" s="197">
        <f t="shared" ref="AG59" si="232">IFERROR(AG58/AC58-1,"NA")</f>
        <v>-1.7506025624762112E-2</v>
      </c>
      <c r="AH59" s="197">
        <f t="shared" ref="AH59" si="233">IFERROR(AH58/AD58-1,"NA")</f>
        <v>3.0513554011714961E-2</v>
      </c>
      <c r="AI59" s="197">
        <f t="shared" ref="AI59" si="234">IFERROR(AI58/AE58-1,"NA")</f>
        <v>7.2104785371547075E-2</v>
      </c>
      <c r="AJ59" s="197">
        <f>IFERROR(AJ58/AF58-1,"NA")</f>
        <v>0.11971631205673749</v>
      </c>
      <c r="AK59" s="197">
        <f>IFERROR(AK58/AG58-1,"NA")</f>
        <v>0.23511943189154283</v>
      </c>
      <c r="AL59" s="197">
        <f>IFERROR(AL58/AH58-1,"NA")</f>
        <v>0.22420964592427906</v>
      </c>
      <c r="AM59" s="197">
        <f>IFERROR(AM58/AI58-1,"NA")</f>
        <v>0.1839946795758447</v>
      </c>
      <c r="AN59" s="197">
        <f>IFERROR(AN58/AJ58-1,"NA")</f>
        <v>0.19876537857518528</v>
      </c>
      <c r="AO59" s="335"/>
      <c r="AP59" s="335"/>
      <c r="AQ59" s="335"/>
    </row>
    <row r="60" spans="2:43" x14ac:dyDescent="0.2">
      <c r="C60" s="71"/>
      <c r="E60" s="137" t="s">
        <v>312</v>
      </c>
      <c r="G60" s="74"/>
      <c r="H60" s="74"/>
      <c r="I60" s="265"/>
      <c r="J60" s="197"/>
      <c r="K60" s="197"/>
      <c r="L60" s="197"/>
      <c r="M60" s="197"/>
      <c r="N60" s="197"/>
      <c r="O60" s="197"/>
      <c r="P60" s="197"/>
      <c r="Q60" s="197"/>
      <c r="R60" s="198"/>
      <c r="S60" s="197"/>
      <c r="T60" s="197"/>
      <c r="U60" s="265"/>
      <c r="V60" s="265"/>
      <c r="W60" s="265"/>
      <c r="X60" s="265"/>
      <c r="Y60" s="265"/>
      <c r="Z60" s="265"/>
      <c r="AA60" s="265"/>
      <c r="AB60" s="197"/>
      <c r="AC60" s="197"/>
      <c r="AD60" s="197"/>
      <c r="AE60" s="197"/>
      <c r="AF60" s="197">
        <v>0.12</v>
      </c>
      <c r="AG60" s="197">
        <v>0.14000000000000001</v>
      </c>
      <c r="AH60" s="197">
        <v>0.22</v>
      </c>
      <c r="AI60" s="197">
        <v>0.24</v>
      </c>
      <c r="AJ60" s="197">
        <v>0.22</v>
      </c>
      <c r="AK60" s="197"/>
      <c r="AL60" s="197"/>
      <c r="AM60" s="197"/>
      <c r="AN60" s="197"/>
      <c r="AO60" s="335"/>
      <c r="AP60" s="335"/>
      <c r="AQ60" s="335"/>
    </row>
    <row r="61" spans="2:43" x14ac:dyDescent="0.2">
      <c r="C61" s="71"/>
      <c r="E61" s="137" t="s">
        <v>80</v>
      </c>
      <c r="I61" s="265" t="s">
        <v>79</v>
      </c>
      <c r="J61" s="244">
        <f>IFERROR(J58-I58,"NA ")</f>
        <v>5875</v>
      </c>
      <c r="K61" s="244">
        <f t="shared" ref="K61" si="235">IFERROR(K58-J58,"NA ")</f>
        <v>4908</v>
      </c>
      <c r="L61" s="244">
        <f t="shared" ref="L61" si="236">IFERROR(L58-K58,"NA ")</f>
        <v>3654</v>
      </c>
      <c r="M61" s="244">
        <f t="shared" ref="M61" si="237">IFERROR(M58-L58,"NA ")</f>
        <v>3576</v>
      </c>
      <c r="N61" s="244">
        <f t="shared" ref="N61" si="238">IFERROR(N58-M58,"NA ")</f>
        <v>1908</v>
      </c>
      <c r="O61" s="244">
        <f t="shared" ref="O61" si="239">IFERROR(O58-N58,"NA ")</f>
        <v>7391.8108351794435</v>
      </c>
      <c r="P61" s="244">
        <f t="shared" ref="P61" si="240">IFERROR(P58-O58,"NA ")</f>
        <v>8315.9343630849107</v>
      </c>
      <c r="Q61" s="244">
        <f t="shared" ref="Q61" si="241">IFERROR(Q58-P58,"NA ")</f>
        <v>9186.3780449954138</v>
      </c>
      <c r="R61" s="244">
        <f t="shared" ref="R61" si="242">IFERROR(R58-Q58,"NA ")</f>
        <v>9974.0010999192236</v>
      </c>
      <c r="S61" s="244">
        <f t="shared" ref="S61" si="243">IFERROR(S58-R58,"NA ")</f>
        <v>10654.882427379445</v>
      </c>
      <c r="T61" s="195"/>
      <c r="U61" s="265"/>
      <c r="V61" s="265"/>
      <c r="W61" s="265"/>
      <c r="X61" s="265" t="s">
        <v>79</v>
      </c>
      <c r="Y61" s="265" t="s">
        <v>79</v>
      </c>
      <c r="Z61" s="265" t="s">
        <v>79</v>
      </c>
      <c r="AA61" s="265" t="s">
        <v>79</v>
      </c>
      <c r="AB61" s="266">
        <f>AB58-X58</f>
        <v>1163</v>
      </c>
      <c r="AC61" s="266">
        <f t="shared" ref="AC61" si="244">AC58-Y58</f>
        <v>1204</v>
      </c>
      <c r="AD61" s="266">
        <f t="shared" ref="AD61" si="245">AD58-Z58</f>
        <v>1132</v>
      </c>
      <c r="AE61" s="266">
        <f t="shared" ref="AE61" si="246">AE58-AA58</f>
        <v>920</v>
      </c>
      <c r="AF61" s="266">
        <f t="shared" ref="AF61" si="247">AF58-AB58</f>
        <v>319</v>
      </c>
      <c r="AG61" s="266">
        <f t="shared" ref="AG61" si="248">AG58-AC58</f>
        <v>-138</v>
      </c>
      <c r="AH61" s="266">
        <f t="shared" ref="AH61" si="249">AH58-AD58</f>
        <v>224</v>
      </c>
      <c r="AI61" s="266">
        <f t="shared" ref="AI61" si="250">AI58-AE58</f>
        <v>556</v>
      </c>
      <c r="AJ61" s="266">
        <f t="shared" ref="AJ61:AK61" si="251">AJ58-AF58</f>
        <v>1266</v>
      </c>
      <c r="AK61" s="266">
        <f t="shared" si="251"/>
        <v>1821</v>
      </c>
      <c r="AL61" s="266">
        <f t="shared" ref="AL61" si="252">AL58-AH58</f>
        <v>1696.1459714171706</v>
      </c>
      <c r="AM61" s="266">
        <f t="shared" ref="AM61" si="253">AM58-AI58</f>
        <v>1521.0840160535081</v>
      </c>
      <c r="AN61" s="266">
        <f t="shared" ref="AN61" si="254">AN58-AJ58</f>
        <v>2353.5808477087685</v>
      </c>
      <c r="AO61" s="335"/>
      <c r="AP61" s="335"/>
      <c r="AQ61" s="335"/>
    </row>
    <row r="62" spans="2:43" x14ac:dyDescent="0.2">
      <c r="C62" s="71"/>
      <c r="E62" s="137"/>
      <c r="I62" s="265"/>
      <c r="J62" s="244"/>
      <c r="K62" s="244"/>
      <c r="L62" s="244"/>
      <c r="M62" s="244"/>
      <c r="N62" s="244"/>
      <c r="O62" s="244"/>
      <c r="P62" s="244"/>
      <c r="Q62" s="244"/>
      <c r="R62" s="244"/>
      <c r="S62" s="244"/>
      <c r="T62" s="195"/>
      <c r="U62" s="265"/>
      <c r="V62" s="265"/>
      <c r="W62" s="265"/>
      <c r="X62" s="265"/>
      <c r="Y62" s="265"/>
      <c r="Z62" s="265"/>
      <c r="AA62" s="265"/>
      <c r="AB62" s="266"/>
      <c r="AC62" s="266"/>
      <c r="AD62" s="266"/>
      <c r="AE62" s="266"/>
      <c r="AF62" s="266"/>
      <c r="AG62" s="266"/>
      <c r="AH62" s="266"/>
      <c r="AI62" s="266"/>
      <c r="AJ62" s="266"/>
      <c r="AK62" s="266"/>
      <c r="AL62" s="266"/>
      <c r="AM62" s="266"/>
      <c r="AN62" s="266"/>
      <c r="AO62" s="335"/>
      <c r="AP62" s="335"/>
      <c r="AQ62" s="335"/>
    </row>
    <row r="63" spans="2:43" x14ac:dyDescent="0.2">
      <c r="C63" s="111" t="s">
        <v>84</v>
      </c>
      <c r="G63" s="71"/>
      <c r="H63" s="71"/>
      <c r="I63" s="189">
        <f t="shared" ref="I63:S63" si="255">I34+I46</f>
        <v>14888</v>
      </c>
      <c r="J63" s="189">
        <f t="shared" si="255"/>
        <v>17779</v>
      </c>
      <c r="K63" s="189">
        <f t="shared" si="255"/>
        <v>19942</v>
      </c>
      <c r="L63" s="189">
        <f t="shared" si="255"/>
        <v>21716</v>
      </c>
      <c r="M63" s="189">
        <f t="shared" si="255"/>
        <v>22505</v>
      </c>
      <c r="N63" s="189">
        <f t="shared" si="255"/>
        <v>22509</v>
      </c>
      <c r="O63" s="189">
        <f t="shared" si="255"/>
        <v>24314.798031453473</v>
      </c>
      <c r="P63" s="189">
        <f t="shared" si="255"/>
        <v>26075.190649934524</v>
      </c>
      <c r="Q63" s="189">
        <f t="shared" si="255"/>
        <v>27778.4287315027</v>
      </c>
      <c r="R63" s="189">
        <f t="shared" si="255"/>
        <v>29415.089860994791</v>
      </c>
      <c r="S63" s="189">
        <f t="shared" si="255"/>
        <v>30977.98171892656</v>
      </c>
      <c r="T63" s="190"/>
      <c r="U63" s="188">
        <v>4710</v>
      </c>
      <c r="V63" s="188">
        <v>4119</v>
      </c>
      <c r="W63" s="188">
        <v>4600</v>
      </c>
      <c r="X63" s="189">
        <f t="shared" ref="X63:AN63" si="256">X34+X46</f>
        <v>6514</v>
      </c>
      <c r="Y63" s="189">
        <f t="shared" si="256"/>
        <v>5058</v>
      </c>
      <c r="Z63" s="189">
        <f t="shared" si="256"/>
        <v>4397</v>
      </c>
      <c r="AA63" s="189">
        <f t="shared" si="256"/>
        <v>5033</v>
      </c>
      <c r="AB63" s="189">
        <f t="shared" si="256"/>
        <v>7227</v>
      </c>
      <c r="AC63" s="189">
        <f t="shared" si="256"/>
        <v>5467</v>
      </c>
      <c r="AD63" s="189">
        <f t="shared" si="256"/>
        <v>4844</v>
      </c>
      <c r="AE63" s="189">
        <f t="shared" si="256"/>
        <v>5244</v>
      </c>
      <c r="AF63" s="189">
        <f t="shared" si="256"/>
        <v>6950</v>
      </c>
      <c r="AG63" s="189">
        <f t="shared" si="256"/>
        <v>5289</v>
      </c>
      <c r="AH63" s="189">
        <f t="shared" si="256"/>
        <v>4714</v>
      </c>
      <c r="AI63" s="189">
        <f t="shared" si="256"/>
        <v>5283</v>
      </c>
      <c r="AJ63" s="189">
        <f t="shared" si="256"/>
        <v>7223</v>
      </c>
      <c r="AK63" s="189">
        <f t="shared" si="256"/>
        <v>5688</v>
      </c>
      <c r="AL63" s="189">
        <f t="shared" si="256"/>
        <v>5090.6410658307195</v>
      </c>
      <c r="AM63" s="189">
        <f t="shared" si="256"/>
        <v>5699.9991587417699</v>
      </c>
      <c r="AN63" s="189">
        <f t="shared" si="256"/>
        <v>7836.1578068809831</v>
      </c>
      <c r="AO63" s="21"/>
      <c r="AP63" s="21"/>
      <c r="AQ63" s="21"/>
    </row>
    <row r="64" spans="2:43" x14ac:dyDescent="0.2">
      <c r="E64" s="137" t="s">
        <v>78</v>
      </c>
      <c r="G64" s="63"/>
      <c r="H64" s="63"/>
      <c r="I64" s="265" t="s">
        <v>79</v>
      </c>
      <c r="J64" s="195">
        <f t="shared" ref="J64:S64" si="257">IFERROR(J63/I63-1,"NA ")</f>
        <v>0.19418323481998923</v>
      </c>
      <c r="K64" s="195">
        <f t="shared" si="257"/>
        <v>0.12166038584847283</v>
      </c>
      <c r="L64" s="195">
        <f t="shared" si="257"/>
        <v>8.8957978136596116E-2</v>
      </c>
      <c r="M64" s="195">
        <f t="shared" si="257"/>
        <v>3.6332657948056735E-2</v>
      </c>
      <c r="N64" s="195">
        <f t="shared" si="257"/>
        <v>1.7773828038203376E-4</v>
      </c>
      <c r="O64" s="195">
        <f t="shared" si="257"/>
        <v>8.0225600046802237E-2</v>
      </c>
      <c r="P64" s="195">
        <f t="shared" si="257"/>
        <v>7.2400051039034796E-2</v>
      </c>
      <c r="Q64" s="195">
        <f t="shared" si="257"/>
        <v>6.5320254200037953E-2</v>
      </c>
      <c r="R64" s="195">
        <f t="shared" si="257"/>
        <v>5.8918419947777689E-2</v>
      </c>
      <c r="S64" s="195">
        <f t="shared" si="257"/>
        <v>5.3132316281114145E-2</v>
      </c>
      <c r="T64" s="200"/>
      <c r="U64" s="265" t="s">
        <v>79</v>
      </c>
      <c r="V64" s="265" t="s">
        <v>79</v>
      </c>
      <c r="W64" s="265" t="s">
        <v>79</v>
      </c>
      <c r="X64" s="265" t="s">
        <v>79</v>
      </c>
      <c r="Y64" s="195">
        <f>IFERROR(Y63/U63-1,"NA" )</f>
        <v>7.3885350318471321E-2</v>
      </c>
      <c r="Z64" s="195">
        <f>IFERROR(Z63/V63-1,"NA" )</f>
        <v>6.7492109735372674E-2</v>
      </c>
      <c r="AA64" s="195">
        <f>IFERROR(AA63/W63-1,"NA" )</f>
        <v>9.413043478260863E-2</v>
      </c>
      <c r="AB64" s="195">
        <f>IFERROR(AB63/X63-1,"NA" )</f>
        <v>0.10945655511206631</v>
      </c>
      <c r="AC64" s="195">
        <f t="shared" ref="AC64:AN64" si="258">IFERROR(AC63/Y63-1,"NA" )</f>
        <v>8.0862000790826505E-2</v>
      </c>
      <c r="AD64" s="195">
        <f t="shared" si="258"/>
        <v>0.10166022287923582</v>
      </c>
      <c r="AE64" s="195">
        <f t="shared" si="258"/>
        <v>4.1923306179217246E-2</v>
      </c>
      <c r="AF64" s="195">
        <f t="shared" si="258"/>
        <v>-3.8328490383284897E-2</v>
      </c>
      <c r="AG64" s="195">
        <f t="shared" si="258"/>
        <v>-3.255899030546916E-2</v>
      </c>
      <c r="AH64" s="195">
        <f t="shared" si="258"/>
        <v>-2.6837324525185835E-2</v>
      </c>
      <c r="AI64" s="195">
        <f t="shared" si="258"/>
        <v>7.4370709382149958E-3</v>
      </c>
      <c r="AJ64" s="195">
        <f t="shared" si="258"/>
        <v>3.928057553956843E-2</v>
      </c>
      <c r="AK64" s="195">
        <f t="shared" si="258"/>
        <v>7.5439591605218403E-2</v>
      </c>
      <c r="AL64" s="195">
        <f t="shared" si="258"/>
        <v>7.9898401746016035E-2</v>
      </c>
      <c r="AM64" s="195">
        <f t="shared" si="258"/>
        <v>7.8932265519926048E-2</v>
      </c>
      <c r="AN64" s="195">
        <f t="shared" si="258"/>
        <v>8.4889631300149926E-2</v>
      </c>
      <c r="AO64" s="21"/>
      <c r="AP64" s="21"/>
      <c r="AQ64" s="21"/>
    </row>
    <row r="65" spans="1:43" x14ac:dyDescent="0.2">
      <c r="E65" s="137" t="s">
        <v>80</v>
      </c>
      <c r="G65" s="168"/>
      <c r="H65" s="168"/>
      <c r="I65" s="265" t="s">
        <v>79</v>
      </c>
      <c r="J65" s="244">
        <f>IFERROR(J63-I63,"NA ")</f>
        <v>2891</v>
      </c>
      <c r="K65" s="244">
        <f t="shared" ref="K65" si="259">IFERROR(K63-J63,"NA ")</f>
        <v>2163</v>
      </c>
      <c r="L65" s="244">
        <f t="shared" ref="L65" si="260">IFERROR(L63-K63,"NA ")</f>
        <v>1774</v>
      </c>
      <c r="M65" s="244">
        <f t="shared" ref="M65" si="261">IFERROR(M63-L63,"NA ")</f>
        <v>789</v>
      </c>
      <c r="N65" s="244">
        <f t="shared" ref="N65" si="262">IFERROR(N63-M63,"NA ")</f>
        <v>4</v>
      </c>
      <c r="O65" s="244">
        <f t="shared" ref="O65" si="263">IFERROR(O63-N63,"NA ")</f>
        <v>1805.7980314534725</v>
      </c>
      <c r="P65" s="244">
        <f t="shared" ref="P65" si="264">IFERROR(P63-O63,"NA ")</f>
        <v>1760.3926184810516</v>
      </c>
      <c r="Q65" s="244">
        <f t="shared" ref="Q65" si="265">IFERROR(Q63-P63,"NA ")</f>
        <v>1703.2380815681754</v>
      </c>
      <c r="R65" s="244">
        <f t="shared" ref="R65" si="266">IFERROR(R63-Q63,"NA ")</f>
        <v>1636.6611294920913</v>
      </c>
      <c r="S65" s="244">
        <f t="shared" ref="S65" si="267">IFERROR(S63-R63,"NA ")</f>
        <v>1562.8918579317688</v>
      </c>
      <c r="T65" s="195"/>
      <c r="U65" s="265" t="s">
        <v>79</v>
      </c>
      <c r="V65" s="265" t="s">
        <v>79</v>
      </c>
      <c r="W65" s="265" t="s">
        <v>79</v>
      </c>
      <c r="X65" s="265" t="s">
        <v>79</v>
      </c>
      <c r="Y65" s="266">
        <f>Y63-U63</f>
        <v>348</v>
      </c>
      <c r="Z65" s="266">
        <f>Z63-V63</f>
        <v>278</v>
      </c>
      <c r="AA65" s="266">
        <f>AA63-W63</f>
        <v>433</v>
      </c>
      <c r="AB65" s="266">
        <f>AB63-X63</f>
        <v>713</v>
      </c>
      <c r="AC65" s="266">
        <f t="shared" ref="AC65" si="268">AC63-Y63</f>
        <v>409</v>
      </c>
      <c r="AD65" s="266">
        <f t="shared" ref="AD65" si="269">AD63-Z63</f>
        <v>447</v>
      </c>
      <c r="AE65" s="266">
        <f t="shared" ref="AE65" si="270">AE63-AA63</f>
        <v>211</v>
      </c>
      <c r="AF65" s="266">
        <f t="shared" ref="AF65" si="271">AF63-AB63</f>
        <v>-277</v>
      </c>
      <c r="AG65" s="266">
        <f t="shared" ref="AG65" si="272">AG63-AC63</f>
        <v>-178</v>
      </c>
      <c r="AH65" s="266">
        <f t="shared" ref="AH65" si="273">AH63-AD63</f>
        <v>-130</v>
      </c>
      <c r="AI65" s="266">
        <f t="shared" ref="AI65" si="274">AI63-AE63</f>
        <v>39</v>
      </c>
      <c r="AJ65" s="266">
        <f t="shared" ref="AJ65:AK65" si="275">AJ63-AF63</f>
        <v>273</v>
      </c>
      <c r="AK65" s="266">
        <f t="shared" si="275"/>
        <v>399</v>
      </c>
      <c r="AL65" s="266">
        <f t="shared" ref="AL65" si="276">AL63-AH63</f>
        <v>376.64106583071953</v>
      </c>
      <c r="AM65" s="266">
        <f t="shared" ref="AM65" si="277">AM63-AI63</f>
        <v>416.99915874176986</v>
      </c>
      <c r="AN65" s="266">
        <f t="shared" ref="AN65" si="278">AN63-AJ63</f>
        <v>613.15780688098312</v>
      </c>
      <c r="AO65" s="21"/>
      <c r="AP65" s="21"/>
      <c r="AQ65" s="21"/>
    </row>
    <row r="66" spans="1:43" x14ac:dyDescent="0.2">
      <c r="C66" s="126" t="str">
        <f>C37</f>
        <v>Electronics and other general merchandise</v>
      </c>
      <c r="G66" s="75"/>
      <c r="H66" s="75"/>
      <c r="I66" s="187">
        <f t="shared" ref="I66:S66" si="279">I37+I50</f>
        <v>18363</v>
      </c>
      <c r="J66" s="187">
        <f t="shared" si="279"/>
        <v>28712</v>
      </c>
      <c r="K66" s="187">
        <f t="shared" si="279"/>
        <v>38628</v>
      </c>
      <c r="L66" s="187">
        <f t="shared" si="279"/>
        <v>48802</v>
      </c>
      <c r="M66" s="187">
        <f t="shared" si="279"/>
        <v>60886</v>
      </c>
      <c r="N66" s="187">
        <f t="shared" si="279"/>
        <v>75597</v>
      </c>
      <c r="O66" s="187">
        <f t="shared" si="279"/>
        <v>97589.961293509856</v>
      </c>
      <c r="P66" s="187">
        <f t="shared" si="279"/>
        <v>123160.29308496477</v>
      </c>
      <c r="Q66" s="187">
        <f t="shared" si="279"/>
        <v>152222.3689545895</v>
      </c>
      <c r="R66" s="187">
        <f t="shared" si="279"/>
        <v>184569.35472039593</v>
      </c>
      <c r="S66" s="187">
        <f t="shared" si="279"/>
        <v>219886.94574565272</v>
      </c>
      <c r="T66" s="169"/>
      <c r="U66" s="355">
        <v>7975</v>
      </c>
      <c r="V66" s="355">
        <v>8161</v>
      </c>
      <c r="W66" s="355">
        <v>8558</v>
      </c>
      <c r="X66" s="187">
        <f t="shared" ref="X66:AN66" si="280">X37+X50</f>
        <v>13934</v>
      </c>
      <c r="Y66" s="187">
        <f t="shared" si="280"/>
        <v>10214</v>
      </c>
      <c r="Z66" s="187">
        <f t="shared" si="280"/>
        <v>10415</v>
      </c>
      <c r="AA66" s="187">
        <f t="shared" si="280"/>
        <v>11048</v>
      </c>
      <c r="AB66" s="187">
        <f t="shared" si="280"/>
        <v>17126</v>
      </c>
      <c r="AC66" s="187">
        <f t="shared" si="280"/>
        <v>13017</v>
      </c>
      <c r="AD66" s="187">
        <f t="shared" si="280"/>
        <v>13278</v>
      </c>
      <c r="AE66" s="187">
        <f t="shared" si="280"/>
        <v>13953</v>
      </c>
      <c r="AF66" s="187">
        <f t="shared" si="280"/>
        <v>20638</v>
      </c>
      <c r="AG66" s="187">
        <f t="shared" si="280"/>
        <v>15628</v>
      </c>
      <c r="AH66" s="187">
        <f t="shared" si="280"/>
        <v>16412</v>
      </c>
      <c r="AI66" s="187">
        <f t="shared" si="280"/>
        <v>17741</v>
      </c>
      <c r="AJ66" s="187">
        <f t="shared" si="280"/>
        <v>25816</v>
      </c>
      <c r="AK66" s="187">
        <f t="shared" si="280"/>
        <v>20545</v>
      </c>
      <c r="AL66" s="187">
        <f t="shared" si="280"/>
        <v>21423.193749999999</v>
      </c>
      <c r="AM66" s="187">
        <f t="shared" si="280"/>
        <v>23002.456899028701</v>
      </c>
      <c r="AN66" s="187">
        <f t="shared" si="280"/>
        <v>32619.310644481156</v>
      </c>
      <c r="AO66" s="21"/>
      <c r="AP66" s="21"/>
      <c r="AQ66" s="21"/>
    </row>
    <row r="67" spans="1:43" x14ac:dyDescent="0.2">
      <c r="E67" s="137" t="s">
        <v>78</v>
      </c>
      <c r="G67" s="63"/>
      <c r="H67" s="63"/>
      <c r="I67" s="265" t="s">
        <v>79</v>
      </c>
      <c r="J67" s="195">
        <f t="shared" ref="J67:S67" si="281">IFERROR(J66/I66-1,"NA ")</f>
        <v>0.56357893590371955</v>
      </c>
      <c r="K67" s="195">
        <f t="shared" si="281"/>
        <v>0.34536082474226815</v>
      </c>
      <c r="L67" s="195">
        <f t="shared" si="281"/>
        <v>0.26338407372890127</v>
      </c>
      <c r="M67" s="195">
        <f t="shared" si="281"/>
        <v>0.24761280275398545</v>
      </c>
      <c r="N67" s="195">
        <f t="shared" si="281"/>
        <v>0.24161547810662554</v>
      </c>
      <c r="O67" s="195">
        <f t="shared" si="281"/>
        <v>0.29092373101458868</v>
      </c>
      <c r="P67" s="195">
        <f t="shared" si="281"/>
        <v>0.26201805444465776</v>
      </c>
      <c r="Q67" s="195">
        <f t="shared" si="281"/>
        <v>0.23596952509341329</v>
      </c>
      <c r="R67" s="195">
        <f t="shared" si="281"/>
        <v>0.21249824180213661</v>
      </c>
      <c r="S67" s="195">
        <f t="shared" si="281"/>
        <v>0.19135132741163563</v>
      </c>
      <c r="T67" s="200"/>
      <c r="U67" s="265" t="s">
        <v>79</v>
      </c>
      <c r="V67" s="265" t="s">
        <v>79</v>
      </c>
      <c r="W67" s="265" t="s">
        <v>79</v>
      </c>
      <c r="X67" s="265" t="s">
        <v>79</v>
      </c>
      <c r="Y67" s="195">
        <f>IFERROR(Y66/U66-1,"NA" )</f>
        <v>0.28075235109717878</v>
      </c>
      <c r="Z67" s="195">
        <f>IFERROR(Z66/V66-1,"NA" )</f>
        <v>0.27619164318098277</v>
      </c>
      <c r="AA67" s="195">
        <f>IFERROR(AA66/W66-1,"NA" )</f>
        <v>0.29095583080158915</v>
      </c>
      <c r="AB67" s="195">
        <f>IFERROR(AB66/X66-1,"NA ")</f>
        <v>0.22907994832783118</v>
      </c>
      <c r="AC67" s="195">
        <f t="shared" ref="AC67:AN67" si="282">IFERROR(AC66/Y66-1,"NA ")</f>
        <v>0.27442725670648138</v>
      </c>
      <c r="AD67" s="195">
        <f t="shared" si="282"/>
        <v>0.2748919827172347</v>
      </c>
      <c r="AE67" s="195">
        <f t="shared" si="282"/>
        <v>0.2629435191889935</v>
      </c>
      <c r="AF67" s="195">
        <f t="shared" si="282"/>
        <v>0.205068317178559</v>
      </c>
      <c r="AG67" s="195">
        <f t="shared" si="282"/>
        <v>0.20058385188599526</v>
      </c>
      <c r="AH67" s="195">
        <f t="shared" si="282"/>
        <v>0.23602952251845166</v>
      </c>
      <c r="AI67" s="195">
        <f t="shared" si="282"/>
        <v>0.27148283523256644</v>
      </c>
      <c r="AJ67" s="195">
        <f t="shared" si="282"/>
        <v>0.250896404690377</v>
      </c>
      <c r="AK67" s="195">
        <f t="shared" si="282"/>
        <v>0.31462759150243147</v>
      </c>
      <c r="AL67" s="195">
        <f t="shared" si="282"/>
        <v>0.30533717706556174</v>
      </c>
      <c r="AM67" s="195">
        <f t="shared" si="282"/>
        <v>0.29657048075242098</v>
      </c>
      <c r="AN67" s="195">
        <f t="shared" si="282"/>
        <v>0.26353078108464345</v>
      </c>
      <c r="AO67" s="21"/>
      <c r="AP67" s="21"/>
      <c r="AQ67" s="21"/>
    </row>
    <row r="68" spans="1:43" x14ac:dyDescent="0.2">
      <c r="E68" s="137" t="s">
        <v>80</v>
      </c>
      <c r="G68" s="168"/>
      <c r="H68" s="168"/>
      <c r="I68" s="265" t="s">
        <v>79</v>
      </c>
      <c r="J68" s="244">
        <f>IFERROR(J66-I66,"NA ")</f>
        <v>10349</v>
      </c>
      <c r="K68" s="244">
        <f t="shared" ref="K68" si="283">IFERROR(K66-J66,"NA ")</f>
        <v>9916</v>
      </c>
      <c r="L68" s="244">
        <f t="shared" ref="L68" si="284">IFERROR(L66-K66,"NA ")</f>
        <v>10174</v>
      </c>
      <c r="M68" s="244">
        <f t="shared" ref="M68" si="285">IFERROR(M66-L66,"NA ")</f>
        <v>12084</v>
      </c>
      <c r="N68" s="244">
        <f t="shared" ref="N68" si="286">IFERROR(N66-M66,"NA ")</f>
        <v>14711</v>
      </c>
      <c r="O68" s="244">
        <f t="shared" ref="O68" si="287">IFERROR(O66-N66,"NA ")</f>
        <v>21992.961293509856</v>
      </c>
      <c r="P68" s="244">
        <f t="shared" ref="P68" si="288">IFERROR(P66-O66,"NA ")</f>
        <v>25570.331791454912</v>
      </c>
      <c r="Q68" s="244">
        <f t="shared" ref="Q68" si="289">IFERROR(Q66-P66,"NA ")</f>
        <v>29062.075869624736</v>
      </c>
      <c r="R68" s="244">
        <f t="shared" ref="R68" si="290">IFERROR(R66-Q66,"NA ")</f>
        <v>32346.985765806428</v>
      </c>
      <c r="S68" s="244">
        <f t="shared" ref="S68" si="291">IFERROR(S66-R66,"NA ")</f>
        <v>35317.591025256785</v>
      </c>
      <c r="T68" s="195"/>
      <c r="U68" s="265" t="s">
        <v>79</v>
      </c>
      <c r="V68" s="265" t="s">
        <v>79</v>
      </c>
      <c r="W68" s="265" t="s">
        <v>79</v>
      </c>
      <c r="X68" s="265" t="s">
        <v>79</v>
      </c>
      <c r="Y68" s="266">
        <f>Y66-U66</f>
        <v>2239</v>
      </c>
      <c r="Z68" s="266">
        <f>Z66-V66</f>
        <v>2254</v>
      </c>
      <c r="AA68" s="266">
        <f>AA66-W66</f>
        <v>2490</v>
      </c>
      <c r="AB68" s="266">
        <f>AB66-X66</f>
        <v>3192</v>
      </c>
      <c r="AC68" s="266">
        <f t="shared" ref="AC68" si="292">AC66-Y66</f>
        <v>2803</v>
      </c>
      <c r="AD68" s="266">
        <f t="shared" ref="AD68" si="293">AD66-Z66</f>
        <v>2863</v>
      </c>
      <c r="AE68" s="266">
        <f t="shared" ref="AE68" si="294">AE66-AA66</f>
        <v>2905</v>
      </c>
      <c r="AF68" s="266">
        <f t="shared" ref="AF68" si="295">AF66-AB66</f>
        <v>3512</v>
      </c>
      <c r="AG68" s="266">
        <f t="shared" ref="AG68" si="296">AG66-AC66</f>
        <v>2611</v>
      </c>
      <c r="AH68" s="266">
        <f t="shared" ref="AH68" si="297">AH66-AD66</f>
        <v>3134</v>
      </c>
      <c r="AI68" s="266">
        <f t="shared" ref="AI68" si="298">AI66-AE66</f>
        <v>3788</v>
      </c>
      <c r="AJ68" s="266">
        <f t="shared" ref="AJ68:AK68" si="299">AJ66-AF66</f>
        <v>5178</v>
      </c>
      <c r="AK68" s="266">
        <f t="shared" si="299"/>
        <v>4917</v>
      </c>
      <c r="AL68" s="266">
        <f t="shared" ref="AL68" si="300">AL66-AH66</f>
        <v>5011.1937499999985</v>
      </c>
      <c r="AM68" s="266">
        <f t="shared" ref="AM68" si="301">AM66-AI66</f>
        <v>5261.4568990287007</v>
      </c>
      <c r="AN68" s="266">
        <f t="shared" ref="AN68" si="302">AN66-AJ66</f>
        <v>6803.3106444811565</v>
      </c>
      <c r="AO68" s="21"/>
      <c r="AP68" s="21"/>
      <c r="AQ68" s="21"/>
    </row>
    <row r="69" spans="1:43" x14ac:dyDescent="0.2">
      <c r="C69" s="111" t="str">
        <f>C40</f>
        <v>Other</v>
      </c>
      <c r="G69" s="71"/>
      <c r="H69" s="71"/>
      <c r="I69" s="187">
        <f t="shared" ref="I69:S69" si="303">I40+I54</f>
        <v>953</v>
      </c>
      <c r="J69" s="187">
        <f t="shared" si="303"/>
        <v>1586</v>
      </c>
      <c r="K69" s="187">
        <f t="shared" si="303"/>
        <v>2523</v>
      </c>
      <c r="L69" s="187">
        <f t="shared" si="303"/>
        <v>826</v>
      </c>
      <c r="M69" s="187">
        <f t="shared" si="303"/>
        <v>953</v>
      </c>
      <c r="N69" s="187">
        <f t="shared" si="303"/>
        <v>1020</v>
      </c>
      <c r="O69" s="187">
        <f t="shared" si="303"/>
        <v>1248.1767108123167</v>
      </c>
      <c r="P69" s="187">
        <f t="shared" si="303"/>
        <v>1532.9206537326734</v>
      </c>
      <c r="Q69" s="187">
        <f t="shared" si="303"/>
        <v>1888.9629525877917</v>
      </c>
      <c r="R69" s="187">
        <f t="shared" si="303"/>
        <v>2334.9004744177664</v>
      </c>
      <c r="S69" s="187">
        <f t="shared" si="303"/>
        <v>2894.2075080690279</v>
      </c>
      <c r="T69" s="169"/>
      <c r="U69" s="355">
        <v>500</v>
      </c>
      <c r="V69" s="355">
        <v>554</v>
      </c>
      <c r="W69" s="355">
        <v>648</v>
      </c>
      <c r="X69" s="187">
        <f t="shared" ref="X69:AN69" si="304">X40+X54</f>
        <v>820</v>
      </c>
      <c r="Y69" s="187">
        <f t="shared" si="304"/>
        <v>798</v>
      </c>
      <c r="Z69" s="187">
        <f t="shared" si="304"/>
        <v>892</v>
      </c>
      <c r="AA69" s="187">
        <f t="shared" si="304"/>
        <v>1011</v>
      </c>
      <c r="AB69" s="187">
        <f t="shared" si="304"/>
        <v>1234</v>
      </c>
      <c r="AC69" s="187">
        <f t="shared" si="304"/>
        <v>207</v>
      </c>
      <c r="AD69" s="187">
        <f t="shared" si="304"/>
        <v>213</v>
      </c>
      <c r="AE69" s="187">
        <f t="shared" si="304"/>
        <v>213</v>
      </c>
      <c r="AF69" s="187">
        <f t="shared" si="304"/>
        <v>320</v>
      </c>
      <c r="AG69" s="187">
        <f t="shared" si="304"/>
        <v>234</v>
      </c>
      <c r="AH69" s="187">
        <f t="shared" si="304"/>
        <v>235</v>
      </c>
      <c r="AI69" s="187">
        <f t="shared" si="304"/>
        <v>249</v>
      </c>
      <c r="AJ69" s="187">
        <f t="shared" si="304"/>
        <v>303</v>
      </c>
      <c r="AK69" s="187">
        <f t="shared" si="304"/>
        <v>329</v>
      </c>
      <c r="AL69" s="187">
        <f t="shared" si="304"/>
        <v>272.27184076102344</v>
      </c>
      <c r="AM69" s="187">
        <f t="shared" si="304"/>
        <v>291.86625139680348</v>
      </c>
      <c r="AN69" s="187">
        <f t="shared" si="304"/>
        <v>355.03861865448965</v>
      </c>
      <c r="AO69" s="21"/>
      <c r="AP69" s="21"/>
      <c r="AQ69" s="21"/>
    </row>
    <row r="70" spans="1:43" x14ac:dyDescent="0.2">
      <c r="E70" s="137" t="s">
        <v>78</v>
      </c>
      <c r="G70" s="63"/>
      <c r="H70" s="63"/>
      <c r="I70" s="265" t="s">
        <v>79</v>
      </c>
      <c r="J70" s="195">
        <f t="shared" ref="J70:S70" si="305">IFERROR(J69/I69-1,"NA ")</f>
        <v>0.66421825813221402</v>
      </c>
      <c r="K70" s="195">
        <f t="shared" si="305"/>
        <v>0.59079445145018905</v>
      </c>
      <c r="L70" s="195">
        <f t="shared" si="305"/>
        <v>-0.67261196987713046</v>
      </c>
      <c r="M70" s="195">
        <f t="shared" si="305"/>
        <v>0.15375302663438251</v>
      </c>
      <c r="N70" s="195">
        <f t="shared" si="305"/>
        <v>7.0304302203567648E-2</v>
      </c>
      <c r="O70" s="195">
        <f t="shared" si="305"/>
        <v>0.22370265765913411</v>
      </c>
      <c r="P70" s="195">
        <f t="shared" si="305"/>
        <v>0.22812790885598599</v>
      </c>
      <c r="Q70" s="195">
        <f t="shared" si="305"/>
        <v>0.23226401052667178</v>
      </c>
      <c r="R70" s="195">
        <f t="shared" si="305"/>
        <v>0.23607531382183056</v>
      </c>
      <c r="S70" s="195">
        <f t="shared" si="305"/>
        <v>0.23954213028747229</v>
      </c>
      <c r="T70" s="200"/>
      <c r="U70" s="265" t="s">
        <v>79</v>
      </c>
      <c r="V70" s="265" t="s">
        <v>79</v>
      </c>
      <c r="W70" s="265" t="s">
        <v>79</v>
      </c>
      <c r="X70" s="265" t="s">
        <v>79</v>
      </c>
      <c r="Y70" s="195">
        <f>IFERROR(Y69/U69-1,"NA" )</f>
        <v>0.59600000000000009</v>
      </c>
      <c r="Z70" s="195">
        <f>IFERROR(Z69/V69-1,"NA" )</f>
        <v>0.61010830324909748</v>
      </c>
      <c r="AA70" s="195">
        <f>IFERROR(AA69/W69-1,"NA" )</f>
        <v>0.56018518518518512</v>
      </c>
      <c r="AB70" s="195">
        <f>IFERROR(AB69/X69-1,"NA ")</f>
        <v>0.50487804878048781</v>
      </c>
      <c r="AC70" s="195">
        <f t="shared" ref="AC70:AN70" si="306">IFERROR(AC69/Y69-1,"NA ")</f>
        <v>-0.74060150375939848</v>
      </c>
      <c r="AD70" s="195">
        <f t="shared" si="306"/>
        <v>-0.7612107623318386</v>
      </c>
      <c r="AE70" s="195">
        <f t="shared" si="306"/>
        <v>-0.78931750741839757</v>
      </c>
      <c r="AF70" s="195">
        <f t="shared" si="306"/>
        <v>-0.74068071312803885</v>
      </c>
      <c r="AG70" s="195">
        <f t="shared" si="306"/>
        <v>0.13043478260869557</v>
      </c>
      <c r="AH70" s="195">
        <f t="shared" si="306"/>
        <v>0.10328638497652576</v>
      </c>
      <c r="AI70" s="195">
        <f t="shared" si="306"/>
        <v>0.16901408450704225</v>
      </c>
      <c r="AJ70" s="195">
        <f t="shared" si="306"/>
        <v>-5.3124999999999978E-2</v>
      </c>
      <c r="AK70" s="195">
        <f t="shared" si="306"/>
        <v>0.40598290598290587</v>
      </c>
      <c r="AL70" s="195">
        <f t="shared" si="306"/>
        <v>0.1586035777064827</v>
      </c>
      <c r="AM70" s="195">
        <f t="shared" si="306"/>
        <v>0.1721536200674838</v>
      </c>
      <c r="AN70" s="195">
        <f t="shared" si="306"/>
        <v>0.171744616021418</v>
      </c>
      <c r="AO70" s="21"/>
      <c r="AP70" s="21"/>
      <c r="AQ70" s="21"/>
    </row>
    <row r="71" spans="1:43" x14ac:dyDescent="0.2">
      <c r="E71" s="137" t="s">
        <v>80</v>
      </c>
      <c r="G71" s="168"/>
      <c r="H71" s="168"/>
      <c r="I71" s="265" t="s">
        <v>79</v>
      </c>
      <c r="J71" s="244">
        <f>IFERROR(J69-I69,"NA ")</f>
        <v>633</v>
      </c>
      <c r="K71" s="244">
        <f t="shared" ref="K71" si="307">IFERROR(K69-J69,"NA ")</f>
        <v>937</v>
      </c>
      <c r="L71" s="244">
        <f t="shared" ref="L71" si="308">IFERROR(L69-K69,"NA ")</f>
        <v>-1697</v>
      </c>
      <c r="M71" s="244">
        <f t="shared" ref="M71" si="309">IFERROR(M69-L69,"NA ")</f>
        <v>127</v>
      </c>
      <c r="N71" s="244">
        <f t="shared" ref="N71" si="310">IFERROR(N69-M69,"NA ")</f>
        <v>67</v>
      </c>
      <c r="O71" s="244">
        <f t="shared" ref="O71" si="311">IFERROR(O69-N69,"NA ")</f>
        <v>228.17671081231674</v>
      </c>
      <c r="P71" s="244">
        <f t="shared" ref="P71" si="312">IFERROR(P69-O69,"NA ")</f>
        <v>284.74394292035663</v>
      </c>
      <c r="Q71" s="244">
        <f t="shared" ref="Q71" si="313">IFERROR(Q69-P69,"NA ")</f>
        <v>356.04229885511836</v>
      </c>
      <c r="R71" s="244">
        <f t="shared" ref="R71" si="314">IFERROR(R69-Q69,"NA ")</f>
        <v>445.93752182997468</v>
      </c>
      <c r="S71" s="244">
        <f t="shared" ref="S71" si="315">IFERROR(S69-R69,"NA ")</f>
        <v>559.30703365126146</v>
      </c>
      <c r="T71" s="195"/>
      <c r="U71" s="265" t="s">
        <v>79</v>
      </c>
      <c r="V71" s="265" t="s">
        <v>79</v>
      </c>
      <c r="W71" s="265" t="s">
        <v>79</v>
      </c>
      <c r="X71" s="265" t="s">
        <v>79</v>
      </c>
      <c r="Y71" s="266">
        <f>Y69-U69</f>
        <v>298</v>
      </c>
      <c r="Z71" s="266">
        <f>Z69-V69</f>
        <v>338</v>
      </c>
      <c r="AA71" s="266">
        <f>AA69-W69</f>
        <v>363</v>
      </c>
      <c r="AB71" s="266">
        <f>AB69-X69</f>
        <v>414</v>
      </c>
      <c r="AC71" s="266">
        <f t="shared" ref="AC71" si="316">AC69-Y69</f>
        <v>-591</v>
      </c>
      <c r="AD71" s="266">
        <f t="shared" ref="AD71" si="317">AD69-Z69</f>
        <v>-679</v>
      </c>
      <c r="AE71" s="266">
        <f t="shared" ref="AE71" si="318">AE69-AA69</f>
        <v>-798</v>
      </c>
      <c r="AF71" s="266">
        <f t="shared" ref="AF71" si="319">AF69-AB69</f>
        <v>-914</v>
      </c>
      <c r="AG71" s="266">
        <f t="shared" ref="AG71" si="320">AG69-AC69</f>
        <v>27</v>
      </c>
      <c r="AH71" s="266">
        <f t="shared" ref="AH71" si="321">AH69-AD69</f>
        <v>22</v>
      </c>
      <c r="AI71" s="266">
        <f t="shared" ref="AI71" si="322">AI69-AE69</f>
        <v>36</v>
      </c>
      <c r="AJ71" s="266">
        <f t="shared" ref="AJ71:AK71" si="323">AJ69-AF69</f>
        <v>-17</v>
      </c>
      <c r="AK71" s="266">
        <f t="shared" si="323"/>
        <v>95</v>
      </c>
      <c r="AL71" s="266">
        <f t="shared" ref="AL71" si="324">AL69-AH69</f>
        <v>37.271840761023441</v>
      </c>
      <c r="AM71" s="266">
        <f t="shared" ref="AM71" si="325">AM69-AI69</f>
        <v>42.866251396803477</v>
      </c>
      <c r="AN71" s="266">
        <f t="shared" ref="AN71" si="326">AN69-AJ69</f>
        <v>52.038618654489653</v>
      </c>
      <c r="AO71" s="21"/>
      <c r="AP71" s="21"/>
      <c r="AQ71" s="21"/>
    </row>
    <row r="72" spans="1:43" x14ac:dyDescent="0.2">
      <c r="C72" s="111" t="str">
        <f>'Company Data'!B135</f>
        <v>AWS</v>
      </c>
      <c r="E72" s="111"/>
      <c r="G72" s="17" t="s">
        <v>315</v>
      </c>
      <c r="H72" s="71"/>
      <c r="I72" s="145" t="str">
        <f>'Company Data'!U135</f>
        <v xml:space="preserve">NA </v>
      </c>
      <c r="J72" s="145" t="str">
        <f>'Company Data'!V135</f>
        <v xml:space="preserve">NA </v>
      </c>
      <c r="K72" s="145" t="str">
        <f>'Company Data'!W135</f>
        <v xml:space="preserve">NA </v>
      </c>
      <c r="L72" s="145">
        <f>'Company Data'!X135</f>
        <v>3108</v>
      </c>
      <c r="M72" s="145">
        <f>'Company Data'!Y135</f>
        <v>4644</v>
      </c>
      <c r="N72" s="145">
        <f>'Company Data'!Z135</f>
        <v>7880</v>
      </c>
      <c r="O72" s="145">
        <f>SUM(AK72:AN72)</f>
        <v>12126.293103448275</v>
      </c>
      <c r="P72" s="183">
        <f>O72+P74</f>
        <v>18072.586206896551</v>
      </c>
      <c r="Q72" s="183">
        <f t="shared" ref="Q72:S72" si="327">P72+Q74</f>
        <v>25518.879310344826</v>
      </c>
      <c r="R72" s="183">
        <f t="shared" si="327"/>
        <v>34165.172413793101</v>
      </c>
      <c r="S72" s="183">
        <f t="shared" si="327"/>
        <v>43811.465517241377</v>
      </c>
      <c r="T72" s="159"/>
      <c r="U72" s="265" t="s">
        <v>79</v>
      </c>
      <c r="V72" s="265" t="s">
        <v>79</v>
      </c>
      <c r="W72" s="265" t="s">
        <v>79</v>
      </c>
      <c r="X72" s="265" t="s">
        <v>79</v>
      </c>
      <c r="Y72" s="265" t="s">
        <v>79</v>
      </c>
      <c r="Z72" s="265" t="s">
        <v>79</v>
      </c>
      <c r="AA72" s="265" t="s">
        <v>79</v>
      </c>
      <c r="AB72" s="145" t="str">
        <f>'Company Data'!J135</f>
        <v xml:space="preserve">NA </v>
      </c>
      <c r="AC72" s="145">
        <f>'Company Data'!K135</f>
        <v>1050</v>
      </c>
      <c r="AD72" s="145">
        <f>'Company Data'!L135</f>
        <v>1005</v>
      </c>
      <c r="AE72" s="145">
        <f>'Company Data'!M135</f>
        <v>1169</v>
      </c>
      <c r="AF72" s="145">
        <f>'Company Data'!N135</f>
        <v>1420</v>
      </c>
      <c r="AG72" s="145">
        <f>'Company Data'!O135</f>
        <v>1566</v>
      </c>
      <c r="AH72" s="145">
        <f>'Company Data'!P135</f>
        <v>1824</v>
      </c>
      <c r="AI72" s="145">
        <f>'Company Data'!Q135</f>
        <v>2085</v>
      </c>
      <c r="AJ72" s="145">
        <f>'Company Data'!R135</f>
        <v>2405</v>
      </c>
      <c r="AK72" s="145">
        <f>'Company Data'!S135</f>
        <v>2566</v>
      </c>
      <c r="AL72" s="183">
        <f>AH72*(1+AL73)</f>
        <v>2872.2758620689656</v>
      </c>
      <c r="AM72" s="183">
        <f>AI72*(1+AM73)</f>
        <v>3163.4482758620688</v>
      </c>
      <c r="AN72" s="183">
        <f>AJ72*(1+AN73)</f>
        <v>3524.5689655172418</v>
      </c>
      <c r="AO72" s="21"/>
      <c r="AP72" s="21"/>
      <c r="AQ72" s="21"/>
    </row>
    <row r="73" spans="1:43" x14ac:dyDescent="0.2">
      <c r="E73" s="137" t="s">
        <v>78</v>
      </c>
      <c r="G73" s="63" t="s">
        <v>319</v>
      </c>
      <c r="H73" s="63"/>
      <c r="I73" s="265" t="s">
        <v>79</v>
      </c>
      <c r="J73" s="265" t="s">
        <v>79</v>
      </c>
      <c r="K73" s="265" t="s">
        <v>79</v>
      </c>
      <c r="L73" s="265" t="s">
        <v>79</v>
      </c>
      <c r="M73" s="195">
        <f t="shared" ref="M73:N73" si="328">IFERROR(M72/L72-1,"NA ")</f>
        <v>0.49420849420849411</v>
      </c>
      <c r="N73" s="195">
        <f t="shared" si="328"/>
        <v>0.69681309216192933</v>
      </c>
      <c r="O73" s="195">
        <f>IFERROR(O72/N72-1,"NA ")</f>
        <v>0.5388696831787152</v>
      </c>
      <c r="P73" s="195">
        <f t="shared" ref="P73:S73" si="329">IFERROR(P72/O72-1,"NA ")</f>
        <v>0.49036362990082827</v>
      </c>
      <c r="Q73" s="195">
        <f t="shared" si="329"/>
        <v>0.41202144608427704</v>
      </c>
      <c r="R73" s="195">
        <f t="shared" si="329"/>
        <v>0.33881946766930504</v>
      </c>
      <c r="S73" s="195">
        <f t="shared" si="329"/>
        <v>0.28234287790550971</v>
      </c>
      <c r="T73" s="202"/>
      <c r="U73" s="265" t="s">
        <v>79</v>
      </c>
      <c r="V73" s="265" t="s">
        <v>79</v>
      </c>
      <c r="W73" s="265" t="s">
        <v>79</v>
      </c>
      <c r="X73" s="265" t="s">
        <v>79</v>
      </c>
      <c r="Y73" s="265" t="s">
        <v>79</v>
      </c>
      <c r="Z73" s="265" t="s">
        <v>79</v>
      </c>
      <c r="AA73" s="265" t="s">
        <v>79</v>
      </c>
      <c r="AB73" s="265" t="s">
        <v>79</v>
      </c>
      <c r="AC73" s="265" t="s">
        <v>79</v>
      </c>
      <c r="AD73" s="265" t="s">
        <v>79</v>
      </c>
      <c r="AE73" s="265" t="s">
        <v>79</v>
      </c>
      <c r="AF73" s="265" t="s">
        <v>79</v>
      </c>
      <c r="AG73" s="195">
        <f t="shared" ref="AG73" si="330">AG72/AC72-1</f>
        <v>0.49142857142857133</v>
      </c>
      <c r="AH73" s="195">
        <f t="shared" ref="AH73" si="331">AH72/AD72-1</f>
        <v>0.81492537313432845</v>
      </c>
      <c r="AI73" s="195">
        <f t="shared" ref="AI73" si="332">AI72/AE72-1</f>
        <v>0.78357570573139435</v>
      </c>
      <c r="AJ73" s="195">
        <f t="shared" ref="AJ73:AK73" si="333">AJ72/AF72-1</f>
        <v>0.69366197183098599</v>
      </c>
      <c r="AK73" s="195">
        <f t="shared" si="333"/>
        <v>0.63856960408684538</v>
      </c>
      <c r="AL73" s="201">
        <f>AK73*0.9</f>
        <v>0.57471264367816088</v>
      </c>
      <c r="AM73" s="201">
        <f>AL73*0.9</f>
        <v>0.51724137931034486</v>
      </c>
      <c r="AN73" s="201">
        <f>AM73*0.9</f>
        <v>0.46551724137931039</v>
      </c>
      <c r="AO73" s="76"/>
      <c r="AP73" s="76"/>
      <c r="AQ73" s="76"/>
    </row>
    <row r="74" spans="1:43" x14ac:dyDescent="0.2">
      <c r="E74" s="137" t="s">
        <v>80</v>
      </c>
      <c r="G74" s="168"/>
      <c r="H74" s="168"/>
      <c r="I74" s="265" t="s">
        <v>79</v>
      </c>
      <c r="J74" s="265" t="s">
        <v>79</v>
      </c>
      <c r="K74" s="265" t="s">
        <v>79</v>
      </c>
      <c r="L74" s="265" t="s">
        <v>79</v>
      </c>
      <c r="M74" s="244">
        <f t="shared" ref="M74" si="334">IFERROR(M72-L72,"NA ")</f>
        <v>1536</v>
      </c>
      <c r="N74" s="244">
        <f t="shared" ref="N74" si="335">IFERROR(N72-M72,"NA ")</f>
        <v>3236</v>
      </c>
      <c r="O74" s="244">
        <f t="shared" ref="O74" si="336">IFERROR(O72-N72,"NA ")</f>
        <v>4246.2931034482754</v>
      </c>
      <c r="P74" s="355">
        <f>O74+1700</f>
        <v>5946.2931034482754</v>
      </c>
      <c r="Q74" s="355">
        <f>P74+1500</f>
        <v>7446.2931034482754</v>
      </c>
      <c r="R74" s="355">
        <f>Q74+1200</f>
        <v>8646.2931034482754</v>
      </c>
      <c r="S74" s="355">
        <f>R74+1000</f>
        <v>9646.2931034482754</v>
      </c>
      <c r="T74" s="195"/>
      <c r="U74" s="265" t="s">
        <v>79</v>
      </c>
      <c r="V74" s="265" t="s">
        <v>79</v>
      </c>
      <c r="W74" s="265" t="s">
        <v>79</v>
      </c>
      <c r="X74" s="265" t="s">
        <v>79</v>
      </c>
      <c r="Y74" s="265" t="s">
        <v>79</v>
      </c>
      <c r="Z74" s="265" t="s">
        <v>79</v>
      </c>
      <c r="AA74" s="265" t="s">
        <v>79</v>
      </c>
      <c r="AB74" s="265" t="s">
        <v>79</v>
      </c>
      <c r="AC74" s="265" t="s">
        <v>79</v>
      </c>
      <c r="AD74" s="265" t="s">
        <v>79</v>
      </c>
      <c r="AE74" s="265" t="s">
        <v>79</v>
      </c>
      <c r="AF74" s="265" t="s">
        <v>79</v>
      </c>
      <c r="AG74" s="266">
        <f t="shared" ref="AG74" si="337">AG72-AC72</f>
        <v>516</v>
      </c>
      <c r="AH74" s="266">
        <f t="shared" ref="AH74" si="338">AH72-AD72</f>
        <v>819</v>
      </c>
      <c r="AI74" s="266">
        <f t="shared" ref="AI74" si="339">AI72-AE72</f>
        <v>916</v>
      </c>
      <c r="AJ74" s="266">
        <f t="shared" ref="AJ74:AK74" si="340">AJ72-AF72</f>
        <v>985</v>
      </c>
      <c r="AK74" s="266">
        <f t="shared" si="340"/>
        <v>1000</v>
      </c>
      <c r="AL74" s="266">
        <f t="shared" ref="AL74" si="341">AL72-AH72</f>
        <v>1048.2758620689656</v>
      </c>
      <c r="AM74" s="266">
        <f t="shared" ref="AM74" si="342">AM72-AI72</f>
        <v>1078.4482758620688</v>
      </c>
      <c r="AN74" s="266">
        <f t="shared" ref="AN74" si="343">AN72-AJ72</f>
        <v>1119.5689655172418</v>
      </c>
      <c r="AO74" s="21"/>
      <c r="AP74" s="21"/>
      <c r="AQ74" s="21"/>
    </row>
    <row r="75" spans="1:43" x14ac:dyDescent="0.2">
      <c r="F75" s="63"/>
      <c r="G75" s="63"/>
      <c r="H75" s="63"/>
      <c r="I75" s="72"/>
      <c r="J75" s="72"/>
      <c r="K75" s="72"/>
      <c r="L75" s="72"/>
      <c r="M75" s="72"/>
      <c r="N75" s="72"/>
      <c r="O75" s="72"/>
      <c r="P75" s="72"/>
      <c r="Q75" s="72"/>
      <c r="R75" s="72"/>
      <c r="S75" s="72"/>
      <c r="T75" s="72"/>
      <c r="U75" s="77"/>
      <c r="V75" s="77"/>
      <c r="W75" s="77"/>
      <c r="X75" s="77"/>
      <c r="Y75" s="72"/>
      <c r="Z75" s="73"/>
      <c r="AA75" s="73"/>
      <c r="AB75" s="73"/>
      <c r="AC75" s="73"/>
      <c r="AD75" s="73"/>
      <c r="AE75" s="72"/>
      <c r="AF75" s="72"/>
      <c r="AG75" s="73"/>
      <c r="AH75" s="73"/>
      <c r="AI75" s="73"/>
      <c r="AJ75" s="72"/>
      <c r="AK75" s="72"/>
      <c r="AL75" s="72"/>
      <c r="AM75" s="72"/>
      <c r="AN75" s="72"/>
      <c r="AO75" s="72"/>
      <c r="AP75" s="72"/>
      <c r="AQ75" s="72"/>
    </row>
    <row r="76" spans="1:43" x14ac:dyDescent="0.2">
      <c r="F76" s="63"/>
      <c r="G76" s="63"/>
      <c r="H76" s="63"/>
      <c r="I76" s="72"/>
      <c r="J76" s="72"/>
      <c r="K76" s="72"/>
      <c r="L76" s="72"/>
      <c r="M76" s="72"/>
      <c r="N76" s="72"/>
      <c r="O76" s="72"/>
      <c r="P76" s="72"/>
      <c r="Q76" s="72"/>
      <c r="R76" s="72"/>
      <c r="S76" s="72"/>
      <c r="T76" s="72"/>
      <c r="U76" s="77"/>
      <c r="V76" s="77"/>
      <c r="W76" s="77"/>
      <c r="X76" s="77"/>
      <c r="Y76" s="72"/>
      <c r="Z76" s="73"/>
      <c r="AA76" s="73"/>
      <c r="AB76" s="73"/>
      <c r="AC76" s="73"/>
      <c r="AD76" s="73"/>
      <c r="AE76" s="72"/>
      <c r="AF76" s="72"/>
      <c r="AG76" s="73"/>
      <c r="AH76" s="73"/>
      <c r="AI76" s="73"/>
      <c r="AJ76" s="72"/>
      <c r="AK76" s="72"/>
      <c r="AL76" s="72"/>
      <c r="AM76" s="72"/>
      <c r="AN76" s="72"/>
      <c r="AO76" s="72"/>
      <c r="AP76" s="72"/>
      <c r="AQ76" s="72"/>
    </row>
    <row r="77" spans="1:43" x14ac:dyDescent="0.2">
      <c r="A77" s="111" t="s">
        <v>86</v>
      </c>
      <c r="F77" s="111"/>
      <c r="I77" s="23"/>
      <c r="J77" s="23"/>
      <c r="T77" s="23"/>
      <c r="U77" s="24"/>
      <c r="V77" s="24"/>
      <c r="W77" s="24"/>
      <c r="X77" s="24"/>
      <c r="AJ77" s="23"/>
      <c r="AK77" s="23"/>
      <c r="AL77" s="23"/>
      <c r="AM77" s="23"/>
      <c r="AN77" s="23"/>
      <c r="AO77" s="23"/>
      <c r="AP77" s="23"/>
      <c r="AQ77" s="23"/>
    </row>
    <row r="78" spans="1:43" x14ac:dyDescent="0.2">
      <c r="A78" s="111"/>
      <c r="F78" s="111"/>
      <c r="I78" s="23"/>
      <c r="J78" s="23"/>
      <c r="T78" s="23"/>
      <c r="U78" s="24"/>
      <c r="V78" s="24"/>
      <c r="W78" s="24"/>
      <c r="X78" s="24"/>
      <c r="AJ78" s="23"/>
      <c r="AK78" s="23"/>
      <c r="AL78" s="23"/>
      <c r="AM78" s="23"/>
      <c r="AN78" s="23"/>
      <c r="AO78" s="23"/>
      <c r="AP78" s="23"/>
      <c r="AQ78" s="23"/>
    </row>
    <row r="79" spans="1:43" x14ac:dyDescent="0.2">
      <c r="B79" s="17" t="s">
        <v>87</v>
      </c>
      <c r="G79" s="17" t="s">
        <v>305</v>
      </c>
      <c r="I79" s="225">
        <f>I63+I66+I69</f>
        <v>34204</v>
      </c>
      <c r="J79" s="225">
        <f>J63+J66+J69</f>
        <v>48077</v>
      </c>
      <c r="K79" s="225">
        <f>K63+K66+K69</f>
        <v>61093</v>
      </c>
      <c r="L79" s="225">
        <f t="shared" ref="L79:S79" si="344">L63+L66+L69+L72</f>
        <v>74452</v>
      </c>
      <c r="M79" s="225">
        <f t="shared" si="344"/>
        <v>88988</v>
      </c>
      <c r="N79" s="225">
        <f t="shared" si="344"/>
        <v>107006</v>
      </c>
      <c r="O79" s="225">
        <f t="shared" si="344"/>
        <v>135279.22913922393</v>
      </c>
      <c r="P79" s="348">
        <f t="shared" si="344"/>
        <v>168840.99059552851</v>
      </c>
      <c r="Q79" s="349">
        <f t="shared" si="344"/>
        <v>207408.63994902483</v>
      </c>
      <c r="R79" s="349">
        <f t="shared" si="344"/>
        <v>250484.51746960159</v>
      </c>
      <c r="S79" s="349">
        <f t="shared" si="344"/>
        <v>297570.60048988968</v>
      </c>
      <c r="T79" s="61"/>
      <c r="U79" s="225">
        <f t="shared" ref="U79:AB79" si="345">U63+U66+U69</f>
        <v>13185</v>
      </c>
      <c r="V79" s="225">
        <f t="shared" si="345"/>
        <v>12834</v>
      </c>
      <c r="W79" s="225">
        <f t="shared" si="345"/>
        <v>13806</v>
      </c>
      <c r="X79" s="225">
        <f t="shared" si="345"/>
        <v>21268</v>
      </c>
      <c r="Y79" s="225">
        <f t="shared" si="345"/>
        <v>16070</v>
      </c>
      <c r="Z79" s="225">
        <f t="shared" si="345"/>
        <v>15704</v>
      </c>
      <c r="AA79" s="225">
        <f t="shared" si="345"/>
        <v>17092</v>
      </c>
      <c r="AB79" s="225">
        <f t="shared" si="345"/>
        <v>25587</v>
      </c>
      <c r="AC79" s="225">
        <f t="shared" ref="AC79:AN79" si="346">AC63+AC66+AC69+AC72</f>
        <v>19741</v>
      </c>
      <c r="AD79" s="225">
        <f t="shared" si="346"/>
        <v>19340</v>
      </c>
      <c r="AE79" s="225">
        <f t="shared" si="346"/>
        <v>20579</v>
      </c>
      <c r="AF79" s="225">
        <f t="shared" si="346"/>
        <v>29328</v>
      </c>
      <c r="AG79" s="225">
        <f t="shared" si="346"/>
        <v>22717</v>
      </c>
      <c r="AH79" s="225">
        <f t="shared" si="346"/>
        <v>23185</v>
      </c>
      <c r="AI79" s="225">
        <f t="shared" si="346"/>
        <v>25358</v>
      </c>
      <c r="AJ79" s="225">
        <f t="shared" si="346"/>
        <v>35747</v>
      </c>
      <c r="AK79" s="225">
        <f t="shared" si="346"/>
        <v>29128</v>
      </c>
      <c r="AL79" s="225">
        <f t="shared" si="346"/>
        <v>29658.382518660706</v>
      </c>
      <c r="AM79" s="225">
        <f t="shared" si="346"/>
        <v>32157.770585029342</v>
      </c>
      <c r="AN79" s="225">
        <f t="shared" si="346"/>
        <v>44335.076035533872</v>
      </c>
      <c r="AO79" s="21"/>
      <c r="AP79" s="21"/>
      <c r="AQ79" s="21"/>
    </row>
    <row r="80" spans="1:43" x14ac:dyDescent="0.2">
      <c r="E80" s="138" t="s">
        <v>78</v>
      </c>
      <c r="G80" s="78"/>
      <c r="H80" s="78"/>
      <c r="I80" s="265" t="s">
        <v>79</v>
      </c>
      <c r="J80" s="196">
        <f t="shared" ref="J80:S80" si="347">IFERROR(J79/I79-1,"NA ")</f>
        <v>0.40559583674424049</v>
      </c>
      <c r="K80" s="196">
        <f t="shared" si="347"/>
        <v>0.27073236682821311</v>
      </c>
      <c r="L80" s="196">
        <f t="shared" si="347"/>
        <v>0.21866662301736706</v>
      </c>
      <c r="M80" s="196">
        <f t="shared" si="347"/>
        <v>0.1952398861011122</v>
      </c>
      <c r="N80" s="196">
        <f t="shared" si="347"/>
        <v>0.20247673843664304</v>
      </c>
      <c r="O80" s="196">
        <f t="shared" si="347"/>
        <v>0.26422097021871593</v>
      </c>
      <c r="P80" s="196">
        <f t="shared" si="347"/>
        <v>0.24809249483351326</v>
      </c>
      <c r="Q80" s="196">
        <f t="shared" si="347"/>
        <v>0.22842586517327468</v>
      </c>
      <c r="R80" s="196">
        <f t="shared" si="347"/>
        <v>0.20768603241968897</v>
      </c>
      <c r="S80" s="196">
        <f t="shared" si="347"/>
        <v>0.18798001367889894</v>
      </c>
      <c r="T80" s="226"/>
      <c r="U80" s="265" t="s">
        <v>79</v>
      </c>
      <c r="V80" s="265" t="s">
        <v>79</v>
      </c>
      <c r="W80" s="265" t="s">
        <v>79</v>
      </c>
      <c r="X80" s="265" t="s">
        <v>79</v>
      </c>
      <c r="Y80" s="195">
        <f t="shared" ref="Y80" si="348">IFERROR(Y79/U79-1,"NA ")</f>
        <v>0.21880925293894582</v>
      </c>
      <c r="Z80" s="195">
        <f t="shared" ref="Z80" si="349">IFERROR(Z79/V79-1,"NA ")</f>
        <v>0.22362474676640165</v>
      </c>
      <c r="AA80" s="195">
        <f t="shared" ref="AA80" si="350">IFERROR(AA79/W79-1,"NA ")</f>
        <v>0.23801245835144136</v>
      </c>
      <c r="AB80" s="195">
        <f t="shared" ref="AB80:AN80" si="351">IFERROR(AB79/X79-1,"NA ")</f>
        <v>0.20307504231709617</v>
      </c>
      <c r="AC80" s="195">
        <f t="shared" si="351"/>
        <v>0.22843808338518978</v>
      </c>
      <c r="AD80" s="195">
        <f t="shared" si="351"/>
        <v>0.23153336729495666</v>
      </c>
      <c r="AE80" s="195">
        <f t="shared" si="351"/>
        <v>0.20401357360168504</v>
      </c>
      <c r="AF80" s="195">
        <f t="shared" si="351"/>
        <v>0.14620705827177871</v>
      </c>
      <c r="AG80" s="195">
        <f t="shared" si="351"/>
        <v>0.15075224152778488</v>
      </c>
      <c r="AH80" s="195">
        <f t="shared" si="351"/>
        <v>0.19881075491209921</v>
      </c>
      <c r="AI80" s="195">
        <f t="shared" si="351"/>
        <v>0.23222702755235924</v>
      </c>
      <c r="AJ80" s="195">
        <f t="shared" si="351"/>
        <v>0.21886933987997814</v>
      </c>
      <c r="AK80" s="195">
        <f t="shared" si="351"/>
        <v>0.28221155962495037</v>
      </c>
      <c r="AL80" s="195">
        <f t="shared" si="351"/>
        <v>0.27920562944406746</v>
      </c>
      <c r="AM80" s="195">
        <f t="shared" si="351"/>
        <v>0.26815090247769313</v>
      </c>
      <c r="AN80" s="195">
        <f t="shared" si="351"/>
        <v>0.24024606360069023</v>
      </c>
      <c r="AO80" s="76"/>
      <c r="AP80" s="76"/>
      <c r="AQ80" s="76"/>
    </row>
    <row r="81" spans="3:43" x14ac:dyDescent="0.2">
      <c r="E81" s="138" t="s">
        <v>80</v>
      </c>
      <c r="G81" s="78"/>
      <c r="H81" s="78"/>
      <c r="I81" s="265" t="s">
        <v>79</v>
      </c>
      <c r="J81" s="224">
        <f>J79-I79</f>
        <v>13873</v>
      </c>
      <c r="K81" s="224">
        <f t="shared" ref="K81:S81" si="352">K79-J79</f>
        <v>13016</v>
      </c>
      <c r="L81" s="224">
        <f t="shared" si="352"/>
        <v>13359</v>
      </c>
      <c r="M81" s="224">
        <f t="shared" si="352"/>
        <v>14536</v>
      </c>
      <c r="N81" s="224">
        <f t="shared" si="352"/>
        <v>18018</v>
      </c>
      <c r="O81" s="224">
        <f t="shared" si="352"/>
        <v>28273.229139223928</v>
      </c>
      <c r="P81" s="224">
        <f t="shared" si="352"/>
        <v>33561.761456304579</v>
      </c>
      <c r="Q81" s="224">
        <f t="shared" si="352"/>
        <v>38567.649353496323</v>
      </c>
      <c r="R81" s="224">
        <f t="shared" si="352"/>
        <v>43075.87752057676</v>
      </c>
      <c r="S81" s="224">
        <f t="shared" si="352"/>
        <v>47086.08302028809</v>
      </c>
      <c r="T81" s="48"/>
      <c r="U81" s="265" t="s">
        <v>79</v>
      </c>
      <c r="V81" s="265" t="s">
        <v>79</v>
      </c>
      <c r="W81" s="265" t="s">
        <v>79</v>
      </c>
      <c r="X81" s="265" t="s">
        <v>79</v>
      </c>
      <c r="Y81" s="224">
        <f t="shared" ref="Y81:AA81" si="353">Y79-U79</f>
        <v>2885</v>
      </c>
      <c r="Z81" s="224">
        <f t="shared" si="353"/>
        <v>2870</v>
      </c>
      <c r="AA81" s="224">
        <f t="shared" si="353"/>
        <v>3286</v>
      </c>
      <c r="AB81" s="224">
        <f>AB79-X79</f>
        <v>4319</v>
      </c>
      <c r="AC81" s="224">
        <f t="shared" ref="AC81:AN81" si="354">AC79-Y79</f>
        <v>3671</v>
      </c>
      <c r="AD81" s="224">
        <f t="shared" si="354"/>
        <v>3636</v>
      </c>
      <c r="AE81" s="224">
        <f t="shared" si="354"/>
        <v>3487</v>
      </c>
      <c r="AF81" s="224">
        <f t="shared" si="354"/>
        <v>3741</v>
      </c>
      <c r="AG81" s="224">
        <f t="shared" si="354"/>
        <v>2976</v>
      </c>
      <c r="AH81" s="224">
        <f t="shared" si="354"/>
        <v>3845</v>
      </c>
      <c r="AI81" s="224">
        <f t="shared" si="354"/>
        <v>4779</v>
      </c>
      <c r="AJ81" s="224">
        <f t="shared" si="354"/>
        <v>6419</v>
      </c>
      <c r="AK81" s="224">
        <f t="shared" si="354"/>
        <v>6411</v>
      </c>
      <c r="AL81" s="224">
        <f t="shared" si="354"/>
        <v>6473.3825186607064</v>
      </c>
      <c r="AM81" s="224">
        <f t="shared" si="354"/>
        <v>6799.7705850293423</v>
      </c>
      <c r="AN81" s="224">
        <f t="shared" si="354"/>
        <v>8588.0760355338716</v>
      </c>
      <c r="AO81" s="23"/>
      <c r="AP81" s="23"/>
      <c r="AQ81" s="23"/>
    </row>
    <row r="82" spans="3:43" x14ac:dyDescent="0.2">
      <c r="E82" s="137" t="s">
        <v>312</v>
      </c>
      <c r="F82" s="63"/>
      <c r="G82" s="63"/>
      <c r="H82" s="63"/>
      <c r="I82" s="80"/>
      <c r="J82" s="80"/>
      <c r="K82" s="80"/>
      <c r="L82" s="80"/>
      <c r="M82" s="80"/>
      <c r="N82" s="80"/>
      <c r="O82" s="80"/>
      <c r="P82" s="80"/>
      <c r="Q82" s="80"/>
      <c r="R82" s="148"/>
      <c r="S82" s="80"/>
      <c r="T82" s="23"/>
      <c r="U82" s="24"/>
      <c r="V82" s="24"/>
      <c r="W82" s="24"/>
      <c r="X82" s="195"/>
      <c r="Y82" s="195"/>
      <c r="Z82" s="195"/>
      <c r="AA82" s="195"/>
      <c r="AB82" s="195"/>
      <c r="AC82" s="195"/>
      <c r="AD82" s="195"/>
      <c r="AE82" s="195"/>
      <c r="AF82" s="195">
        <v>0.18</v>
      </c>
      <c r="AG82" s="195">
        <v>0.22</v>
      </c>
      <c r="AH82" s="195">
        <v>0.27</v>
      </c>
      <c r="AI82" s="195">
        <v>0.3</v>
      </c>
      <c r="AJ82" s="195">
        <v>0.26</v>
      </c>
      <c r="AK82" s="195">
        <v>0.28999999999999998</v>
      </c>
      <c r="AL82" s="80"/>
      <c r="AM82" s="80"/>
      <c r="AN82" s="80"/>
      <c r="AO82" s="23"/>
      <c r="AP82" s="23"/>
      <c r="AQ82" s="23"/>
    </row>
    <row r="83" spans="3:43" x14ac:dyDescent="0.2">
      <c r="D83" s="203" t="s">
        <v>88</v>
      </c>
      <c r="G83" s="16"/>
      <c r="H83" s="16"/>
      <c r="I83" s="236"/>
      <c r="J83" s="237"/>
      <c r="K83" s="236"/>
      <c r="L83" s="236"/>
      <c r="M83" s="236"/>
      <c r="N83" s="236"/>
      <c r="O83" s="236"/>
      <c r="P83" s="236"/>
      <c r="Q83" s="236"/>
      <c r="R83" s="236"/>
      <c r="S83" s="236"/>
      <c r="T83" s="236"/>
      <c r="U83" s="24"/>
      <c r="V83" s="24"/>
      <c r="W83" s="24"/>
      <c r="X83" s="24"/>
      <c r="Y83" s="236"/>
      <c r="Z83" s="237"/>
      <c r="AA83" s="237"/>
      <c r="AB83" s="237"/>
      <c r="AC83" s="237"/>
      <c r="AD83" s="237"/>
      <c r="AE83" s="236"/>
      <c r="AF83" s="236"/>
      <c r="AG83" s="237"/>
      <c r="AH83" s="237"/>
      <c r="AI83" s="237"/>
      <c r="AJ83" s="236"/>
      <c r="AK83" s="236"/>
      <c r="AL83" s="236"/>
      <c r="AM83" s="236"/>
      <c r="AN83" s="236"/>
      <c r="AO83" s="23"/>
      <c r="AP83" s="23"/>
      <c r="AQ83" s="23"/>
    </row>
    <row r="84" spans="3:43" x14ac:dyDescent="0.2">
      <c r="E84" s="138" t="s">
        <v>78</v>
      </c>
      <c r="F84" s="22"/>
      <c r="G84" s="22"/>
      <c r="H84" s="22"/>
      <c r="I84" s="241"/>
      <c r="J84" s="242"/>
      <c r="K84" s="241"/>
      <c r="L84" s="241"/>
      <c r="M84" s="241"/>
      <c r="N84" s="241"/>
      <c r="O84" s="241"/>
      <c r="P84" s="241"/>
      <c r="Q84" s="241"/>
      <c r="R84" s="241"/>
      <c r="S84" s="241"/>
      <c r="T84" s="241"/>
      <c r="U84" s="240"/>
      <c r="V84" s="240"/>
      <c r="W84" s="240"/>
      <c r="X84" s="240"/>
      <c r="Y84" s="241"/>
      <c r="Z84" s="242"/>
      <c r="AA84" s="242"/>
      <c r="AB84" s="242"/>
      <c r="AC84" s="242"/>
      <c r="AD84" s="242"/>
      <c r="AE84" s="241"/>
      <c r="AF84" s="241"/>
      <c r="AG84" s="242"/>
      <c r="AH84" s="242"/>
      <c r="AI84" s="242"/>
      <c r="AJ84" s="241"/>
      <c r="AK84" s="241"/>
      <c r="AL84" s="241"/>
      <c r="AM84" s="241"/>
      <c r="AN84" s="241"/>
      <c r="AO84" s="23"/>
      <c r="AP84" s="23"/>
      <c r="AQ84" s="23"/>
    </row>
    <row r="85" spans="3:43" x14ac:dyDescent="0.2">
      <c r="D85" s="203" t="s">
        <v>89</v>
      </c>
      <c r="G85" s="16" t="s">
        <v>303</v>
      </c>
      <c r="H85" s="16"/>
      <c r="I85" s="236"/>
      <c r="J85" s="239"/>
      <c r="K85" s="238">
        <v>62142</v>
      </c>
      <c r="L85" s="238">
        <v>74913</v>
      </c>
      <c r="M85" s="238">
        <v>89284</v>
      </c>
      <c r="N85" s="238">
        <v>107216</v>
      </c>
      <c r="O85" s="238">
        <v>134002</v>
      </c>
      <c r="P85" s="238">
        <v>161601</v>
      </c>
      <c r="Q85" s="238">
        <v>196277</v>
      </c>
      <c r="R85" s="238">
        <v>226665</v>
      </c>
      <c r="S85" s="238">
        <v>262387</v>
      </c>
      <c r="T85" s="236"/>
      <c r="U85" s="235"/>
      <c r="V85" s="235"/>
      <c r="W85" s="235"/>
      <c r="X85" s="235"/>
      <c r="Y85" s="236"/>
      <c r="Z85" s="237"/>
      <c r="AA85" s="237"/>
      <c r="AB85" s="237"/>
      <c r="AC85" s="237"/>
      <c r="AD85" s="237"/>
      <c r="AE85" s="236"/>
      <c r="AF85" s="236"/>
      <c r="AG85" s="238">
        <v>22374</v>
      </c>
      <c r="AH85" s="238">
        <v>22395</v>
      </c>
      <c r="AI85" s="238">
        <v>24915</v>
      </c>
      <c r="AJ85" s="238">
        <v>35934</v>
      </c>
      <c r="AK85" s="238">
        <v>27932</v>
      </c>
      <c r="AL85" s="238">
        <v>29512</v>
      </c>
      <c r="AM85" s="238">
        <v>31533</v>
      </c>
      <c r="AN85" s="238">
        <v>43740</v>
      </c>
      <c r="AO85" s="21"/>
      <c r="AP85" s="21"/>
      <c r="AQ85" s="21"/>
    </row>
    <row r="86" spans="3:43" x14ac:dyDescent="0.2">
      <c r="E86" s="138" t="s">
        <v>78</v>
      </c>
      <c r="G86" s="78"/>
      <c r="H86" s="78"/>
      <c r="I86" s="265" t="s">
        <v>79</v>
      </c>
      <c r="J86" s="265" t="s">
        <v>79</v>
      </c>
      <c r="K86" s="265" t="s">
        <v>79</v>
      </c>
      <c r="L86" s="196">
        <f t="shared" ref="L86" si="355">IFERROR(L85/K85-1,"NA ")</f>
        <v>0.20551317949213099</v>
      </c>
      <c r="M86" s="196">
        <f t="shared" ref="M86" si="356">IFERROR(M85/L85-1,"NA ")</f>
        <v>0.19183586293433708</v>
      </c>
      <c r="N86" s="196">
        <f t="shared" ref="N86" si="357">IFERROR(N85/M85-1,"NA ")</f>
        <v>0.20084225617131857</v>
      </c>
      <c r="O86" s="196">
        <f t="shared" ref="O86" si="358">IFERROR(O85/N85-1,"NA ")</f>
        <v>0.24983211460975974</v>
      </c>
      <c r="P86" s="196">
        <f t="shared" ref="P86" si="359">IFERROR(P85/O85-1,"NA ")</f>
        <v>0.20595961254309647</v>
      </c>
      <c r="Q86" s="196">
        <f t="shared" ref="Q86" si="360">IFERROR(Q85/P85-1,"NA ")</f>
        <v>0.21457788008737566</v>
      </c>
      <c r="R86" s="196">
        <f t="shared" ref="R86" si="361">IFERROR(R85/Q85-1,"NA ")</f>
        <v>0.15482201174870203</v>
      </c>
      <c r="S86" s="196">
        <f t="shared" ref="S86" si="362">IFERROR(S85/R85-1,"NA ")</f>
        <v>0.15759821763395321</v>
      </c>
      <c r="T86" s="226"/>
      <c r="U86" s="265" t="s">
        <v>79</v>
      </c>
      <c r="V86" s="265" t="s">
        <v>79</v>
      </c>
      <c r="W86" s="265" t="s">
        <v>79</v>
      </c>
      <c r="X86" s="265" t="s">
        <v>79</v>
      </c>
      <c r="Y86" s="265" t="s">
        <v>79</v>
      </c>
      <c r="Z86" s="265" t="s">
        <v>79</v>
      </c>
      <c r="AA86" s="265" t="s">
        <v>79</v>
      </c>
      <c r="AB86" s="265" t="s">
        <v>79</v>
      </c>
      <c r="AC86" s="265" t="s">
        <v>79</v>
      </c>
      <c r="AD86" s="265" t="s">
        <v>79</v>
      </c>
      <c r="AE86" s="265" t="s">
        <v>79</v>
      </c>
      <c r="AF86" s="265" t="s">
        <v>79</v>
      </c>
      <c r="AG86" s="265" t="s">
        <v>79</v>
      </c>
      <c r="AH86" s="265" t="s">
        <v>79</v>
      </c>
      <c r="AI86" s="265" t="s">
        <v>79</v>
      </c>
      <c r="AJ86" s="265" t="s">
        <v>79</v>
      </c>
      <c r="AK86" s="195">
        <f t="shared" ref="AK86" si="363">IFERROR(AK85/AG85-1,"NA ")</f>
        <v>0.2484133369089121</v>
      </c>
      <c r="AL86" s="195">
        <f t="shared" ref="AL86" si="364">IFERROR(AL85/AH85-1,"NA ")</f>
        <v>0.31779415048001791</v>
      </c>
      <c r="AM86" s="195">
        <f t="shared" ref="AM86" si="365">IFERROR(AM85/AI85-1,"NA ")</f>
        <v>0.26562311860325116</v>
      </c>
      <c r="AN86" s="195">
        <f t="shared" ref="AN86" si="366">IFERROR(AN85/AJ85-1,"NA ")</f>
        <v>0.21723159125062619</v>
      </c>
      <c r="AO86" s="76"/>
      <c r="AP86" s="76"/>
      <c r="AQ86" s="76"/>
    </row>
    <row r="87" spans="3:43" x14ac:dyDescent="0.2">
      <c r="F87" s="71"/>
      <c r="G87" s="71"/>
      <c r="H87" s="71"/>
      <c r="I87" s="81"/>
      <c r="J87" s="71"/>
      <c r="K87" s="82"/>
      <c r="L87" s="82"/>
      <c r="M87" s="82"/>
      <c r="N87" s="82"/>
      <c r="O87" s="82"/>
      <c r="P87" s="82"/>
      <c r="Q87" s="82"/>
      <c r="R87" s="82"/>
      <c r="S87" s="82"/>
      <c r="T87" s="81"/>
      <c r="U87" s="24"/>
      <c r="V87" s="24"/>
      <c r="W87" s="24"/>
      <c r="X87" s="24"/>
      <c r="AJ87" s="185"/>
      <c r="AK87" s="81"/>
      <c r="AL87" s="81"/>
      <c r="AM87" s="81"/>
      <c r="AN87" s="81"/>
      <c r="AP87" s="82"/>
      <c r="AQ87" s="82"/>
    </row>
    <row r="88" spans="3:43" x14ac:dyDescent="0.2">
      <c r="C88" s="17" t="s">
        <v>90</v>
      </c>
      <c r="I88" s="84"/>
      <c r="J88" s="85"/>
      <c r="K88" s="84"/>
      <c r="L88" s="84"/>
      <c r="M88" s="84"/>
      <c r="N88" s="84"/>
      <c r="O88" s="84"/>
      <c r="P88" s="84"/>
      <c r="Q88" s="84"/>
      <c r="R88" s="84"/>
      <c r="S88" s="84"/>
      <c r="T88" s="84"/>
      <c r="U88" s="83"/>
      <c r="V88" s="83"/>
      <c r="W88" s="83"/>
      <c r="X88" s="83"/>
      <c r="Y88" s="84"/>
      <c r="Z88" s="85"/>
      <c r="AA88" s="85"/>
      <c r="AB88" s="85"/>
      <c r="AC88" s="85"/>
      <c r="AD88" s="85"/>
      <c r="AE88" s="84"/>
      <c r="AF88" s="84"/>
      <c r="AG88" s="85"/>
      <c r="AH88" s="85"/>
      <c r="AI88" s="85"/>
      <c r="AJ88" s="84"/>
      <c r="AK88" s="84"/>
      <c r="AL88" s="84"/>
      <c r="AM88" s="84"/>
      <c r="AN88" s="84"/>
      <c r="AO88" s="84"/>
      <c r="AP88" s="84"/>
      <c r="AQ88" s="84"/>
    </row>
    <row r="89" spans="3:43" x14ac:dyDescent="0.2">
      <c r="D89" s="17" t="s">
        <v>81</v>
      </c>
      <c r="F89" s="63"/>
      <c r="G89" s="130" t="s">
        <v>317</v>
      </c>
      <c r="H89" s="63"/>
      <c r="I89" s="227">
        <f>'Company Data'!U146</f>
        <v>17752</v>
      </c>
      <c r="J89" s="227">
        <f>'Company Data'!V146</f>
        <v>25772</v>
      </c>
      <c r="K89" s="227">
        <f>'Company Data'!W146</f>
        <v>33221</v>
      </c>
      <c r="L89" s="227">
        <f>'Company Data'!X146</f>
        <v>40244</v>
      </c>
      <c r="M89" s="227">
        <f>'Company Data'!Y146</f>
        <v>49542</v>
      </c>
      <c r="N89" s="227">
        <f>'Company Data'!Z146</f>
        <v>60957</v>
      </c>
      <c r="O89" s="228">
        <f>SUM(AK89:AN89)</f>
        <v>75979.97827849022</v>
      </c>
      <c r="P89" s="228">
        <f>P90*P43</f>
        <v>93289.109570641449</v>
      </c>
      <c r="Q89" s="230">
        <f>Q90*Q43</f>
        <v>113256.3129119139</v>
      </c>
      <c r="R89" s="230">
        <f>R90*R43</f>
        <v>135357.85504975801</v>
      </c>
      <c r="S89" s="230">
        <f>S90*S43</f>
        <v>159383.80032866244</v>
      </c>
      <c r="T89" s="229"/>
      <c r="U89" s="227">
        <f>'Company Data'!C146</f>
        <v>7078</v>
      </c>
      <c r="V89" s="227">
        <f>'Company Data'!D146</f>
        <v>6982</v>
      </c>
      <c r="W89" s="227">
        <f>'Company Data'!E146</f>
        <v>7593</v>
      </c>
      <c r="X89" s="227">
        <f>'Company Data'!F146</f>
        <v>11567</v>
      </c>
      <c r="Y89" s="227">
        <f>'Company Data'!G146</f>
        <v>8934</v>
      </c>
      <c r="Z89" s="227">
        <f>'Company Data'!H146</f>
        <v>9086</v>
      </c>
      <c r="AA89" s="227">
        <f>'Company Data'!I146</f>
        <v>10006</v>
      </c>
      <c r="AB89" s="227">
        <f>'Company Data'!J146</f>
        <v>14606</v>
      </c>
      <c r="AC89" s="227">
        <f>'Company Data'!K146</f>
        <v>10518</v>
      </c>
      <c r="AD89" s="227">
        <f>'Company Data'!L146</f>
        <v>10665</v>
      </c>
      <c r="AE89" s="227">
        <f>'Company Data'!M146</f>
        <v>11759</v>
      </c>
      <c r="AF89" s="227">
        <f>'Company Data'!N146</f>
        <v>16600</v>
      </c>
      <c r="AG89" s="227">
        <f>'Company Data'!O146</f>
        <v>12889</v>
      </c>
      <c r="AH89" s="227">
        <f>'Company Data'!P146</f>
        <v>13093</v>
      </c>
      <c r="AI89" s="227">
        <f>'Company Data'!Q146</f>
        <v>14478</v>
      </c>
      <c r="AJ89" s="227">
        <f>'Company Data'!R146</f>
        <v>20498</v>
      </c>
      <c r="AK89" s="227">
        <f>'Company Data'!S146</f>
        <v>16072</v>
      </c>
      <c r="AL89" s="228">
        <f>AL43*AL90</f>
        <v>16406.48131623938</v>
      </c>
      <c r="AM89" s="228">
        <f>AM43*AM90</f>
        <v>18340.065423218661</v>
      </c>
      <c r="AN89" s="228">
        <f>AN43*AN90</f>
        <v>25161.431539032186</v>
      </c>
      <c r="AO89" s="21"/>
      <c r="AP89" s="21"/>
      <c r="AQ89" s="21"/>
    </row>
    <row r="90" spans="3:43" x14ac:dyDescent="0.2">
      <c r="E90" s="138" t="s">
        <v>91</v>
      </c>
      <c r="G90" s="63"/>
      <c r="H90" s="63"/>
      <c r="I90" s="195">
        <f t="shared" ref="I90:O90" si="367">I89/I43</f>
        <v>0.94894959106216925</v>
      </c>
      <c r="J90" s="195">
        <f t="shared" si="367"/>
        <v>0.96506272233664103</v>
      </c>
      <c r="K90" s="195">
        <f t="shared" si="367"/>
        <v>0.9542699566253986</v>
      </c>
      <c r="L90" s="195">
        <f t="shared" si="367"/>
        <v>0.97184255010866938</v>
      </c>
      <c r="M90" s="195">
        <f t="shared" si="367"/>
        <v>0.9745839398827556</v>
      </c>
      <c r="N90" s="195">
        <f t="shared" si="367"/>
        <v>0.95681860990770395</v>
      </c>
      <c r="O90" s="195">
        <f t="shared" si="367"/>
        <v>0.94569358720845975</v>
      </c>
      <c r="P90" s="201">
        <f>O90*0.99</f>
        <v>0.93623665133637513</v>
      </c>
      <c r="Q90" s="201">
        <f>P90*0.995</f>
        <v>0.93155546807969325</v>
      </c>
      <c r="R90" s="201">
        <f t="shared" ref="R90:S90" si="368">Q90*0.995</f>
        <v>0.92689769073929473</v>
      </c>
      <c r="S90" s="201">
        <f t="shared" si="368"/>
        <v>0.92226320228559822</v>
      </c>
      <c r="T90" s="200"/>
      <c r="U90" s="195">
        <f t="shared" ref="U90:AK90" si="369">U89/U43</f>
        <v>0.95300929042682103</v>
      </c>
      <c r="V90" s="195">
        <f t="shared" si="369"/>
        <v>0.95304395304395306</v>
      </c>
      <c r="W90" s="195">
        <f t="shared" si="369"/>
        <v>0.96308980213089801</v>
      </c>
      <c r="X90" s="195">
        <f t="shared" si="369"/>
        <v>0.95006160164271047</v>
      </c>
      <c r="Y90" s="195">
        <f t="shared" si="369"/>
        <v>0.95133638590139491</v>
      </c>
      <c r="Z90" s="195">
        <f t="shared" si="369"/>
        <v>0.95692469720905737</v>
      </c>
      <c r="AA90" s="195">
        <f t="shared" si="369"/>
        <v>0.97136200368896219</v>
      </c>
      <c r="AB90" s="195">
        <f t="shared" si="369"/>
        <v>0.95271019502967846</v>
      </c>
      <c r="AC90" s="195">
        <f t="shared" si="369"/>
        <v>0.9731680236861584</v>
      </c>
      <c r="AD90" s="195">
        <f t="shared" si="369"/>
        <v>0.97007458613789344</v>
      </c>
      <c r="AE90" s="195">
        <f t="shared" si="369"/>
        <v>1.0051286434738012</v>
      </c>
      <c r="AF90" s="195">
        <f t="shared" si="369"/>
        <v>0.957710725206254</v>
      </c>
      <c r="AG90" s="195">
        <f t="shared" si="369"/>
        <v>0.96143517827838276</v>
      </c>
      <c r="AH90" s="195">
        <f t="shared" si="369"/>
        <v>0.94904320092780514</v>
      </c>
      <c r="AI90" s="195">
        <f t="shared" si="369"/>
        <v>0.96481407437025191</v>
      </c>
      <c r="AJ90" s="195">
        <f t="shared" si="369"/>
        <v>0.95335100692991026</v>
      </c>
      <c r="AK90" s="195">
        <f t="shared" si="369"/>
        <v>0.94563426688632624</v>
      </c>
      <c r="AL90" s="201">
        <f>AK90*0.99</f>
        <v>0.93617792421746293</v>
      </c>
      <c r="AM90" s="201">
        <f>AL90*1.02</f>
        <v>0.95490148270181219</v>
      </c>
      <c r="AN90" s="201">
        <f>AM90*0.99</f>
        <v>0.9453524678747941</v>
      </c>
      <c r="AO90" s="21"/>
      <c r="AP90" s="21"/>
      <c r="AQ90" s="21"/>
    </row>
    <row r="91" spans="3:43" x14ac:dyDescent="0.2">
      <c r="E91" s="138" t="s">
        <v>80</v>
      </c>
      <c r="G91" s="63"/>
      <c r="H91" s="63"/>
      <c r="I91" s="224">
        <f t="shared" ref="I91:S91" si="370">I43-I89</f>
        <v>955</v>
      </c>
      <c r="J91" s="224">
        <f t="shared" si="370"/>
        <v>933</v>
      </c>
      <c r="K91" s="224">
        <f t="shared" si="370"/>
        <v>1592</v>
      </c>
      <c r="L91" s="224">
        <f t="shared" si="370"/>
        <v>1166</v>
      </c>
      <c r="M91" s="224">
        <f t="shared" si="370"/>
        <v>1292</v>
      </c>
      <c r="N91" s="224">
        <f t="shared" si="370"/>
        <v>2751</v>
      </c>
      <c r="O91" s="224">
        <f t="shared" si="370"/>
        <v>4363.1469221059815</v>
      </c>
      <c r="P91" s="224">
        <f t="shared" si="370"/>
        <v>6353.5496197261527</v>
      </c>
      <c r="Q91" s="224">
        <f t="shared" si="370"/>
        <v>8321.3244835063233</v>
      </c>
      <c r="R91" s="224">
        <f t="shared" si="370"/>
        <v>10675.365662871482</v>
      </c>
      <c r="S91" s="224">
        <f t="shared" si="370"/>
        <v>13434.327873427421</v>
      </c>
      <c r="T91" s="200"/>
      <c r="U91" s="224">
        <f t="shared" ref="U91:AN91" si="371">U43-U89</f>
        <v>349</v>
      </c>
      <c r="V91" s="224">
        <f t="shared" si="371"/>
        <v>344</v>
      </c>
      <c r="W91" s="224">
        <f t="shared" si="371"/>
        <v>291</v>
      </c>
      <c r="X91" s="224">
        <f t="shared" si="371"/>
        <v>608</v>
      </c>
      <c r="Y91" s="224">
        <f t="shared" si="371"/>
        <v>457</v>
      </c>
      <c r="Z91" s="224">
        <f t="shared" si="371"/>
        <v>409</v>
      </c>
      <c r="AA91" s="224">
        <f t="shared" si="371"/>
        <v>295</v>
      </c>
      <c r="AB91" s="224">
        <f t="shared" si="371"/>
        <v>725</v>
      </c>
      <c r="AC91" s="224">
        <f t="shared" si="371"/>
        <v>290</v>
      </c>
      <c r="AD91" s="224">
        <f t="shared" si="371"/>
        <v>329</v>
      </c>
      <c r="AE91" s="224">
        <f t="shared" si="371"/>
        <v>-60</v>
      </c>
      <c r="AF91" s="224">
        <f t="shared" si="371"/>
        <v>733</v>
      </c>
      <c r="AG91" s="224">
        <f t="shared" si="371"/>
        <v>517</v>
      </c>
      <c r="AH91" s="224">
        <f t="shared" si="371"/>
        <v>703</v>
      </c>
      <c r="AI91" s="224">
        <f t="shared" si="371"/>
        <v>528</v>
      </c>
      <c r="AJ91" s="224">
        <f t="shared" si="371"/>
        <v>1003</v>
      </c>
      <c r="AK91" s="224">
        <f t="shared" si="371"/>
        <v>924</v>
      </c>
      <c r="AL91" s="224">
        <f t="shared" si="371"/>
        <v>1118.4793689351936</v>
      </c>
      <c r="AM91" s="224">
        <f t="shared" si="371"/>
        <v>866.17286989510831</v>
      </c>
      <c r="AN91" s="224">
        <f t="shared" si="371"/>
        <v>1454.4946832756796</v>
      </c>
      <c r="AO91" s="21"/>
      <c r="AP91" s="21"/>
      <c r="AQ91" s="21"/>
    </row>
    <row r="92" spans="3:43" x14ac:dyDescent="0.2">
      <c r="E92" s="138" t="s">
        <v>316</v>
      </c>
      <c r="G92" s="63"/>
      <c r="H92" s="63"/>
      <c r="I92" s="265" t="s">
        <v>79</v>
      </c>
      <c r="J92" s="263">
        <f t="shared" ref="J92" si="372">IFERROR(IF(I91&lt;0,-(J91/I91-1),(J91/I91-1)),"NA")</f>
        <v>-2.3036649214659644E-2</v>
      </c>
      <c r="K92" s="263">
        <f t="shared" ref="K92" si="373">IFERROR(IF(J91&lt;0,-(K91/J91-1),(K91/J91-1)),"NA")</f>
        <v>0.7063236870310825</v>
      </c>
      <c r="L92" s="263">
        <f t="shared" ref="L92" si="374">IFERROR(IF(K91&lt;0,-(L91/K91-1),(L91/K91-1)),"NA")</f>
        <v>-0.26758793969849248</v>
      </c>
      <c r="M92" s="263">
        <f t="shared" ref="M92" si="375">IFERROR(IF(L91&lt;0,-(M91/L91-1),(M91/L91-1)),"NA")</f>
        <v>0.10806174957118353</v>
      </c>
      <c r="N92" s="263">
        <f t="shared" ref="N92" si="376">IFERROR(IF(M91&lt;0,-(N91/M91-1),(N91/M91-1)),"NA")</f>
        <v>1.1292569659442724</v>
      </c>
      <c r="O92" s="263">
        <f t="shared" ref="O92" si="377">IFERROR(IF(N91&lt;0,-(O91/N91-1),(O91/N91-1)),"NA")</f>
        <v>0.58602214544019682</v>
      </c>
      <c r="P92" s="263">
        <f t="shared" ref="P92" si="378">IFERROR(IF(O91&lt;0,-(P91/O91-1),(P91/O91-1)),"NA")</f>
        <v>0.45618511894150338</v>
      </c>
      <c r="Q92" s="263">
        <f t="shared" ref="Q92" si="379">IFERROR(IF(P91&lt;0,-(Q91/P91-1),(Q91/P91-1)),"NA")</f>
        <v>0.30971267740960595</v>
      </c>
      <c r="R92" s="263">
        <f t="shared" ref="R92" si="380">IFERROR(IF(Q91&lt;0,-(R91/Q91-1),(R91/Q91-1)),"NA")</f>
        <v>0.28289260730441379</v>
      </c>
      <c r="S92" s="263">
        <f>IFERROR(IF(R91&lt;0,-(S91/R91-1),(S91/R91-1)),"NA")</f>
        <v>0.25844193985331154</v>
      </c>
      <c r="T92" s="200"/>
      <c r="U92" s="195"/>
      <c r="V92" s="195"/>
      <c r="W92" s="195"/>
      <c r="X92" s="265" t="s">
        <v>79</v>
      </c>
      <c r="Y92" s="263">
        <f t="shared" ref="Y92" si="381">IFERROR(IF(U91&lt;0,-(Y91/U91-1),(Y91/U91-1)),"NA")</f>
        <v>0.30945558739255019</v>
      </c>
      <c r="Z92" s="263">
        <f t="shared" ref="Z92" si="382">IFERROR(IF(V91&lt;0,-(Z91/V91-1),(Z91/V91-1)),"NA")</f>
        <v>0.18895348837209291</v>
      </c>
      <c r="AA92" s="263">
        <f t="shared" ref="AA92" si="383">IFERROR(IF(W91&lt;0,-(AA91/W91-1),(AA91/W91-1)),"NA")</f>
        <v>1.3745704467353903E-2</v>
      </c>
      <c r="AB92" s="263">
        <f t="shared" ref="AB92" si="384">IFERROR(IF(X91&lt;0,-(AB91/X91-1),(AB91/X91-1)),"NA")</f>
        <v>0.19243421052631571</v>
      </c>
      <c r="AC92" s="263">
        <f t="shared" ref="AC92" si="385">IFERROR(IF(Y91&lt;0,-(AC91/Y91-1),(AC91/Y91-1)),"NA")</f>
        <v>-0.3654266958424508</v>
      </c>
      <c r="AD92" s="263">
        <f t="shared" ref="AD92" si="386">IFERROR(IF(Z91&lt;0,-(AD91/Z91-1),(AD91/Z91-1)),"NA")</f>
        <v>-0.19559902200488999</v>
      </c>
      <c r="AE92" s="263">
        <f t="shared" ref="AE92" si="387">IFERROR(IF(AA91&lt;0,-(AE91/AA91-1),(AE91/AA91-1)),"NA")</f>
        <v>-1.2033898305084745</v>
      </c>
      <c r="AF92" s="263">
        <f t="shared" ref="AF92" si="388">IFERROR(IF(AB91&lt;0,-(AF91/AB91-1),(AF91/AB91-1)),"NA")</f>
        <v>1.1034482758620623E-2</v>
      </c>
      <c r="AG92" s="263">
        <f t="shared" ref="AG92" si="389">IFERROR(IF(AC91&lt;0,-(AG91/AC91-1),(AG91/AC91-1)),"NA")</f>
        <v>0.78275862068965507</v>
      </c>
      <c r="AH92" s="263">
        <f t="shared" ref="AH92" si="390">IFERROR(IF(AD91&lt;0,-(AH91/AD91-1),(AH91/AD91-1)),"NA")</f>
        <v>1.13677811550152</v>
      </c>
      <c r="AI92" s="263">
        <f t="shared" ref="AI92" si="391">IFERROR(IF(AE91&lt;0,-(AI91/AE91-1),(AI91/AE91-1)),"NA")</f>
        <v>9.8000000000000007</v>
      </c>
      <c r="AJ92" s="263">
        <f t="shared" ref="AJ92" si="392">IFERROR(IF(AF91&lt;0,-(AJ91/AF91-1),(AJ91/AF91-1)),"NA")</f>
        <v>0.36834924965893578</v>
      </c>
      <c r="AK92" s="263">
        <f t="shared" ref="AK92" si="393">IFERROR(IF(AG91&lt;0,-(AK91/AG91-1),(AK91/AG91-1)),"NA")</f>
        <v>0.7872340425531914</v>
      </c>
      <c r="AL92" s="263">
        <f t="shared" ref="AL92" si="394">IFERROR(IF(AH91&lt;0,-(AL91/AH91-1),(AL91/AH91-1)),"NA")</f>
        <v>0.59100905965176898</v>
      </c>
      <c r="AM92" s="263">
        <f t="shared" ref="AM92" si="395">IFERROR(IF(AI91&lt;0,-(AM91/AI91-1),(AM91/AI91-1)),"NA")</f>
        <v>0.64047892025588693</v>
      </c>
      <c r="AN92" s="263">
        <f t="shared" ref="AN92" si="396">IFERROR(IF(AJ91&lt;0,-(AN91/AJ91-1),(AN91/AJ91-1)),"NA")</f>
        <v>0.45014425052410734</v>
      </c>
      <c r="AO92" s="21"/>
      <c r="AP92" s="21"/>
      <c r="AQ92" s="21"/>
    </row>
    <row r="93" spans="3:43" x14ac:dyDescent="0.2">
      <c r="E93" s="138" t="s">
        <v>92</v>
      </c>
      <c r="G93" s="179"/>
      <c r="H93" s="179"/>
      <c r="I93" s="265" t="s">
        <v>79</v>
      </c>
      <c r="J93" s="197">
        <f t="shared" ref="J93:S93" si="397">IFERROR((J89-I89)/(J$79-I$79),"NA ")</f>
        <v>0.57810134794204571</v>
      </c>
      <c r="K93" s="197">
        <f t="shared" si="397"/>
        <v>0.57229563614013523</v>
      </c>
      <c r="L93" s="197">
        <f t="shared" si="397"/>
        <v>0.52571300247024477</v>
      </c>
      <c r="M93" s="197">
        <f t="shared" si="397"/>
        <v>0.63965327462850852</v>
      </c>
      <c r="N93" s="197">
        <f t="shared" si="397"/>
        <v>0.63353313353313356</v>
      </c>
      <c r="O93" s="197">
        <f t="shared" si="397"/>
        <v>0.5313499283903369</v>
      </c>
      <c r="P93" s="197">
        <f t="shared" si="397"/>
        <v>0.51573965552096213</v>
      </c>
      <c r="Q93" s="197">
        <f t="shared" si="397"/>
        <v>0.51771896073470036</v>
      </c>
      <c r="R93" s="197">
        <f t="shared" si="397"/>
        <v>0.51308396740812778</v>
      </c>
      <c r="S93" s="197">
        <f t="shared" si="397"/>
        <v>0.51025576428925534</v>
      </c>
      <c r="T93" s="200"/>
      <c r="U93" s="265" t="s">
        <v>79</v>
      </c>
      <c r="V93" s="265" t="s">
        <v>79</v>
      </c>
      <c r="W93" s="265" t="s">
        <v>79</v>
      </c>
      <c r="X93" s="265" t="s">
        <v>79</v>
      </c>
      <c r="Y93" s="265" t="s">
        <v>79</v>
      </c>
      <c r="Z93" s="265" t="s">
        <v>79</v>
      </c>
      <c r="AA93" s="265" t="s">
        <v>79</v>
      </c>
      <c r="AB93" s="197">
        <f t="shared" ref="AB93:AG93" si="398">IFERROR((AB89-X89)/(AB$79-X$79),"NA ")</f>
        <v>0.7036351007177587</v>
      </c>
      <c r="AC93" s="197">
        <f t="shared" si="398"/>
        <v>0.43149005720512124</v>
      </c>
      <c r="AD93" s="197">
        <f t="shared" si="398"/>
        <v>0.43426842684268424</v>
      </c>
      <c r="AE93" s="197">
        <f t="shared" si="398"/>
        <v>0.50272440493260684</v>
      </c>
      <c r="AF93" s="197">
        <f t="shared" si="398"/>
        <v>0.53301256348569903</v>
      </c>
      <c r="AG93" s="197">
        <f t="shared" si="398"/>
        <v>0.79670698924731187</v>
      </c>
      <c r="AH93" s="197">
        <f t="shared" ref="AH93:AN93" si="399">IFERROR((AH89-AD89)/(AH$79-AD$79),"NA ")</f>
        <v>0.63146944083224965</v>
      </c>
      <c r="AI93" s="197">
        <f t="shared" si="399"/>
        <v>0.56894747855199834</v>
      </c>
      <c r="AJ93" s="197">
        <f t="shared" si="399"/>
        <v>0.60725969777223865</v>
      </c>
      <c r="AK93" s="197">
        <f t="shared" si="399"/>
        <v>0.49649040711277492</v>
      </c>
      <c r="AL93" s="197">
        <f t="shared" si="399"/>
        <v>0.51186243153214961</v>
      </c>
      <c r="AM93" s="197">
        <f t="shared" si="399"/>
        <v>0.56796995941621098</v>
      </c>
      <c r="AN93" s="197">
        <f t="shared" si="399"/>
        <v>0.54301237200705421</v>
      </c>
      <c r="AO93" s="21"/>
      <c r="AP93" s="21"/>
      <c r="AQ93" s="21"/>
    </row>
    <row r="94" spans="3:43" x14ac:dyDescent="0.2">
      <c r="E94" s="138"/>
      <c r="G94" s="179"/>
      <c r="H94" s="179"/>
      <c r="I94" s="265"/>
      <c r="J94" s="197"/>
      <c r="K94" s="197"/>
      <c r="L94" s="197"/>
      <c r="M94" s="197"/>
      <c r="N94" s="197"/>
      <c r="O94" s="197"/>
      <c r="P94" s="197"/>
      <c r="Q94" s="197"/>
      <c r="R94" s="197"/>
      <c r="S94" s="197"/>
      <c r="T94" s="200"/>
      <c r="U94" s="265"/>
      <c r="V94" s="265"/>
      <c r="W94" s="265"/>
      <c r="X94" s="265"/>
      <c r="Y94" s="265"/>
      <c r="Z94" s="265"/>
      <c r="AA94" s="265"/>
      <c r="AB94" s="197"/>
      <c r="AC94" s="197"/>
      <c r="AD94" s="197"/>
      <c r="AE94" s="197"/>
      <c r="AF94" s="197"/>
      <c r="AG94" s="197"/>
      <c r="AH94" s="197"/>
      <c r="AI94" s="197"/>
      <c r="AJ94" s="197"/>
      <c r="AK94" s="197"/>
      <c r="AL94" s="197"/>
      <c r="AM94" s="197"/>
      <c r="AN94" s="197"/>
      <c r="AO94" s="21"/>
      <c r="AP94" s="21"/>
      <c r="AQ94" s="21"/>
    </row>
    <row r="95" spans="3:43" x14ac:dyDescent="0.2">
      <c r="D95" s="17" t="s">
        <v>83</v>
      </c>
      <c r="F95" s="171"/>
      <c r="G95" s="130" t="s">
        <v>93</v>
      </c>
      <c r="H95" s="210"/>
      <c r="I95" s="231">
        <f>'Company Data'!U147</f>
        <v>14516</v>
      </c>
      <c r="J95" s="231">
        <f>'Company Data'!V147</f>
        <v>20731</v>
      </c>
      <c r="K95" s="231">
        <f>'Company Data'!W147</f>
        <v>26204</v>
      </c>
      <c r="L95" s="231">
        <f>'Company Data'!X147</f>
        <v>29780</v>
      </c>
      <c r="M95" s="231">
        <f>'Company Data'!Y147</f>
        <v>33654</v>
      </c>
      <c r="N95" s="231">
        <f>'Company Data'!Z147</f>
        <v>35509</v>
      </c>
      <c r="O95" s="232">
        <f>SUM(AK95:AN95)</f>
        <v>42384.654359361462</v>
      </c>
      <c r="P95" s="232">
        <f>P96*P$58</f>
        <v>50364.910795773547</v>
      </c>
      <c r="Q95" s="232">
        <f>Q96*Q$58</f>
        <v>59117.507662613658</v>
      </c>
      <c r="R95" s="232">
        <f>R96*R$58</f>
        <v>68893.951514095665</v>
      </c>
      <c r="S95" s="232">
        <f>S96*S$58</f>
        <v>79337.790325809954</v>
      </c>
      <c r="T95" s="233"/>
      <c r="U95" s="231">
        <f>'Company Data'!C147</f>
        <v>5709</v>
      </c>
      <c r="V95" s="231">
        <f>'Company Data'!D147</f>
        <v>5492</v>
      </c>
      <c r="W95" s="231">
        <f>'Company Data'!E147</f>
        <v>5981</v>
      </c>
      <c r="X95" s="231">
        <f>'Company Data'!F147</f>
        <v>9023</v>
      </c>
      <c r="Y95" s="231">
        <f>'Company Data'!G147</f>
        <v>6695</v>
      </c>
      <c r="Z95" s="231">
        <f>'Company Data'!H147</f>
        <v>6209</v>
      </c>
      <c r="AA95" s="231">
        <f>'Company Data'!I147</f>
        <v>6819</v>
      </c>
      <c r="AB95" s="231">
        <f>'Company Data'!J147</f>
        <v>10105</v>
      </c>
      <c r="AC95" s="231">
        <f>'Company Data'!K147</f>
        <v>7916</v>
      </c>
      <c r="AD95" s="231">
        <f>'Company Data'!L147</f>
        <v>7343</v>
      </c>
      <c r="AE95" s="231">
        <f>'Company Data'!M147</f>
        <v>7885</v>
      </c>
      <c r="AF95" s="231">
        <f>'Company Data'!N147</f>
        <v>10510</v>
      </c>
      <c r="AG95" s="231">
        <f>'Company Data'!O147</f>
        <v>7821</v>
      </c>
      <c r="AH95" s="231">
        <f>'Company Data'!P147</f>
        <v>7584</v>
      </c>
      <c r="AI95" s="231">
        <f>'Company Data'!Q147</f>
        <v>8323</v>
      </c>
      <c r="AJ95" s="231">
        <f>'Company Data'!R147</f>
        <v>11781</v>
      </c>
      <c r="AK95" s="231">
        <f>'Company Data'!S147</f>
        <v>9546</v>
      </c>
      <c r="AL95" s="232">
        <f>AL58*AL96</f>
        <v>9167.8490745978597</v>
      </c>
      <c r="AM95" s="232">
        <f>AM58*AM96</f>
        <v>9689.4787389827325</v>
      </c>
      <c r="AN95" s="232">
        <f>AN58*AN96</f>
        <v>13981.326545780872</v>
      </c>
      <c r="AO95" s="21"/>
      <c r="AP95" s="21"/>
      <c r="AQ95" s="21"/>
    </row>
    <row r="96" spans="3:43" x14ac:dyDescent="0.2">
      <c r="E96" s="138" t="s">
        <v>91</v>
      </c>
      <c r="G96" s="179"/>
      <c r="H96" s="63"/>
      <c r="I96" s="195">
        <f t="shared" ref="I96:O96" si="400">I95/I58</f>
        <v>0.93669742530812417</v>
      </c>
      <c r="J96" s="195">
        <f t="shared" si="400"/>
        <v>0.97000748643084411</v>
      </c>
      <c r="K96" s="195">
        <f t="shared" si="400"/>
        <v>0.99710806697108068</v>
      </c>
      <c r="L96" s="195">
        <f t="shared" si="400"/>
        <v>0.99485534843321977</v>
      </c>
      <c r="M96" s="195">
        <f t="shared" si="400"/>
        <v>1.004297224709042</v>
      </c>
      <c r="N96" s="195">
        <f t="shared" si="400"/>
        <v>1.0025693150375514</v>
      </c>
      <c r="O96" s="195">
        <f t="shared" si="400"/>
        <v>0.99006871398112783</v>
      </c>
      <c r="P96" s="201">
        <f>O96*0.995</f>
        <v>0.98511837041122219</v>
      </c>
      <c r="Q96" s="201">
        <f>P96*0.995</f>
        <v>0.98019277855916609</v>
      </c>
      <c r="R96" s="201">
        <f t="shared" ref="R96:S96" si="401">Q96</f>
        <v>0.98019277855916609</v>
      </c>
      <c r="S96" s="201">
        <f t="shared" si="401"/>
        <v>0.98019277855916609</v>
      </c>
      <c r="T96" s="200"/>
      <c r="U96" s="199">
        <f t="shared" ref="U96:AK96" si="402">U95/U58</f>
        <v>0.9914901007294199</v>
      </c>
      <c r="V96" s="199">
        <f t="shared" si="402"/>
        <v>0.99709513435003627</v>
      </c>
      <c r="W96" s="199">
        <f t="shared" si="402"/>
        <v>1.0099628503883824</v>
      </c>
      <c r="X96" s="199">
        <f t="shared" si="402"/>
        <v>0.9923017705927637</v>
      </c>
      <c r="Y96" s="195">
        <f t="shared" si="402"/>
        <v>1.0023955681988321</v>
      </c>
      <c r="Z96" s="195">
        <f t="shared" si="402"/>
        <v>1</v>
      </c>
      <c r="AA96" s="195">
        <f t="shared" si="402"/>
        <v>1.0041231041083787</v>
      </c>
      <c r="AB96" s="195">
        <f t="shared" si="402"/>
        <v>0.98527691107644311</v>
      </c>
      <c r="AC96" s="195">
        <f t="shared" si="402"/>
        <v>1.0041862235189649</v>
      </c>
      <c r="AD96" s="195">
        <f t="shared" si="402"/>
        <v>1.0002724424465332</v>
      </c>
      <c r="AE96" s="195">
        <f t="shared" si="402"/>
        <v>1.0225651666450526</v>
      </c>
      <c r="AF96" s="195">
        <f t="shared" si="402"/>
        <v>0.99385342789598108</v>
      </c>
      <c r="AG96" s="195">
        <f t="shared" si="402"/>
        <v>1.0098127824402841</v>
      </c>
      <c r="AH96" s="195">
        <f t="shared" si="402"/>
        <v>1.0025115664243225</v>
      </c>
      <c r="AI96" s="195">
        <f t="shared" si="402"/>
        <v>1.0067739204064352</v>
      </c>
      <c r="AJ96" s="195">
        <f t="shared" si="402"/>
        <v>0.99493286040030404</v>
      </c>
      <c r="AK96" s="195">
        <f t="shared" si="402"/>
        <v>0.99790926196947527</v>
      </c>
      <c r="AL96" s="201">
        <f>AK96*0.992</f>
        <v>0.98992598787371944</v>
      </c>
      <c r="AM96" s="201">
        <f>AL96</f>
        <v>0.98992598787371944</v>
      </c>
      <c r="AN96" s="201">
        <f>AM96*0.995</f>
        <v>0.98497635793435079</v>
      </c>
      <c r="AO96" s="21"/>
      <c r="AP96" s="21"/>
      <c r="AQ96" s="21"/>
    </row>
    <row r="97" spans="1:44" x14ac:dyDescent="0.2">
      <c r="E97" s="138" t="s">
        <v>80</v>
      </c>
      <c r="G97" s="179"/>
      <c r="H97" s="63"/>
      <c r="I97" s="224">
        <f t="shared" ref="I97:S97" si="403">I58-I95</f>
        <v>981</v>
      </c>
      <c r="J97" s="224">
        <f t="shared" si="403"/>
        <v>641</v>
      </c>
      <c r="K97" s="224">
        <f t="shared" si="403"/>
        <v>76</v>
      </c>
      <c r="L97" s="224">
        <f t="shared" si="403"/>
        <v>154</v>
      </c>
      <c r="M97" s="224">
        <f t="shared" si="403"/>
        <v>-144</v>
      </c>
      <c r="N97" s="224">
        <f t="shared" si="403"/>
        <v>-91</v>
      </c>
      <c r="O97" s="224">
        <f t="shared" si="403"/>
        <v>425.15647581798112</v>
      </c>
      <c r="P97" s="224">
        <f t="shared" si="403"/>
        <v>760.83440249080741</v>
      </c>
      <c r="Q97" s="224">
        <f t="shared" si="403"/>
        <v>1194.6155806461102</v>
      </c>
      <c r="R97" s="224">
        <f t="shared" si="403"/>
        <v>1392.1728290833271</v>
      </c>
      <c r="S97" s="224">
        <f t="shared" si="403"/>
        <v>1603.2164447484829</v>
      </c>
      <c r="T97" s="200"/>
      <c r="U97" s="224">
        <f t="shared" ref="U97:AN97" si="404">U58-U95</f>
        <v>49</v>
      </c>
      <c r="V97" s="224">
        <f t="shared" si="404"/>
        <v>16</v>
      </c>
      <c r="W97" s="224">
        <f t="shared" si="404"/>
        <v>-59</v>
      </c>
      <c r="X97" s="224">
        <f t="shared" si="404"/>
        <v>70</v>
      </c>
      <c r="Y97" s="224">
        <f t="shared" si="404"/>
        <v>-16</v>
      </c>
      <c r="Z97" s="224">
        <f t="shared" si="404"/>
        <v>0</v>
      </c>
      <c r="AA97" s="224">
        <f t="shared" si="404"/>
        <v>-28</v>
      </c>
      <c r="AB97" s="224">
        <f t="shared" si="404"/>
        <v>151</v>
      </c>
      <c r="AC97" s="224">
        <f t="shared" si="404"/>
        <v>-33</v>
      </c>
      <c r="AD97" s="224">
        <f t="shared" si="404"/>
        <v>-2</v>
      </c>
      <c r="AE97" s="224">
        <f t="shared" si="404"/>
        <v>-174</v>
      </c>
      <c r="AF97" s="224">
        <f t="shared" si="404"/>
        <v>65</v>
      </c>
      <c r="AG97" s="224">
        <f t="shared" si="404"/>
        <v>-76</v>
      </c>
      <c r="AH97" s="224">
        <f t="shared" si="404"/>
        <v>-19</v>
      </c>
      <c r="AI97" s="224">
        <f t="shared" si="404"/>
        <v>-56</v>
      </c>
      <c r="AJ97" s="224">
        <f t="shared" si="404"/>
        <v>60</v>
      </c>
      <c r="AK97" s="224">
        <f t="shared" si="404"/>
        <v>20</v>
      </c>
      <c r="AL97" s="224">
        <f t="shared" si="404"/>
        <v>93.296896819310859</v>
      </c>
      <c r="AM97" s="224">
        <f t="shared" si="404"/>
        <v>98.605277070775628</v>
      </c>
      <c r="AN97" s="224">
        <f t="shared" si="404"/>
        <v>213.25430192789645</v>
      </c>
      <c r="AO97" s="21"/>
      <c r="AP97" s="21"/>
      <c r="AQ97" s="21"/>
    </row>
    <row r="98" spans="1:44" x14ac:dyDescent="0.2">
      <c r="E98" s="138" t="s">
        <v>316</v>
      </c>
      <c r="G98" s="179"/>
      <c r="H98" s="63"/>
      <c r="I98" s="195"/>
      <c r="J98" s="263">
        <f t="shared" ref="J98:R98" si="405">IFERROR(IF(I97&lt;0,-(J97/I97-1),(J97/I97-1)),"NA")</f>
        <v>-0.34658511722731911</v>
      </c>
      <c r="K98" s="263">
        <f t="shared" si="405"/>
        <v>-0.88143525741029638</v>
      </c>
      <c r="L98" s="263">
        <f t="shared" si="405"/>
        <v>1.0263157894736841</v>
      </c>
      <c r="M98" s="263">
        <f t="shared" si="405"/>
        <v>-1.9350649350649349</v>
      </c>
      <c r="N98" s="263">
        <f t="shared" si="405"/>
        <v>0.36805555555555558</v>
      </c>
      <c r="O98" s="263">
        <f t="shared" si="405"/>
        <v>5.6720491848129795</v>
      </c>
      <c r="P98" s="263">
        <f t="shared" si="405"/>
        <v>0.78953972423211405</v>
      </c>
      <c r="Q98" s="263">
        <f t="shared" si="405"/>
        <v>0.57013875389335311</v>
      </c>
      <c r="R98" s="263">
        <f t="shared" si="405"/>
        <v>0.16537307200561346</v>
      </c>
      <c r="S98" s="263">
        <f>IFERROR(IF(R97&lt;0,-(S97/R97-1),(S97/R97-1)),"NA")</f>
        <v>0.15159297125782656</v>
      </c>
      <c r="T98" s="200"/>
      <c r="U98" s="199"/>
      <c r="V98" s="199"/>
      <c r="W98" s="199"/>
      <c r="X98" s="263" t="str">
        <f t="shared" ref="X98" si="406">IFERROR(IF(T97&lt;0,-(X97/T97-1),(X97/T97-1)),"NA")</f>
        <v>NA</v>
      </c>
      <c r="Y98" s="263">
        <f t="shared" ref="Y98" si="407">IFERROR(IF(U97&lt;0,-(Y97/U97-1),(Y97/U97-1)),"NA")</f>
        <v>-1.3265306122448979</v>
      </c>
      <c r="Z98" s="263">
        <f t="shared" ref="Z98" si="408">IFERROR(IF(V97&lt;0,-(Z97/V97-1),(Z97/V97-1)),"NA")</f>
        <v>-1</v>
      </c>
      <c r="AA98" s="263">
        <f t="shared" ref="AA98" si="409">IFERROR(IF(W97&lt;0,-(AA97/W97-1),(AA97/W97-1)),"NA")</f>
        <v>0.52542372881355925</v>
      </c>
      <c r="AB98" s="263">
        <f t="shared" ref="AB98" si="410">IFERROR(IF(X97&lt;0,-(AB97/X97-1),(AB97/X97-1)),"NA")</f>
        <v>1.157142857142857</v>
      </c>
      <c r="AC98" s="263">
        <f t="shared" ref="AC98" si="411">IFERROR(IF(Y97&lt;0,-(AC97/Y97-1),(AC97/Y97-1)),"NA")</f>
        <v>-1.0625</v>
      </c>
      <c r="AD98" s="263" t="str">
        <f t="shared" ref="AD98" si="412">IFERROR(IF(Z97&lt;0,-(AD97/Z97-1),(AD97/Z97-1)),"NA")</f>
        <v>NA</v>
      </c>
      <c r="AE98" s="263">
        <f t="shared" ref="AE98" si="413">IFERROR(IF(AA97&lt;0,-(AE97/AA97-1),(AE97/AA97-1)),"NA")</f>
        <v>-5.2142857142857144</v>
      </c>
      <c r="AF98" s="263">
        <f t="shared" ref="AF98" si="414">IFERROR(IF(AB97&lt;0,-(AF97/AB97-1),(AF97/AB97-1)),"NA")</f>
        <v>-0.56953642384105962</v>
      </c>
      <c r="AG98" s="263">
        <f t="shared" ref="AG98" si="415">IFERROR(IF(AC97&lt;0,-(AG97/AC97-1),(AG97/AC97-1)),"NA")</f>
        <v>-1.3030303030303032</v>
      </c>
      <c r="AH98" s="263">
        <f t="shared" ref="AH98" si="416">IFERROR(IF(AD97&lt;0,-(AH97/AD97-1),(AH97/AD97-1)),"NA")</f>
        <v>-8.5</v>
      </c>
      <c r="AI98" s="263">
        <f t="shared" ref="AI98" si="417">IFERROR(IF(AE97&lt;0,-(AI97/AE97-1),(AI97/AE97-1)),"NA")</f>
        <v>0.67816091954022983</v>
      </c>
      <c r="AJ98" s="263">
        <f t="shared" ref="AJ98" si="418">IFERROR(IF(AF97&lt;0,-(AJ97/AF97-1),(AJ97/AF97-1)),"NA")</f>
        <v>-7.6923076923076872E-2</v>
      </c>
      <c r="AK98" s="263">
        <f t="shared" ref="AK98" si="419">IFERROR(IF(AG97&lt;0,-(AK97/AG97-1),(AK97/AG97-1)),"NA")</f>
        <v>1.263157894736842</v>
      </c>
      <c r="AL98" s="263">
        <f t="shared" ref="AL98" si="420">IFERROR(IF(AH97&lt;0,-(AL97/AH97-1),(AL97/AH97-1)),"NA")</f>
        <v>5.9103629904900457</v>
      </c>
      <c r="AM98" s="263">
        <f t="shared" ref="AM98" si="421">IFERROR(IF(AI97&lt;0,-(AM97/AI97-1),(AM97/AI97-1)),"NA")</f>
        <v>2.7608085191209932</v>
      </c>
      <c r="AN98" s="263">
        <f t="shared" ref="AN98" si="422">IFERROR(IF(AJ97&lt;0,-(AN97/AJ97-1),(AN97/AJ97-1)),"NA")</f>
        <v>2.5542383654649408</v>
      </c>
      <c r="AO98" s="21"/>
      <c r="AP98" s="21"/>
      <c r="AQ98" s="21"/>
    </row>
    <row r="99" spans="1:44" x14ac:dyDescent="0.2">
      <c r="E99" s="137" t="s">
        <v>312</v>
      </c>
      <c r="G99" s="179"/>
      <c r="H99" s="63"/>
      <c r="I99" s="195"/>
      <c r="J99" s="195"/>
      <c r="K99" s="195"/>
      <c r="L99" s="195"/>
      <c r="M99" s="195"/>
      <c r="N99" s="195"/>
      <c r="O99" s="195"/>
      <c r="P99" s="201"/>
      <c r="Q99" s="201"/>
      <c r="R99" s="201"/>
      <c r="S99" s="201"/>
      <c r="T99" s="200"/>
      <c r="U99" s="199"/>
      <c r="V99" s="199"/>
      <c r="W99" s="199"/>
      <c r="X99" s="199"/>
      <c r="Y99" s="195"/>
      <c r="Z99" s="195"/>
      <c r="AA99" s="195"/>
      <c r="AB99" s="195"/>
      <c r="AC99" s="195"/>
      <c r="AD99" s="195"/>
      <c r="AE99" s="195"/>
      <c r="AF99" s="195"/>
      <c r="AG99" s="195"/>
      <c r="AH99" s="195"/>
      <c r="AI99" s="195"/>
      <c r="AJ99" s="263">
        <v>0.65</v>
      </c>
      <c r="AK99" s="224"/>
      <c r="AL99" s="201"/>
      <c r="AM99" s="201"/>
      <c r="AN99" s="201"/>
      <c r="AO99" s="21"/>
      <c r="AP99" s="21"/>
      <c r="AQ99" s="21"/>
    </row>
    <row r="100" spans="1:44" x14ac:dyDescent="0.2">
      <c r="E100" s="138" t="s">
        <v>92</v>
      </c>
      <c r="G100" s="179"/>
      <c r="H100" s="179"/>
      <c r="I100" s="265" t="s">
        <v>79</v>
      </c>
      <c r="J100" s="197">
        <f t="shared" ref="J100:S100" si="423">IFERROR((J95-I95)/(J$79-I$79),"NA ")</f>
        <v>0.44799250342391694</v>
      </c>
      <c r="K100" s="197">
        <f t="shared" si="423"/>
        <v>0.4204824830977259</v>
      </c>
      <c r="L100" s="197">
        <f t="shared" si="423"/>
        <v>0.26768470693914215</v>
      </c>
      <c r="M100" s="197">
        <f t="shared" si="423"/>
        <v>0.26651073197578429</v>
      </c>
      <c r="N100" s="197">
        <f t="shared" si="423"/>
        <v>0.10295260295260296</v>
      </c>
      <c r="O100" s="197">
        <f t="shared" si="423"/>
        <v>0.24318603034355035</v>
      </c>
      <c r="P100" s="197">
        <f t="shared" si="423"/>
        <v>0.23777823600831871</v>
      </c>
      <c r="Q100" s="197">
        <f t="shared" si="423"/>
        <v>0.22694141368630366</v>
      </c>
      <c r="R100" s="197">
        <f t="shared" si="423"/>
        <v>0.22695866954334087</v>
      </c>
      <c r="S100" s="197">
        <f t="shared" si="423"/>
        <v>0.2218030921623769</v>
      </c>
      <c r="T100" s="200"/>
      <c r="U100" s="265" t="s">
        <v>79</v>
      </c>
      <c r="V100" s="265" t="s">
        <v>79</v>
      </c>
      <c r="W100" s="265" t="s">
        <v>79</v>
      </c>
      <c r="X100" s="265" t="s">
        <v>79</v>
      </c>
      <c r="Y100" s="265" t="s">
        <v>79</v>
      </c>
      <c r="Z100" s="265" t="s">
        <v>79</v>
      </c>
      <c r="AA100" s="265" t="s">
        <v>79</v>
      </c>
      <c r="AB100" s="197">
        <f t="shared" ref="AB100:AN100" si="424">IFERROR((AB95-X95)/(AB$79-X$79),"NA ")</f>
        <v>0.25052095392451956</v>
      </c>
      <c r="AC100" s="197">
        <f t="shared" si="424"/>
        <v>0.3326069190956143</v>
      </c>
      <c r="AD100" s="197">
        <f t="shared" si="424"/>
        <v>0.31188118811881188</v>
      </c>
      <c r="AE100" s="197">
        <f t="shared" si="424"/>
        <v>0.30570691138514483</v>
      </c>
      <c r="AF100" s="197">
        <f t="shared" si="424"/>
        <v>0.1082598235765838</v>
      </c>
      <c r="AG100" s="197">
        <f t="shared" si="424"/>
        <v>-3.1922043010752688E-2</v>
      </c>
      <c r="AH100" s="197">
        <f t="shared" si="424"/>
        <v>6.2678803641092323E-2</v>
      </c>
      <c r="AI100" s="197">
        <f t="shared" si="424"/>
        <v>9.1650973006905209E-2</v>
      </c>
      <c r="AJ100" s="197">
        <f t="shared" si="424"/>
        <v>0.19800591992522198</v>
      </c>
      <c r="AK100" s="197">
        <f t="shared" si="424"/>
        <v>0.26906878802058959</v>
      </c>
      <c r="AL100" s="197">
        <f t="shared" si="424"/>
        <v>0.24467101550574613</v>
      </c>
      <c r="AM100" s="197">
        <f t="shared" si="424"/>
        <v>0.20095953560422009</v>
      </c>
      <c r="AN100" s="197">
        <f t="shared" si="424"/>
        <v>0.25620715707183306</v>
      </c>
      <c r="AO100" s="21"/>
      <c r="AP100" s="21"/>
      <c r="AQ100" s="21"/>
    </row>
    <row r="101" spans="1:44" x14ac:dyDescent="0.2">
      <c r="D101" s="17" t="s">
        <v>94</v>
      </c>
      <c r="F101" s="171"/>
      <c r="G101" s="130" t="s">
        <v>321</v>
      </c>
      <c r="H101" s="63"/>
      <c r="I101" s="231">
        <f>'Company Data'!U148</f>
        <v>0</v>
      </c>
      <c r="J101" s="231" t="str">
        <f>'Company Data'!V148</f>
        <v xml:space="preserve">NA </v>
      </c>
      <c r="K101" s="231" t="str">
        <f>'Company Data'!W148</f>
        <v xml:space="preserve">NA </v>
      </c>
      <c r="L101" s="231">
        <f>'Company Data'!X148</f>
        <v>2435</v>
      </c>
      <c r="M101" s="231">
        <f>'Company Data'!Y148</f>
        <v>3984</v>
      </c>
      <c r="N101" s="231">
        <f>'Company Data'!Z148</f>
        <v>6017</v>
      </c>
      <c r="O101" s="232">
        <f>SUM(AK101:AN101)</f>
        <v>8880.5039307119623</v>
      </c>
      <c r="P101" s="232">
        <f>P102*P72</f>
        <v>13499.883674994942</v>
      </c>
      <c r="Q101" s="232">
        <f>Q102*Q72</f>
        <v>19252.74652142324</v>
      </c>
      <c r="R101" s="232">
        <f>R102*R72</f>
        <v>26033.71136747377</v>
      </c>
      <c r="S101" s="232">
        <f>S102*S72</f>
        <v>33717.985801102972</v>
      </c>
      <c r="T101" s="233"/>
      <c r="U101" s="231" t="str">
        <f>'Company Data'!C148</f>
        <v>NA</v>
      </c>
      <c r="V101" s="231" t="str">
        <f>'Company Data'!D148</f>
        <v>NA</v>
      </c>
      <c r="W101" s="231" t="str">
        <f>'Company Data'!E148</f>
        <v>NA</v>
      </c>
      <c r="X101" s="231" t="str">
        <f>'Company Data'!F148</f>
        <v xml:space="preserve">NA </v>
      </c>
      <c r="Y101" s="231" t="str">
        <f>'Company Data'!G148</f>
        <v xml:space="preserve">NA </v>
      </c>
      <c r="Z101" s="231" t="str">
        <f>'Company Data'!H148</f>
        <v xml:space="preserve">NA </v>
      </c>
      <c r="AA101" s="231" t="str">
        <f>'Company Data'!I148</f>
        <v xml:space="preserve">NA </v>
      </c>
      <c r="AB101" s="231" t="str">
        <f>'Company Data'!J148</f>
        <v xml:space="preserve">NA </v>
      </c>
      <c r="AC101" s="231">
        <f>'Company Data'!K148</f>
        <v>805</v>
      </c>
      <c r="AD101" s="231">
        <f>'Company Data'!L148</f>
        <v>928</v>
      </c>
      <c r="AE101" s="231">
        <f>'Company Data'!M148</f>
        <v>1071</v>
      </c>
      <c r="AF101" s="231">
        <f>'Company Data'!N148</f>
        <v>1180</v>
      </c>
      <c r="AG101" s="231">
        <f>'Company Data'!O148</f>
        <v>1301</v>
      </c>
      <c r="AH101" s="231">
        <f>'Company Data'!P148</f>
        <v>1433</v>
      </c>
      <c r="AI101" s="231">
        <f>'Company Data'!Q148</f>
        <v>1564</v>
      </c>
      <c r="AJ101" s="231">
        <f>'Company Data'!R148</f>
        <v>1718</v>
      </c>
      <c r="AK101" s="231">
        <f>'Company Data'!S148</f>
        <v>1850</v>
      </c>
      <c r="AL101" s="232">
        <f>AL72*AL102</f>
        <v>2112.2309242884403</v>
      </c>
      <c r="AM101" s="232">
        <f>AM72*AM102</f>
        <v>2326.3549869648182</v>
      </c>
      <c r="AN101" s="232">
        <f>AN72*AN102</f>
        <v>2591.9180194587043</v>
      </c>
      <c r="AO101" s="21"/>
      <c r="AP101" s="21"/>
      <c r="AQ101" s="21"/>
    </row>
    <row r="102" spans="1:44" x14ac:dyDescent="0.2">
      <c r="E102" s="138" t="s">
        <v>91</v>
      </c>
      <c r="G102" s="130" t="s">
        <v>311</v>
      </c>
      <c r="H102" s="63"/>
      <c r="I102" s="265" t="s">
        <v>79</v>
      </c>
      <c r="J102" s="265" t="s">
        <v>79</v>
      </c>
      <c r="K102" s="265" t="s">
        <v>79</v>
      </c>
      <c r="L102" s="195">
        <f>IFERROR(L101/L72,"NA ")</f>
        <v>0.78346203346203347</v>
      </c>
      <c r="M102" s="195">
        <f>IFERROR(M101/M72,"NA ")</f>
        <v>0.8578811369509044</v>
      </c>
      <c r="N102" s="195">
        <f>IFERROR(N101/N72,"NA ")</f>
        <v>0.76357868020304565</v>
      </c>
      <c r="O102" s="195">
        <f>IFERROR(O101/O72,"NA ")</f>
        <v>0.73233459351124142</v>
      </c>
      <c r="P102" s="201">
        <f>O102*1.02</f>
        <v>0.74698128538146624</v>
      </c>
      <c r="Q102" s="201">
        <f t="shared" ref="Q102:S102" si="425">P102*1.01</f>
        <v>0.75445109823528089</v>
      </c>
      <c r="R102" s="201">
        <f t="shared" si="425"/>
        <v>0.76199560921763376</v>
      </c>
      <c r="S102" s="201">
        <f t="shared" si="425"/>
        <v>0.76961556530981012</v>
      </c>
      <c r="T102" s="200"/>
      <c r="U102" s="265" t="s">
        <v>79</v>
      </c>
      <c r="V102" s="265" t="s">
        <v>79</v>
      </c>
      <c r="W102" s="265" t="s">
        <v>79</v>
      </c>
      <c r="X102" s="265" t="s">
        <v>79</v>
      </c>
      <c r="Y102" s="265" t="s">
        <v>79</v>
      </c>
      <c r="Z102" s="265" t="s">
        <v>79</v>
      </c>
      <c r="AA102" s="265" t="s">
        <v>79</v>
      </c>
      <c r="AB102" s="265" t="s">
        <v>79</v>
      </c>
      <c r="AC102" s="195">
        <f t="shared" ref="AC102:AK102" si="426">IFERROR(AC101/AC72,"NA ")</f>
        <v>0.76666666666666672</v>
      </c>
      <c r="AD102" s="195">
        <f t="shared" si="426"/>
        <v>0.92338308457711438</v>
      </c>
      <c r="AE102" s="195">
        <f t="shared" si="426"/>
        <v>0.91616766467065869</v>
      </c>
      <c r="AF102" s="195">
        <f t="shared" si="426"/>
        <v>0.83098591549295775</v>
      </c>
      <c r="AG102" s="195">
        <f t="shared" si="426"/>
        <v>0.830779054916986</v>
      </c>
      <c r="AH102" s="195">
        <f t="shared" si="426"/>
        <v>0.78563596491228072</v>
      </c>
      <c r="AI102" s="195">
        <f t="shared" si="426"/>
        <v>0.75011990407673856</v>
      </c>
      <c r="AJ102" s="195">
        <f t="shared" si="426"/>
        <v>0.71434511434511438</v>
      </c>
      <c r="AK102" s="195">
        <f t="shared" si="426"/>
        <v>0.72096648480124703</v>
      </c>
      <c r="AL102" s="201">
        <f>AK102*1.02</f>
        <v>0.73538581449727203</v>
      </c>
      <c r="AM102" s="201">
        <f>AL102</f>
        <v>0.73538581449727203</v>
      </c>
      <c r="AN102" s="201">
        <f>AM102</f>
        <v>0.73538581449727203</v>
      </c>
      <c r="AO102" s="21"/>
      <c r="AP102" s="21"/>
      <c r="AQ102" s="21"/>
    </row>
    <row r="103" spans="1:44" x14ac:dyDescent="0.2">
      <c r="E103" s="138" t="s">
        <v>80</v>
      </c>
      <c r="G103" s="179"/>
      <c r="H103" s="63"/>
      <c r="I103" s="265" t="s">
        <v>79</v>
      </c>
      <c r="J103" s="265" t="s">
        <v>79</v>
      </c>
      <c r="K103" s="265" t="s">
        <v>79</v>
      </c>
      <c r="L103" s="224">
        <f t="shared" ref="L103:S103" si="427">L72-L101</f>
        <v>673</v>
      </c>
      <c r="M103" s="224">
        <f t="shared" si="427"/>
        <v>660</v>
      </c>
      <c r="N103" s="224">
        <f t="shared" si="427"/>
        <v>1863</v>
      </c>
      <c r="O103" s="224">
        <f t="shared" si="427"/>
        <v>3245.789172736313</v>
      </c>
      <c r="P103" s="224">
        <f t="shared" si="427"/>
        <v>4572.7025319016084</v>
      </c>
      <c r="Q103" s="224">
        <f t="shared" si="427"/>
        <v>6266.1327889215863</v>
      </c>
      <c r="R103" s="224">
        <f t="shared" si="427"/>
        <v>8131.4610463193312</v>
      </c>
      <c r="S103" s="224">
        <f t="shared" si="427"/>
        <v>10093.479716138405</v>
      </c>
      <c r="T103" s="200"/>
      <c r="U103" s="265" t="s">
        <v>79</v>
      </c>
      <c r="V103" s="265" t="s">
        <v>79</v>
      </c>
      <c r="W103" s="265" t="s">
        <v>79</v>
      </c>
      <c r="X103" s="265" t="s">
        <v>79</v>
      </c>
      <c r="Y103" s="265" t="s">
        <v>79</v>
      </c>
      <c r="Z103" s="265" t="s">
        <v>79</v>
      </c>
      <c r="AA103" s="265" t="s">
        <v>79</v>
      </c>
      <c r="AB103" s="265" t="s">
        <v>79</v>
      </c>
      <c r="AC103" s="224">
        <f t="shared" ref="AC103:AN103" si="428">AC72-AC101</f>
        <v>245</v>
      </c>
      <c r="AD103" s="224">
        <f t="shared" si="428"/>
        <v>77</v>
      </c>
      <c r="AE103" s="224">
        <f t="shared" si="428"/>
        <v>98</v>
      </c>
      <c r="AF103" s="224">
        <f t="shared" si="428"/>
        <v>240</v>
      </c>
      <c r="AG103" s="224">
        <f t="shared" si="428"/>
        <v>265</v>
      </c>
      <c r="AH103" s="224">
        <f t="shared" si="428"/>
        <v>391</v>
      </c>
      <c r="AI103" s="224">
        <f t="shared" si="428"/>
        <v>521</v>
      </c>
      <c r="AJ103" s="224">
        <f t="shared" si="428"/>
        <v>687</v>
      </c>
      <c r="AK103" s="224">
        <f t="shared" si="428"/>
        <v>716</v>
      </c>
      <c r="AL103" s="224">
        <f t="shared" si="428"/>
        <v>760.04493778052529</v>
      </c>
      <c r="AM103" s="224">
        <f t="shared" si="428"/>
        <v>837.09328889725066</v>
      </c>
      <c r="AN103" s="224">
        <f t="shared" si="428"/>
        <v>932.65094605853756</v>
      </c>
      <c r="AO103" s="21"/>
      <c r="AP103" s="21"/>
      <c r="AQ103" s="21"/>
    </row>
    <row r="104" spans="1:44" x14ac:dyDescent="0.2">
      <c r="E104" s="138" t="s">
        <v>316</v>
      </c>
      <c r="G104" s="179"/>
      <c r="H104" s="63"/>
      <c r="I104" s="265" t="s">
        <v>79</v>
      </c>
      <c r="J104" s="263" t="str">
        <f t="shared" ref="J104" si="429">IFERROR(IF(I103&lt;0,-(J103/I103-1),(J103/I103-1)),"NA")</f>
        <v>NA</v>
      </c>
      <c r="K104" s="263" t="str">
        <f t="shared" ref="K104" si="430">IFERROR(IF(J103&lt;0,-(K103/J103-1),(K103/J103-1)),"NA")</f>
        <v>NA</v>
      </c>
      <c r="L104" s="263" t="str">
        <f t="shared" ref="L104" si="431">IFERROR(IF(K103&lt;0,-(L103/K103-1),(L103/K103-1)),"NA")</f>
        <v>NA</v>
      </c>
      <c r="M104" s="263">
        <f t="shared" ref="M104" si="432">IFERROR(IF(L103&lt;0,-(M103/L103-1),(M103/L103-1)),"NA")</f>
        <v>-1.9316493313521588E-2</v>
      </c>
      <c r="N104" s="263">
        <f t="shared" ref="N104" si="433">IFERROR(IF(M103&lt;0,-(N103/M103-1),(N103/M103-1)),"NA")</f>
        <v>1.8227272727272728</v>
      </c>
      <c r="O104" s="263">
        <f t="shared" ref="O104" si="434">IFERROR(IF(N103&lt;0,-(O103/N103-1),(O103/N103-1)),"NA")</f>
        <v>0.74223788123258894</v>
      </c>
      <c r="P104" s="263">
        <f t="shared" ref="P104" si="435">IFERROR(IF(O103&lt;0,-(P103/O103-1),(P103/O103-1)),"NA")</f>
        <v>0.40881070474662451</v>
      </c>
      <c r="Q104" s="263">
        <f t="shared" ref="Q104" si="436">IFERROR(IF(P103&lt;0,-(Q103/P103-1),(Q103/P103-1)),"NA")</f>
        <v>0.37033466428347483</v>
      </c>
      <c r="R104" s="263">
        <f t="shared" ref="R104" si="437">IFERROR(IF(Q103&lt;0,-(R103/Q103-1),(R103/Q103-1)),"NA")</f>
        <v>0.29768412515860065</v>
      </c>
      <c r="S104" s="263">
        <f>IFERROR(IF(R103&lt;0,-(S103/R103-1),(S103/R103-1)),"NA")</f>
        <v>0.24128734782627692</v>
      </c>
      <c r="T104" s="200"/>
      <c r="U104" s="265"/>
      <c r="V104" s="265"/>
      <c r="W104" s="265"/>
      <c r="X104" s="263" t="str">
        <f t="shared" ref="X104" si="438">IFERROR(IF(T103&lt;0,-(X103/T103-1),(X103/T103-1)),"NA")</f>
        <v>NA</v>
      </c>
      <c r="Y104" s="263" t="str">
        <f t="shared" ref="Y104" si="439">IFERROR(IF(U103&lt;0,-(Y103/U103-1),(Y103/U103-1)),"NA")</f>
        <v>NA</v>
      </c>
      <c r="Z104" s="263" t="str">
        <f t="shared" ref="Z104" si="440">IFERROR(IF(V103&lt;0,-(Z103/V103-1),(Z103/V103-1)),"NA")</f>
        <v>NA</v>
      </c>
      <c r="AA104" s="263" t="str">
        <f t="shared" ref="AA104" si="441">IFERROR(IF(W103&lt;0,-(AA103/W103-1),(AA103/W103-1)),"NA")</f>
        <v>NA</v>
      </c>
      <c r="AB104" s="263" t="str">
        <f t="shared" ref="AB104" si="442">IFERROR(IF(X103&lt;0,-(AB103/X103-1),(AB103/X103-1)),"NA")</f>
        <v>NA</v>
      </c>
      <c r="AC104" s="263" t="str">
        <f t="shared" ref="AC104" si="443">IFERROR(IF(Y103&lt;0,-(AC103/Y103-1),(AC103/Y103-1)),"NA")</f>
        <v>NA</v>
      </c>
      <c r="AD104" s="263" t="str">
        <f t="shared" ref="AD104" si="444">IFERROR(IF(Z103&lt;0,-(AD103/Z103-1),(AD103/Z103-1)),"NA")</f>
        <v>NA</v>
      </c>
      <c r="AE104" s="263" t="str">
        <f t="shared" ref="AE104" si="445">IFERROR(IF(AA103&lt;0,-(AE103/AA103-1),(AE103/AA103-1)),"NA")</f>
        <v>NA</v>
      </c>
      <c r="AF104" s="263" t="str">
        <f t="shared" ref="AF104" si="446">IFERROR(IF(AB103&lt;0,-(AF103/AB103-1),(AF103/AB103-1)),"NA")</f>
        <v>NA</v>
      </c>
      <c r="AG104" s="263">
        <f t="shared" ref="AG104" si="447">IFERROR(IF(AC103&lt;0,-(AG103/AC103-1),(AG103/AC103-1)),"NA")</f>
        <v>8.163265306122458E-2</v>
      </c>
      <c r="AH104" s="263">
        <f t="shared" ref="AH104" si="448">IFERROR(IF(AD103&lt;0,-(AH103/AD103-1),(AH103/AD103-1)),"NA")</f>
        <v>4.0779220779220777</v>
      </c>
      <c r="AI104" s="263">
        <f t="shared" ref="AI104" si="449">IFERROR(IF(AE103&lt;0,-(AI103/AE103-1),(AI103/AE103-1)),"NA")</f>
        <v>4.3163265306122449</v>
      </c>
      <c r="AJ104" s="263">
        <f t="shared" ref="AJ104" si="450">IFERROR(IF(AF103&lt;0,-(AJ103/AF103-1),(AJ103/AF103-1)),"NA")</f>
        <v>1.8624999999999998</v>
      </c>
      <c r="AK104" s="263">
        <f t="shared" ref="AK104" si="451">IFERROR(IF(AG103&lt;0,-(AK103/AG103-1),(AK103/AG103-1)),"NA")</f>
        <v>1.70188679245283</v>
      </c>
      <c r="AL104" s="263">
        <f t="shared" ref="AL104" si="452">IFERROR(IF(AH103&lt;0,-(AL103/AH103-1),(AL103/AH103-1)),"NA")</f>
        <v>0.94384894573024369</v>
      </c>
      <c r="AM104" s="263">
        <f t="shared" ref="AM104" si="453">IFERROR(IF(AI103&lt;0,-(AM103/AI103-1),(AM103/AI103-1)),"NA")</f>
        <v>0.60670496909261162</v>
      </c>
      <c r="AN104" s="263">
        <f t="shared" ref="AN104" si="454">IFERROR(IF(AJ103&lt;0,-(AN103/AJ103-1),(AN103/AJ103-1)),"NA")</f>
        <v>0.35757051828025843</v>
      </c>
      <c r="AO104" s="21"/>
      <c r="AP104" s="21"/>
      <c r="AQ104" s="21"/>
    </row>
    <row r="105" spans="1:44" x14ac:dyDescent="0.2">
      <c r="E105" s="138" t="s">
        <v>92</v>
      </c>
      <c r="G105" s="179"/>
      <c r="H105" s="179"/>
      <c r="I105" s="265" t="s">
        <v>79</v>
      </c>
      <c r="J105" s="265" t="s">
        <v>79</v>
      </c>
      <c r="K105" s="265" t="s">
        <v>79</v>
      </c>
      <c r="L105" s="265" t="s">
        <v>79</v>
      </c>
      <c r="M105" s="197">
        <f t="shared" ref="M105:S105" si="455">IFERROR((M101-L101)/(M$79-L$79),"NA ")</f>
        <v>0.10656301596037425</v>
      </c>
      <c r="N105" s="197">
        <f t="shared" si="455"/>
        <v>0.11283161283161283</v>
      </c>
      <c r="O105" s="197">
        <f t="shared" si="455"/>
        <v>0.10127969170452394</v>
      </c>
      <c r="P105" s="197">
        <f t="shared" si="455"/>
        <v>0.13763817939940781</v>
      </c>
      <c r="Q105" s="197">
        <f t="shared" si="455"/>
        <v>0.14916291095938353</v>
      </c>
      <c r="R105" s="197">
        <f t="shared" si="455"/>
        <v>0.15741907620596599</v>
      </c>
      <c r="S105" s="197">
        <f t="shared" si="455"/>
        <v>0.16319629794472945</v>
      </c>
      <c r="T105" s="200"/>
      <c r="U105" s="265" t="s">
        <v>79</v>
      </c>
      <c r="V105" s="265" t="s">
        <v>79</v>
      </c>
      <c r="W105" s="265" t="s">
        <v>79</v>
      </c>
      <c r="X105" s="265" t="s">
        <v>79</v>
      </c>
      <c r="Y105" s="265" t="s">
        <v>79</v>
      </c>
      <c r="Z105" s="265" t="s">
        <v>79</v>
      </c>
      <c r="AA105" s="265" t="s">
        <v>79</v>
      </c>
      <c r="AB105" s="265" t="s">
        <v>79</v>
      </c>
      <c r="AC105" s="197" t="str">
        <f t="shared" ref="AC105:AG105" si="456">IFERROR((AC101-Y101)/(AC$79-Y$79),"NA ")</f>
        <v xml:space="preserve">NA </v>
      </c>
      <c r="AD105" s="197" t="str">
        <f t="shared" si="456"/>
        <v xml:space="preserve">NA </v>
      </c>
      <c r="AE105" s="197" t="str">
        <f t="shared" si="456"/>
        <v xml:space="preserve">NA </v>
      </c>
      <c r="AF105" s="197" t="str">
        <f t="shared" si="456"/>
        <v xml:space="preserve">NA </v>
      </c>
      <c r="AG105" s="197">
        <f t="shared" si="456"/>
        <v>0.16666666666666666</v>
      </c>
      <c r="AH105" s="197">
        <f t="shared" ref="AH105" si="457">IFERROR((AH101-AD101)/(AH$79-AD$79),"NA ")</f>
        <v>0.13133940182054615</v>
      </c>
      <c r="AI105" s="197">
        <f t="shared" ref="AI105" si="458">IFERROR((AI101-AE101)/(AI$79-AE$79),"NA ")</f>
        <v>0.10315965683197321</v>
      </c>
      <c r="AJ105" s="197">
        <f t="shared" ref="AJ105:AK105" si="459">IFERROR((AJ101-AF101)/(AJ$79-AF$79),"NA ")</f>
        <v>8.3813678143012924E-2</v>
      </c>
      <c r="AK105" s="197">
        <f t="shared" si="459"/>
        <v>8.5634066448291996E-2</v>
      </c>
      <c r="AL105" s="197">
        <f t="shared" ref="AL105" si="460">IFERROR((AL101-AH101)/(AL$79-AH$79),"NA ")</f>
        <v>0.10492673997410677</v>
      </c>
      <c r="AM105" s="197">
        <f t="shared" ref="AM105" si="461">IFERROR((AM101-AI101)/(AM$79-AI$79),"NA ")</f>
        <v>0.11211480996774371</v>
      </c>
      <c r="AN105" s="197">
        <f t="shared" ref="AN105" si="462">IFERROR((AN101-AJ101)/(AN$79-AJ$79),"NA ")</f>
        <v>0.10175946461614878</v>
      </c>
      <c r="AO105" s="21"/>
      <c r="AP105" s="21"/>
      <c r="AQ105" s="21"/>
    </row>
    <row r="106" spans="1:44" x14ac:dyDescent="0.2">
      <c r="E106" s="138"/>
      <c r="G106" s="179"/>
      <c r="H106" s="179"/>
      <c r="I106" s="265"/>
      <c r="J106" s="265"/>
      <c r="K106" s="265"/>
      <c r="L106" s="265"/>
      <c r="M106" s="197"/>
      <c r="N106" s="197"/>
      <c r="O106" s="197"/>
      <c r="P106" s="197"/>
      <c r="Q106" s="197"/>
      <c r="R106" s="197"/>
      <c r="S106" s="197"/>
      <c r="T106" s="200"/>
      <c r="U106" s="265"/>
      <c r="V106" s="265"/>
      <c r="W106" s="265"/>
      <c r="X106" s="265"/>
      <c r="Y106" s="265"/>
      <c r="Z106" s="265"/>
      <c r="AA106" s="265"/>
      <c r="AB106" s="265"/>
      <c r="AC106" s="197"/>
      <c r="AD106" s="197"/>
      <c r="AE106" s="197"/>
      <c r="AF106" s="197"/>
      <c r="AG106" s="197"/>
      <c r="AH106" s="197"/>
      <c r="AI106" s="197"/>
      <c r="AJ106" s="197"/>
      <c r="AK106" s="197"/>
      <c r="AL106" s="197"/>
      <c r="AM106" s="197"/>
      <c r="AN106" s="197"/>
      <c r="AO106" s="21"/>
      <c r="AP106" s="21"/>
      <c r="AQ106" s="21"/>
    </row>
    <row r="107" spans="1:44" x14ac:dyDescent="0.2">
      <c r="D107" s="17" t="s">
        <v>95</v>
      </c>
      <c r="F107" s="171"/>
      <c r="G107" s="63"/>
      <c r="H107" s="63"/>
      <c r="I107" s="232">
        <f>I89+I95+I101</f>
        <v>32268</v>
      </c>
      <c r="J107" s="232">
        <f>J89+J95</f>
        <v>46503</v>
      </c>
      <c r="K107" s="232">
        <f>K89+K95</f>
        <v>59425</v>
      </c>
      <c r="L107" s="232">
        <f t="shared" ref="L107:S107" si="463">L89+L95+L101</f>
        <v>72459</v>
      </c>
      <c r="M107" s="232">
        <f t="shared" si="463"/>
        <v>87180</v>
      </c>
      <c r="N107" s="232">
        <f t="shared" si="463"/>
        <v>102483</v>
      </c>
      <c r="O107" s="232">
        <f t="shared" si="463"/>
        <v>127245.13656856364</v>
      </c>
      <c r="P107" s="232">
        <f t="shared" si="463"/>
        <v>157153.90404140996</v>
      </c>
      <c r="Q107" s="232">
        <f t="shared" si="463"/>
        <v>191626.5670959508</v>
      </c>
      <c r="R107" s="232">
        <f t="shared" si="463"/>
        <v>230285.51793132746</v>
      </c>
      <c r="S107" s="232">
        <f t="shared" si="463"/>
        <v>272439.57645557541</v>
      </c>
      <c r="T107" s="232"/>
      <c r="U107" s="232">
        <f t="shared" ref="U107:AB107" si="464">U89+U95</f>
        <v>12787</v>
      </c>
      <c r="V107" s="232">
        <f t="shared" si="464"/>
        <v>12474</v>
      </c>
      <c r="W107" s="232">
        <f t="shared" si="464"/>
        <v>13574</v>
      </c>
      <c r="X107" s="232">
        <f t="shared" si="464"/>
        <v>20590</v>
      </c>
      <c r="Y107" s="232">
        <f t="shared" si="464"/>
        <v>15629</v>
      </c>
      <c r="Z107" s="232">
        <f t="shared" si="464"/>
        <v>15295</v>
      </c>
      <c r="AA107" s="232">
        <f t="shared" si="464"/>
        <v>16825</v>
      </c>
      <c r="AB107" s="232">
        <f t="shared" si="464"/>
        <v>24711</v>
      </c>
      <c r="AC107" s="232">
        <f t="shared" ref="AC107:AN107" si="465">AC89+AC95+AC101</f>
        <v>19239</v>
      </c>
      <c r="AD107" s="232">
        <f t="shared" si="465"/>
        <v>18936</v>
      </c>
      <c r="AE107" s="232">
        <f t="shared" si="465"/>
        <v>20715</v>
      </c>
      <c r="AF107" s="232">
        <f t="shared" si="465"/>
        <v>28290</v>
      </c>
      <c r="AG107" s="232">
        <f t="shared" si="465"/>
        <v>22011</v>
      </c>
      <c r="AH107" s="232">
        <f t="shared" si="465"/>
        <v>22110</v>
      </c>
      <c r="AI107" s="232">
        <f t="shared" si="465"/>
        <v>24365</v>
      </c>
      <c r="AJ107" s="232">
        <f t="shared" si="465"/>
        <v>33997</v>
      </c>
      <c r="AK107" s="232">
        <f t="shared" si="465"/>
        <v>27468</v>
      </c>
      <c r="AL107" s="232">
        <f t="shared" si="465"/>
        <v>27686.56131512568</v>
      </c>
      <c r="AM107" s="232">
        <f t="shared" si="465"/>
        <v>30355.899149166213</v>
      </c>
      <c r="AN107" s="232">
        <f t="shared" si="465"/>
        <v>41734.676104271763</v>
      </c>
      <c r="AO107" s="21"/>
      <c r="AP107" s="21"/>
      <c r="AQ107" s="21"/>
    </row>
    <row r="108" spans="1:44" x14ac:dyDescent="0.2">
      <c r="E108" s="138" t="s">
        <v>91</v>
      </c>
      <c r="G108" s="63"/>
      <c r="H108" s="63"/>
      <c r="I108" s="195">
        <f t="shared" ref="I108:S108" si="466">I107/I79</f>
        <v>0.9433984329318208</v>
      </c>
      <c r="J108" s="195">
        <f t="shared" si="466"/>
        <v>0.96726085238263615</v>
      </c>
      <c r="K108" s="195">
        <f t="shared" si="466"/>
        <v>0.97269736303668175</v>
      </c>
      <c r="L108" s="195">
        <f t="shared" si="466"/>
        <v>0.97323107505506901</v>
      </c>
      <c r="M108" s="195">
        <f t="shared" si="466"/>
        <v>0.97968265384096731</v>
      </c>
      <c r="N108" s="195">
        <f t="shared" si="466"/>
        <v>0.95773134216772893</v>
      </c>
      <c r="O108" s="195">
        <f t="shared" si="466"/>
        <v>0.94061104116440575</v>
      </c>
      <c r="P108" s="195">
        <f t="shared" si="466"/>
        <v>0.93078051418144159</v>
      </c>
      <c r="Q108" s="195">
        <f t="shared" si="466"/>
        <v>0.92390831521313277</v>
      </c>
      <c r="R108" s="195">
        <f t="shared" si="466"/>
        <v>0.91936028724519692</v>
      </c>
      <c r="S108" s="195">
        <f t="shared" si="466"/>
        <v>0.91554601162567428</v>
      </c>
      <c r="T108" s="200"/>
      <c r="U108" s="175">
        <f t="shared" ref="U108:AN108" si="467">U107/U79</f>
        <v>0.96981418278346609</v>
      </c>
      <c r="V108" s="175">
        <f t="shared" si="467"/>
        <v>0.97194950911640954</v>
      </c>
      <c r="W108" s="175">
        <f t="shared" si="467"/>
        <v>0.98319571200927136</v>
      </c>
      <c r="X108" s="175">
        <f t="shared" si="467"/>
        <v>0.96812112093285685</v>
      </c>
      <c r="Y108" s="195">
        <f t="shared" si="467"/>
        <v>0.97255756067205978</v>
      </c>
      <c r="Z108" s="195">
        <f t="shared" si="467"/>
        <v>0.9739556800815079</v>
      </c>
      <c r="AA108" s="195">
        <f t="shared" si="467"/>
        <v>0.98437865668148838</v>
      </c>
      <c r="AB108" s="195">
        <f t="shared" si="467"/>
        <v>0.96576386446242235</v>
      </c>
      <c r="AC108" s="195">
        <f t="shared" si="467"/>
        <v>0.97457069044121369</v>
      </c>
      <c r="AD108" s="195">
        <f t="shared" si="467"/>
        <v>0.97911065149948295</v>
      </c>
      <c r="AE108" s="195">
        <f t="shared" si="467"/>
        <v>1.0066086787501822</v>
      </c>
      <c r="AF108" s="195">
        <f t="shared" si="467"/>
        <v>0.96460720130932898</v>
      </c>
      <c r="AG108" s="195">
        <f t="shared" si="467"/>
        <v>0.9689219527226306</v>
      </c>
      <c r="AH108" s="195">
        <f t="shared" si="467"/>
        <v>0.95363381496657318</v>
      </c>
      <c r="AI108" s="195">
        <f t="shared" si="467"/>
        <v>0.96084076031232746</v>
      </c>
      <c r="AJ108" s="195">
        <f t="shared" si="467"/>
        <v>0.95104484292388169</v>
      </c>
      <c r="AK108" s="195">
        <f t="shared" si="467"/>
        <v>0.94301016204339472</v>
      </c>
      <c r="AL108" s="195">
        <f t="shared" si="467"/>
        <v>0.93351555155462784</v>
      </c>
      <c r="AM108" s="195">
        <f t="shared" si="467"/>
        <v>0.94396777503282614</v>
      </c>
      <c r="AN108" s="195">
        <f t="shared" si="467"/>
        <v>0.94134666806079392</v>
      </c>
      <c r="AO108" s="21"/>
      <c r="AP108" s="21"/>
      <c r="AQ108" s="21"/>
    </row>
    <row r="109" spans="1:44" x14ac:dyDescent="0.2">
      <c r="E109" s="138"/>
      <c r="G109" s="63"/>
      <c r="H109" s="63"/>
      <c r="I109" s="195"/>
      <c r="J109" s="195"/>
      <c r="K109" s="195"/>
      <c r="L109" s="195"/>
      <c r="M109" s="195"/>
      <c r="N109" s="195"/>
      <c r="O109" s="195"/>
      <c r="P109" s="195"/>
      <c r="Q109" s="195"/>
      <c r="R109" s="195"/>
      <c r="S109" s="195"/>
      <c r="T109" s="200"/>
      <c r="U109" s="175"/>
      <c r="V109" s="175"/>
      <c r="W109" s="175"/>
      <c r="X109" s="175"/>
      <c r="Y109" s="195"/>
      <c r="Z109" s="195"/>
      <c r="AA109" s="195"/>
      <c r="AB109" s="195"/>
      <c r="AC109" s="195"/>
      <c r="AD109" s="195"/>
      <c r="AE109" s="195"/>
      <c r="AF109" s="195"/>
      <c r="AG109" s="195"/>
      <c r="AH109" s="195"/>
      <c r="AI109" s="195"/>
      <c r="AJ109" s="195"/>
      <c r="AK109" s="195"/>
      <c r="AL109" s="195"/>
      <c r="AM109" s="195"/>
      <c r="AN109" s="195"/>
      <c r="AO109" s="21"/>
      <c r="AP109" s="21"/>
      <c r="AQ109" s="21"/>
    </row>
    <row r="110" spans="1:44" x14ac:dyDescent="0.2">
      <c r="B110" s="17" t="s">
        <v>49</v>
      </c>
      <c r="I110" s="193">
        <f t="shared" ref="I110:S110" si="468">I79-I107</f>
        <v>1936</v>
      </c>
      <c r="J110" s="193">
        <f t="shared" si="468"/>
        <v>1574</v>
      </c>
      <c r="K110" s="193">
        <f t="shared" si="468"/>
        <v>1668</v>
      </c>
      <c r="L110" s="193">
        <f t="shared" si="468"/>
        <v>1993</v>
      </c>
      <c r="M110" s="193">
        <f t="shared" si="468"/>
        <v>1808</v>
      </c>
      <c r="N110" s="193">
        <f t="shared" si="468"/>
        <v>4523</v>
      </c>
      <c r="O110" s="193">
        <f t="shared" si="468"/>
        <v>8034.0925706602866</v>
      </c>
      <c r="P110" s="193">
        <f t="shared" si="468"/>
        <v>11687.086554118549</v>
      </c>
      <c r="Q110" s="193">
        <f t="shared" si="468"/>
        <v>15782.072853074031</v>
      </c>
      <c r="R110" s="193">
        <f t="shared" si="468"/>
        <v>20198.999538274133</v>
      </c>
      <c r="S110" s="193">
        <f t="shared" si="468"/>
        <v>25131.024034314265</v>
      </c>
      <c r="T110" s="193"/>
      <c r="U110" s="193">
        <f t="shared" ref="U110:AN110" si="469">U79-U107</f>
        <v>398</v>
      </c>
      <c r="V110" s="193">
        <f t="shared" si="469"/>
        <v>360</v>
      </c>
      <c r="W110" s="193">
        <f t="shared" si="469"/>
        <v>232</v>
      </c>
      <c r="X110" s="193">
        <f t="shared" si="469"/>
        <v>678</v>
      </c>
      <c r="Y110" s="193">
        <f t="shared" si="469"/>
        <v>441</v>
      </c>
      <c r="Z110" s="193">
        <f t="shared" si="469"/>
        <v>409</v>
      </c>
      <c r="AA110" s="193">
        <f t="shared" si="469"/>
        <v>267</v>
      </c>
      <c r="AB110" s="193">
        <f t="shared" si="469"/>
        <v>876</v>
      </c>
      <c r="AC110" s="193">
        <f t="shared" si="469"/>
        <v>502</v>
      </c>
      <c r="AD110" s="193">
        <f t="shared" si="469"/>
        <v>404</v>
      </c>
      <c r="AE110" s="193">
        <f t="shared" si="469"/>
        <v>-136</v>
      </c>
      <c r="AF110" s="193">
        <f t="shared" si="469"/>
        <v>1038</v>
      </c>
      <c r="AG110" s="193">
        <f t="shared" si="469"/>
        <v>706</v>
      </c>
      <c r="AH110" s="193">
        <f t="shared" si="469"/>
        <v>1075</v>
      </c>
      <c r="AI110" s="193">
        <f t="shared" si="469"/>
        <v>993</v>
      </c>
      <c r="AJ110" s="193">
        <f t="shared" si="469"/>
        <v>1750</v>
      </c>
      <c r="AK110" s="193">
        <f t="shared" si="469"/>
        <v>1660</v>
      </c>
      <c r="AL110" s="193">
        <f t="shared" si="469"/>
        <v>1971.8212035350261</v>
      </c>
      <c r="AM110" s="193">
        <f t="shared" si="469"/>
        <v>1801.8714358631296</v>
      </c>
      <c r="AN110" s="193">
        <f t="shared" si="469"/>
        <v>2600.399931262109</v>
      </c>
      <c r="AO110" s="86"/>
      <c r="AP110" s="86"/>
      <c r="AQ110" s="86"/>
    </row>
    <row r="111" spans="1:44" x14ac:dyDescent="0.2">
      <c r="A111" s="111"/>
      <c r="E111" s="138" t="s">
        <v>78</v>
      </c>
      <c r="G111" s="79"/>
      <c r="H111" s="79"/>
      <c r="I111" s="265" t="s">
        <v>79</v>
      </c>
      <c r="J111" s="274">
        <f t="shared" ref="J111:S111" si="470">IFERROR(J110/I110-1,"NA")</f>
        <v>-0.18698347107438018</v>
      </c>
      <c r="K111" s="274">
        <f t="shared" si="470"/>
        <v>5.9720457433291019E-2</v>
      </c>
      <c r="L111" s="274">
        <f t="shared" si="470"/>
        <v>0.19484412470023971</v>
      </c>
      <c r="M111" s="274">
        <f t="shared" si="470"/>
        <v>-9.2824887104867027E-2</v>
      </c>
      <c r="N111" s="274">
        <f t="shared" si="470"/>
        <v>1.5016592920353982</v>
      </c>
      <c r="O111" s="274">
        <f t="shared" si="470"/>
        <v>0.77627516485966974</v>
      </c>
      <c r="P111" s="274">
        <f t="shared" si="470"/>
        <v>0.45468656868588186</v>
      </c>
      <c r="Q111" s="274">
        <f t="shared" si="470"/>
        <v>0.35038555417495409</v>
      </c>
      <c r="R111" s="274">
        <f t="shared" si="470"/>
        <v>0.2798698704739393</v>
      </c>
      <c r="S111" s="274">
        <f t="shared" si="470"/>
        <v>0.24417172180704649</v>
      </c>
      <c r="T111" s="196"/>
      <c r="U111" s="265" t="s">
        <v>79</v>
      </c>
      <c r="V111" s="265" t="s">
        <v>79</v>
      </c>
      <c r="W111" s="265" t="s">
        <v>79</v>
      </c>
      <c r="X111" s="265" t="s">
        <v>79</v>
      </c>
      <c r="Y111" s="265" t="s">
        <v>79</v>
      </c>
      <c r="Z111" s="265" t="s">
        <v>79</v>
      </c>
      <c r="AA111" s="265" t="s">
        <v>79</v>
      </c>
      <c r="AB111" s="263">
        <f t="shared" ref="AB111" si="471">IFERROR(AB110/X110-1,"NA ")</f>
        <v>0.29203539823008851</v>
      </c>
      <c r="AC111" s="263">
        <f t="shared" ref="AC111" si="472">IFERROR(AC110/Y110-1,"NA ")</f>
        <v>0.13832199546485269</v>
      </c>
      <c r="AD111" s="263">
        <f t="shared" ref="AD111" si="473">IFERROR(AD110/Z110-1,"NA ")</f>
        <v>-1.2224938875305624E-2</v>
      </c>
      <c r="AE111" s="263">
        <f t="shared" ref="AE111" si="474">IFERROR(AE110/AA110-1,"NA ")</f>
        <v>-1.5093632958801497</v>
      </c>
      <c r="AF111" s="263">
        <f t="shared" ref="AF111" si="475">IFERROR(AF110/AB110-1,"NA ")</f>
        <v>0.18493150684931514</v>
      </c>
      <c r="AG111" s="263">
        <f t="shared" ref="AG111" si="476">IFERROR(AG110/AC110-1,"NA ")</f>
        <v>0.40637450199203196</v>
      </c>
      <c r="AH111" s="263">
        <f t="shared" ref="AH111" si="477">IFERROR(AH110/AD110-1,"NA ")</f>
        <v>1.6608910891089108</v>
      </c>
      <c r="AI111" s="263">
        <f t="shared" ref="AI111" si="478">IFERROR(AI110/AE110-1,"NA ")</f>
        <v>-8.3014705882352935</v>
      </c>
      <c r="AJ111" s="263">
        <f t="shared" ref="AJ111:AK111" si="479">IFERROR(AJ110/AF110-1,"NA ")</f>
        <v>0.68593448940269752</v>
      </c>
      <c r="AK111" s="263">
        <f t="shared" si="479"/>
        <v>1.3512747875354107</v>
      </c>
      <c r="AL111" s="263">
        <f t="shared" ref="AL111" si="480">IFERROR(AL110/AH110-1,"NA ")</f>
        <v>0.83425228235816395</v>
      </c>
      <c r="AM111" s="263">
        <f t="shared" ref="AM111" si="481">IFERROR(AM110/AI110-1,"NA ")</f>
        <v>0.81457345001322223</v>
      </c>
      <c r="AN111" s="263">
        <f>AN110/AJ110-1</f>
        <v>0.48594281786406235</v>
      </c>
      <c r="AO111" s="70"/>
      <c r="AP111" s="76"/>
      <c r="AQ111" s="76"/>
      <c r="AR111" s="76"/>
    </row>
    <row r="112" spans="1:44" x14ac:dyDescent="0.2">
      <c r="A112" s="111"/>
      <c r="E112" s="138" t="s">
        <v>80</v>
      </c>
      <c r="G112" s="79"/>
      <c r="H112" s="79"/>
      <c r="I112" s="265" t="s">
        <v>79</v>
      </c>
      <c r="J112" s="275">
        <f>IFERROR(J110-I110,"NA ")</f>
        <v>-362</v>
      </c>
      <c r="K112" s="275">
        <f t="shared" ref="K112:S112" si="482">K110-J110</f>
        <v>94</v>
      </c>
      <c r="L112" s="275">
        <f t="shared" si="482"/>
        <v>325</v>
      </c>
      <c r="M112" s="275">
        <f t="shared" si="482"/>
        <v>-185</v>
      </c>
      <c r="N112" s="275">
        <f t="shared" si="482"/>
        <v>2715</v>
      </c>
      <c r="O112" s="275">
        <f t="shared" si="482"/>
        <v>3511.0925706602866</v>
      </c>
      <c r="P112" s="275">
        <f t="shared" si="482"/>
        <v>3652.9939834582619</v>
      </c>
      <c r="Q112" s="275">
        <f t="shared" si="482"/>
        <v>4094.9862989554822</v>
      </c>
      <c r="R112" s="275">
        <f t="shared" si="482"/>
        <v>4416.9266852001019</v>
      </c>
      <c r="S112" s="275">
        <f t="shared" si="482"/>
        <v>4932.0244960401324</v>
      </c>
      <c r="T112" s="244"/>
      <c r="U112" s="265" t="s">
        <v>79</v>
      </c>
      <c r="V112" s="265" t="s">
        <v>79</v>
      </c>
      <c r="W112" s="265" t="s">
        <v>79</v>
      </c>
      <c r="X112" s="265" t="s">
        <v>79</v>
      </c>
      <c r="Y112" s="265" t="s">
        <v>79</v>
      </c>
      <c r="Z112" s="265" t="s">
        <v>79</v>
      </c>
      <c r="AA112" s="265" t="s">
        <v>79</v>
      </c>
      <c r="AB112" s="272">
        <f t="shared" ref="AB112" si="483">IFERROR(AB110-X110,"NA ")</f>
        <v>198</v>
      </c>
      <c r="AC112" s="272">
        <f t="shared" ref="AC112" si="484">IFERROR(AC110-Y110,"NA ")</f>
        <v>61</v>
      </c>
      <c r="AD112" s="272">
        <f t="shared" ref="AD112" si="485">IFERROR(AD110-Z110,"NA ")</f>
        <v>-5</v>
      </c>
      <c r="AE112" s="272">
        <f t="shared" ref="AE112" si="486">IFERROR(AE110-AA110,"NA ")</f>
        <v>-403</v>
      </c>
      <c r="AF112" s="272">
        <f t="shared" ref="AF112" si="487">IFERROR(AF110-AB110,"NA ")</f>
        <v>162</v>
      </c>
      <c r="AG112" s="272">
        <f t="shared" ref="AG112" si="488">IFERROR(AG110-AC110,"NA ")</f>
        <v>204</v>
      </c>
      <c r="AH112" s="272">
        <f t="shared" ref="AH112" si="489">IFERROR(AH110-AD110,"NA ")</f>
        <v>671</v>
      </c>
      <c r="AI112" s="272">
        <f t="shared" ref="AI112" si="490">IFERROR(AI110-AE110,"NA ")</f>
        <v>1129</v>
      </c>
      <c r="AJ112" s="272">
        <f t="shared" ref="AJ112:AK112" si="491">IFERROR(AJ110-AF110,"NA ")</f>
        <v>712</v>
      </c>
      <c r="AK112" s="272">
        <f t="shared" si="491"/>
        <v>954</v>
      </c>
      <c r="AL112" s="272">
        <f t="shared" ref="AL112" si="492">IFERROR(AL110-AH110,"NA ")</f>
        <v>896.82120353502614</v>
      </c>
      <c r="AM112" s="272">
        <f t="shared" ref="AM112" si="493">IFERROR(AM110-AI110,"NA ")</f>
        <v>808.87143586312959</v>
      </c>
      <c r="AN112" s="272">
        <f t="shared" ref="AN112" si="494">IFERROR(AN110-AJ110,"NA ")</f>
        <v>850.39993126210902</v>
      </c>
      <c r="AO112" s="70"/>
      <c r="AP112" s="76"/>
      <c r="AQ112" s="76"/>
      <c r="AR112" s="76"/>
    </row>
    <row r="113" spans="1:44" x14ac:dyDescent="0.2">
      <c r="A113" s="111"/>
      <c r="E113" s="138" t="s">
        <v>91</v>
      </c>
      <c r="G113" s="79"/>
      <c r="H113" s="79"/>
      <c r="I113" s="263">
        <f>IFERROR(I110/I$79,"NA ")</f>
        <v>5.6601567068179162E-2</v>
      </c>
      <c r="J113" s="274">
        <f>IFERROR(J110/J$79,"NA ")</f>
        <v>3.2739147617363809E-2</v>
      </c>
      <c r="K113" s="274">
        <f t="shared" ref="K113:S113" si="495">K110/K$79</f>
        <v>2.7302636963318219E-2</v>
      </c>
      <c r="L113" s="274">
        <f t="shared" si="495"/>
        <v>2.6768924944930963E-2</v>
      </c>
      <c r="M113" s="274">
        <f t="shared" si="495"/>
        <v>2.0317346159032679E-2</v>
      </c>
      <c r="N113" s="274">
        <f t="shared" si="495"/>
        <v>4.2268657832271087E-2</v>
      </c>
      <c r="O113" s="274">
        <f t="shared" si="495"/>
        <v>5.9388958835594211E-2</v>
      </c>
      <c r="P113" s="274">
        <f t="shared" si="495"/>
        <v>6.9219485818558468E-2</v>
      </c>
      <c r="Q113" s="274">
        <f t="shared" si="495"/>
        <v>7.6091684786867203E-2</v>
      </c>
      <c r="R113" s="274">
        <f t="shared" si="495"/>
        <v>8.0639712754803111E-2</v>
      </c>
      <c r="S113" s="274">
        <f t="shared" si="495"/>
        <v>8.4453988374325717E-2</v>
      </c>
      <c r="T113" s="196"/>
      <c r="U113" s="263">
        <f>IFERROR(U110/U$79,"NA ")</f>
        <v>3.018581721653394E-2</v>
      </c>
      <c r="V113" s="263">
        <f>IFERROR(V110/V$79,"NA ")</f>
        <v>2.8050490883590462E-2</v>
      </c>
      <c r="W113" s="263">
        <f>IFERROR(W110/W$79,"NA ")</f>
        <v>1.680428799072867E-2</v>
      </c>
      <c r="X113" s="263">
        <f>IFERROR(X110/X$79,"NA ")</f>
        <v>3.1878879067143123E-2</v>
      </c>
      <c r="Y113" s="263">
        <f t="shared" ref="Y113:AN113" si="496">IFERROR(Y110/Y$79,"NA ")</f>
        <v>2.7442439327940261E-2</v>
      </c>
      <c r="Z113" s="263">
        <f t="shared" si="496"/>
        <v>2.6044319918492105E-2</v>
      </c>
      <c r="AA113" s="263">
        <f t="shared" si="496"/>
        <v>1.5621343318511585E-2</v>
      </c>
      <c r="AB113" s="263">
        <f t="shared" si="496"/>
        <v>3.4236135537577678E-2</v>
      </c>
      <c r="AC113" s="263">
        <f t="shared" si="496"/>
        <v>2.5429309558786282E-2</v>
      </c>
      <c r="AD113" s="263">
        <f t="shared" si="496"/>
        <v>2.0889348500517064E-2</v>
      </c>
      <c r="AE113" s="263">
        <f t="shared" si="496"/>
        <v>-6.6086787501822243E-3</v>
      </c>
      <c r="AF113" s="263">
        <f t="shared" si="496"/>
        <v>3.539279869067103E-2</v>
      </c>
      <c r="AG113" s="263">
        <f t="shared" si="496"/>
        <v>3.1078047277369372E-2</v>
      </c>
      <c r="AH113" s="263">
        <f t="shared" si="496"/>
        <v>4.6366185033426786E-2</v>
      </c>
      <c r="AI113" s="263">
        <f t="shared" si="496"/>
        <v>3.9159239687672528E-2</v>
      </c>
      <c r="AJ113" s="263">
        <f t="shared" si="496"/>
        <v>4.8955157076118277E-2</v>
      </c>
      <c r="AK113" s="263">
        <f t="shared" ref="AK113" si="497">IFERROR(AK110/AK$79,"NA ")</f>
        <v>5.6989837956605331E-2</v>
      </c>
      <c r="AL113" s="263">
        <f t="shared" si="496"/>
        <v>6.6484448445372213E-2</v>
      </c>
      <c r="AM113" s="263">
        <f t="shared" si="496"/>
        <v>5.603222496717384E-2</v>
      </c>
      <c r="AN113" s="263">
        <f t="shared" si="496"/>
        <v>5.8653331939206084E-2</v>
      </c>
      <c r="AO113" s="70"/>
      <c r="AP113" s="76"/>
      <c r="AQ113" s="76"/>
      <c r="AR113" s="76"/>
    </row>
    <row r="114" spans="1:44" x14ac:dyDescent="0.2">
      <c r="E114" s="138" t="s">
        <v>96</v>
      </c>
      <c r="F114" s="63"/>
      <c r="G114" s="63"/>
      <c r="H114" s="63"/>
      <c r="I114" s="265" t="s">
        <v>79</v>
      </c>
      <c r="J114" s="273">
        <f t="shared" ref="J114:S114" si="498">IFERROR((J110-I110)/(J$79-I$79),"NA ")</f>
        <v>-2.6093851365962661E-2</v>
      </c>
      <c r="K114" s="273">
        <f t="shared" si="498"/>
        <v>7.2218807621389058E-3</v>
      </c>
      <c r="L114" s="273">
        <f t="shared" si="498"/>
        <v>2.4328168276068568E-2</v>
      </c>
      <c r="M114" s="273">
        <f t="shared" si="498"/>
        <v>-1.2727022564667033E-2</v>
      </c>
      <c r="N114" s="273">
        <f t="shared" si="498"/>
        <v>0.15068265068265069</v>
      </c>
      <c r="O114" s="273">
        <f t="shared" si="498"/>
        <v>0.12418434956158894</v>
      </c>
      <c r="P114" s="273">
        <f t="shared" si="498"/>
        <v>0.10884392907131062</v>
      </c>
      <c r="Q114" s="273">
        <f t="shared" si="498"/>
        <v>0.10617671461961303</v>
      </c>
      <c r="R114" s="273">
        <f t="shared" si="498"/>
        <v>0.10253828684256511</v>
      </c>
      <c r="S114" s="273">
        <f t="shared" si="498"/>
        <v>0.10474484560363748</v>
      </c>
      <c r="T114" s="197"/>
      <c r="U114" s="265" t="s">
        <v>79</v>
      </c>
      <c r="V114" s="265" t="s">
        <v>79</v>
      </c>
      <c r="W114" s="265" t="s">
        <v>79</v>
      </c>
      <c r="X114" s="265" t="s">
        <v>79</v>
      </c>
      <c r="Y114" s="265" t="s">
        <v>79</v>
      </c>
      <c r="Z114" s="265" t="s">
        <v>79</v>
      </c>
      <c r="AA114" s="265" t="s">
        <v>79</v>
      </c>
      <c r="AB114" s="273">
        <f>IFERROR((AB110-X110)/(AB$79-X$79),"NA ")</f>
        <v>4.5843945357721697E-2</v>
      </c>
      <c r="AC114" s="273">
        <f t="shared" ref="AC114:AN114" si="499">IFERROR((AC110-Y110)/(AC$79-Y$79),"NA ")</f>
        <v>1.6616725687823481E-2</v>
      </c>
      <c r="AD114" s="273">
        <f t="shared" si="499"/>
        <v>-1.3751375137513752E-3</v>
      </c>
      <c r="AE114" s="273">
        <f t="shared" si="499"/>
        <v>-0.11557212503584743</v>
      </c>
      <c r="AF114" s="273">
        <f t="shared" si="499"/>
        <v>4.330392943063352E-2</v>
      </c>
      <c r="AG114" s="273">
        <f t="shared" si="499"/>
        <v>6.8548387096774188E-2</v>
      </c>
      <c r="AH114" s="273">
        <f t="shared" si="499"/>
        <v>0.17451235370611184</v>
      </c>
      <c r="AI114" s="273">
        <f t="shared" si="499"/>
        <v>0.23624189160912326</v>
      </c>
      <c r="AJ114" s="273">
        <f t="shared" si="499"/>
        <v>0.1109207041595264</v>
      </c>
      <c r="AK114" s="273">
        <f t="shared" si="499"/>
        <v>0.14880673841834346</v>
      </c>
      <c r="AL114" s="273">
        <f t="shared" si="499"/>
        <v>0.13853981298799745</v>
      </c>
      <c r="AM114" s="273">
        <f t="shared" si="499"/>
        <v>0.11895569501182504</v>
      </c>
      <c r="AN114" s="273">
        <f t="shared" si="499"/>
        <v>9.902100630496391E-2</v>
      </c>
      <c r="AO114" s="76"/>
      <c r="AP114" s="76"/>
      <c r="AQ114" s="76"/>
    </row>
    <row r="115" spans="1:44" x14ac:dyDescent="0.2">
      <c r="I115" s="153"/>
      <c r="J115" s="153"/>
      <c r="K115" s="153"/>
      <c r="L115" s="153"/>
      <c r="M115" s="153"/>
      <c r="N115" s="153"/>
      <c r="O115" s="153"/>
      <c r="P115" s="153"/>
      <c r="Q115" s="153"/>
      <c r="R115" s="153"/>
      <c r="S115" s="153"/>
      <c r="T115" s="23"/>
      <c r="AJ115" s="23"/>
      <c r="AK115" s="23"/>
      <c r="AL115" s="23"/>
      <c r="AM115" s="23"/>
      <c r="AN115" s="23"/>
      <c r="AO115" s="23"/>
      <c r="AP115" s="23"/>
      <c r="AQ115" s="23"/>
    </row>
    <row r="116" spans="1:44" x14ac:dyDescent="0.2">
      <c r="C116" s="17" t="s">
        <v>97</v>
      </c>
      <c r="I116" s="146"/>
      <c r="J116" s="146"/>
      <c r="K116" s="146"/>
      <c r="L116" s="146"/>
      <c r="M116" s="146"/>
      <c r="N116" s="146"/>
      <c r="O116" s="146"/>
      <c r="P116" s="146"/>
      <c r="Q116" s="146"/>
      <c r="R116" s="146"/>
      <c r="S116" s="146"/>
      <c r="T116" s="23"/>
      <c r="AJ116" s="23"/>
      <c r="AK116" s="23"/>
      <c r="AL116" s="23"/>
      <c r="AM116" s="23"/>
      <c r="AN116" s="23"/>
      <c r="AO116" s="23"/>
      <c r="AP116" s="23"/>
      <c r="AQ116" s="23"/>
    </row>
    <row r="117" spans="1:44" x14ac:dyDescent="0.2">
      <c r="D117" s="130" t="str">
        <f>'Company Data'!B14</f>
        <v>General and Administrative</v>
      </c>
      <c r="G117" s="63"/>
      <c r="H117" s="63"/>
      <c r="I117" s="188">
        <f>-'Company Data'!U14</f>
        <v>470</v>
      </c>
      <c r="J117" s="188">
        <f>-'Company Data'!V14</f>
        <v>658</v>
      </c>
      <c r="K117" s="188">
        <f>-'Company Data'!W14</f>
        <v>896</v>
      </c>
      <c r="L117" s="188">
        <f>-'Company Data'!X14</f>
        <v>1129</v>
      </c>
      <c r="M117" s="188">
        <f>-'Company Data'!Y14</f>
        <v>1552</v>
      </c>
      <c r="N117" s="188">
        <f>-'Company Data'!Z14</f>
        <v>1747</v>
      </c>
      <c r="O117" s="189">
        <f>SUM(AK117:AN117)</f>
        <v>2145.7576471824618</v>
      </c>
      <c r="P117" s="189">
        <f>P118*$P$79</f>
        <v>2624.5419348764472</v>
      </c>
      <c r="Q117" s="191">
        <f>Q118*$Q$79</f>
        <v>3159.5740930934571</v>
      </c>
      <c r="R117" s="191">
        <f>R118*$R$79</f>
        <v>3739.4580306115927</v>
      </c>
      <c r="S117" s="191">
        <f>S118*$S$79</f>
        <v>4353.5533743104752</v>
      </c>
      <c r="T117" s="229"/>
      <c r="U117" s="188">
        <f>-'Company Data'!C14</f>
        <v>200</v>
      </c>
      <c r="V117" s="188">
        <f>-'Company Data'!D14</f>
        <v>232</v>
      </c>
      <c r="W117" s="188">
        <f>-'Company Data'!E14</f>
        <v>230</v>
      </c>
      <c r="X117" s="188">
        <f>-'Company Data'!F14</f>
        <v>235</v>
      </c>
      <c r="Y117" s="188">
        <f>-'Company Data'!G14</f>
        <v>246</v>
      </c>
      <c r="Z117" s="188">
        <f>-'Company Data'!H14</f>
        <v>286</v>
      </c>
      <c r="AA117" s="188">
        <f>-'Company Data'!I14</f>
        <v>278</v>
      </c>
      <c r="AB117" s="188">
        <f>-'Company Data'!J14</f>
        <v>318</v>
      </c>
      <c r="AC117" s="188">
        <f>-'Company Data'!K14</f>
        <v>327</v>
      </c>
      <c r="AD117" s="188">
        <f>-'Company Data'!L14</f>
        <v>377</v>
      </c>
      <c r="AE117" s="188">
        <f>-'Company Data'!M14</f>
        <v>406</v>
      </c>
      <c r="AF117" s="188">
        <f>-'Company Data'!N14</f>
        <v>442</v>
      </c>
      <c r="AG117" s="188">
        <f>-'Company Data'!O14</f>
        <v>427</v>
      </c>
      <c r="AH117" s="188">
        <f>-'Company Data'!P14</f>
        <v>467</v>
      </c>
      <c r="AI117" s="188">
        <f>-'Company Data'!Q14</f>
        <v>463</v>
      </c>
      <c r="AJ117" s="188">
        <f>-'Company Data'!R14</f>
        <v>390</v>
      </c>
      <c r="AK117" s="188">
        <f>-'Company Data'!S14</f>
        <v>497</v>
      </c>
      <c r="AL117" s="189">
        <f>AL79*AL118</f>
        <v>545.96507554649679</v>
      </c>
      <c r="AM117" s="189">
        <f>AM79*AM118</f>
        <v>531.39628581798252</v>
      </c>
      <c r="AN117" s="188">
        <f>AM117+40</f>
        <v>571.39628581798252</v>
      </c>
      <c r="AO117" s="21"/>
      <c r="AP117" s="21"/>
      <c r="AQ117" s="21"/>
    </row>
    <row r="118" spans="1:44" x14ac:dyDescent="0.2">
      <c r="D118" s="203"/>
      <c r="E118" s="138" t="s">
        <v>91</v>
      </c>
      <c r="H118" s="63"/>
      <c r="I118" s="263">
        <f t="shared" ref="I118:O118" si="500">I117/I$79</f>
        <v>1.3741082914279031E-2</v>
      </c>
      <c r="J118" s="263">
        <f t="shared" si="500"/>
        <v>1.3686378101795037E-2</v>
      </c>
      <c r="K118" s="263">
        <f t="shared" si="500"/>
        <v>1.4666164699720098E-2</v>
      </c>
      <c r="L118" s="263">
        <f t="shared" si="500"/>
        <v>1.5164132595497771E-2</v>
      </c>
      <c r="M118" s="263">
        <f t="shared" si="500"/>
        <v>1.7440553782532477E-2</v>
      </c>
      <c r="N118" s="263">
        <f t="shared" si="500"/>
        <v>1.6326187316599069E-2</v>
      </c>
      <c r="O118" s="263">
        <f t="shared" si="500"/>
        <v>1.5861693334858779E-2</v>
      </c>
      <c r="P118" s="201">
        <f t="shared" ref="P118:S118" si="501">O118*0.98</f>
        <v>1.5544459468161603E-2</v>
      </c>
      <c r="Q118" s="201">
        <f t="shared" si="501"/>
        <v>1.5233570278798372E-2</v>
      </c>
      <c r="R118" s="201">
        <f t="shared" si="501"/>
        <v>1.4928898873222404E-2</v>
      </c>
      <c r="S118" s="201">
        <f t="shared" si="501"/>
        <v>1.4630320895757954E-2</v>
      </c>
      <c r="T118" s="350"/>
      <c r="U118" s="263">
        <f>U117/U$79</f>
        <v>1.5168752370117557E-2</v>
      </c>
      <c r="V118" s="263">
        <f>V117/V$79</f>
        <v>1.807698301386941E-2</v>
      </c>
      <c r="W118" s="263">
        <f>W117/W$79</f>
        <v>1.6659423439084456E-2</v>
      </c>
      <c r="X118" s="263">
        <f>X117/X$79</f>
        <v>1.1049463983449314E-2</v>
      </c>
      <c r="Y118" s="263">
        <f>Y117/Y$79</f>
        <v>1.5308027380211574E-2</v>
      </c>
      <c r="Z118" s="263">
        <f t="shared" ref="Z118" si="502">Z117/Z$79</f>
        <v>1.8211920529801324E-2</v>
      </c>
      <c r="AA118" s="263">
        <f t="shared" ref="AA118" si="503">AA117/AA$79</f>
        <v>1.6264919260472736E-2</v>
      </c>
      <c r="AB118" s="263">
        <f t="shared" ref="AB118" si="504">AB117/AB$79</f>
        <v>1.2428186188298745E-2</v>
      </c>
      <c r="AC118" s="263">
        <f t="shared" ref="AC118" si="505">AC117/AC$79</f>
        <v>1.6564510409807002E-2</v>
      </c>
      <c r="AD118" s="263">
        <f t="shared" ref="AD118" si="506">AD117/AD$79</f>
        <v>1.9493278179937953E-2</v>
      </c>
      <c r="AE118" s="263">
        <f t="shared" ref="AE118" si="507">AE117/AE$79</f>
        <v>1.9728849798338111E-2</v>
      </c>
      <c r="AF118" s="263">
        <f t="shared" ref="AF118" si="508">AF117/AF$79</f>
        <v>1.5070921985815602E-2</v>
      </c>
      <c r="AG118" s="263">
        <f t="shared" ref="AG118" si="509">AG117/AG$79</f>
        <v>1.8796496016199322E-2</v>
      </c>
      <c r="AH118" s="263">
        <f t="shared" ref="AH118" si="510">AH117/AH$79</f>
        <v>2.0142333405218892E-2</v>
      </c>
      <c r="AI118" s="263">
        <f t="shared" ref="AI118" si="511">AI117/AI$79</f>
        <v>1.8258537739569366E-2</v>
      </c>
      <c r="AJ118" s="263">
        <f t="shared" ref="AJ118:AK118" si="512">AJ117/AJ$79</f>
        <v>1.0910006434106358E-2</v>
      </c>
      <c r="AK118" s="263">
        <f t="shared" si="512"/>
        <v>1.7062620159296896E-2</v>
      </c>
      <c r="AL118" s="201">
        <f>AK118-AG118+AH118</f>
        <v>1.8408457548316465E-2</v>
      </c>
      <c r="AM118" s="201">
        <f t="shared" ref="AM118" si="513">AL118-AH118+AI118</f>
        <v>1.6524661882666939E-2</v>
      </c>
      <c r="AN118" s="263">
        <f t="shared" ref="AN118" si="514">AN117/AN$79</f>
        <v>1.2888131405481685E-2</v>
      </c>
      <c r="AO118" s="21"/>
      <c r="AP118" s="21"/>
      <c r="AQ118" s="21"/>
    </row>
    <row r="119" spans="1:44" x14ac:dyDescent="0.2">
      <c r="D119" s="130" t="str">
        <f>'Company Data'!B17</f>
        <v>Other Operating Income/expense, Net</v>
      </c>
      <c r="G119" s="63"/>
      <c r="H119" s="63"/>
      <c r="I119" s="337">
        <f>-'Company Data'!U17</f>
        <v>106</v>
      </c>
      <c r="J119" s="337">
        <f>-'Company Data'!V17</f>
        <v>154</v>
      </c>
      <c r="K119" s="337">
        <f>-'Company Data'!W17</f>
        <v>159</v>
      </c>
      <c r="L119" s="337">
        <f>-'Company Data'!X17</f>
        <v>114</v>
      </c>
      <c r="M119" s="337">
        <f>-'Company Data'!Y17</f>
        <v>133</v>
      </c>
      <c r="N119" s="337">
        <f>-'Company Data'!Z17</f>
        <v>171</v>
      </c>
      <c r="O119" s="187">
        <f>SUM(AK119:AN119)</f>
        <v>208.99359074653518</v>
      </c>
      <c r="P119" s="187">
        <f>P120*$P$79</f>
        <v>260.84333207905735</v>
      </c>
      <c r="Q119" s="161">
        <f>Q120*$Q$79</f>
        <v>320.42669588389577</v>
      </c>
      <c r="R119" s="161">
        <f>R120*$R$79</f>
        <v>386.97484503337239</v>
      </c>
      <c r="S119" s="161">
        <f>S120*$S$79</f>
        <v>459.71838169613551</v>
      </c>
      <c r="T119" s="169"/>
      <c r="U119" s="337">
        <f>-'Company Data'!C17</f>
        <v>46</v>
      </c>
      <c r="V119" s="337">
        <f>-'Company Data'!D17</f>
        <v>32</v>
      </c>
      <c r="W119" s="337">
        <f>-'Company Data'!E17</f>
        <v>43</v>
      </c>
      <c r="X119" s="337">
        <f>-'Company Data'!F17</f>
        <v>38</v>
      </c>
      <c r="Y119" s="337">
        <f>-'Company Data'!G17</f>
        <v>31</v>
      </c>
      <c r="Z119" s="337">
        <f>-'Company Data'!H17</f>
        <v>32</v>
      </c>
      <c r="AA119" s="337">
        <f>-'Company Data'!I17</f>
        <v>11</v>
      </c>
      <c r="AB119" s="337">
        <f>-'Company Data'!J17</f>
        <v>40</v>
      </c>
      <c r="AC119" s="337">
        <f>-'Company Data'!K17</f>
        <v>35</v>
      </c>
      <c r="AD119" s="337">
        <f>-'Company Data'!L17</f>
        <v>28</v>
      </c>
      <c r="AE119" s="337">
        <f>-'Company Data'!M17</f>
        <v>31</v>
      </c>
      <c r="AF119" s="337">
        <f>-'Company Data'!N17</f>
        <v>39</v>
      </c>
      <c r="AG119" s="337">
        <f>-'Company Data'!O17</f>
        <v>44</v>
      </c>
      <c r="AH119" s="337">
        <f>-'Company Data'!P17</f>
        <v>48</v>
      </c>
      <c r="AI119" s="337">
        <f>-'Company Data'!Q17</f>
        <v>43</v>
      </c>
      <c r="AJ119" s="337">
        <f>-'Company Data'!R17</f>
        <v>36</v>
      </c>
      <c r="AK119" s="337">
        <f>-'Company Data'!S17</f>
        <v>45</v>
      </c>
      <c r="AL119" s="187">
        <f>AL79*AL120</f>
        <v>45.819390735365694</v>
      </c>
      <c r="AM119" s="187">
        <f>AM79*AM120</f>
        <v>49.680708470417486</v>
      </c>
      <c r="AN119" s="187">
        <f>AN79*AN120</f>
        <v>68.493491540752004</v>
      </c>
      <c r="AO119" s="21"/>
      <c r="AP119" s="21"/>
      <c r="AQ119" s="21"/>
    </row>
    <row r="120" spans="1:44" x14ac:dyDescent="0.2">
      <c r="E120" s="138" t="s">
        <v>91</v>
      </c>
      <c r="G120" s="63"/>
      <c r="H120" s="63"/>
      <c r="I120" s="263">
        <f t="shared" ref="I120:O120" si="515">I119/I$79</f>
        <v>3.0990527423693137E-3</v>
      </c>
      <c r="J120" s="263">
        <f t="shared" si="515"/>
        <v>3.2031948748882E-3</v>
      </c>
      <c r="K120" s="263">
        <f t="shared" si="515"/>
        <v>2.6025894947047943E-3</v>
      </c>
      <c r="L120" s="263">
        <f t="shared" si="515"/>
        <v>1.5311878794391017E-3</v>
      </c>
      <c r="M120" s="263">
        <f t="shared" si="515"/>
        <v>1.4945835393536206E-3</v>
      </c>
      <c r="N120" s="263">
        <f t="shared" si="515"/>
        <v>1.5980412313328224E-3</v>
      </c>
      <c r="O120" s="263">
        <f t="shared" si="515"/>
        <v>1.5449052458115901E-3</v>
      </c>
      <c r="P120" s="201">
        <f t="shared" ref="P120:S120" si="516">O120</f>
        <v>1.5449052458115901E-3</v>
      </c>
      <c r="Q120" s="201">
        <f t="shared" si="516"/>
        <v>1.5449052458115901E-3</v>
      </c>
      <c r="R120" s="201">
        <f t="shared" si="516"/>
        <v>1.5449052458115901E-3</v>
      </c>
      <c r="S120" s="201">
        <f t="shared" si="516"/>
        <v>1.5449052458115901E-3</v>
      </c>
      <c r="T120" s="350"/>
      <c r="U120" s="263">
        <f>U119/U$79</f>
        <v>3.4888130451270383E-3</v>
      </c>
      <c r="V120" s="263">
        <f>V119/V$79</f>
        <v>2.4933769674302633E-3</v>
      </c>
      <c r="W120" s="263">
        <f>W119/W$79</f>
        <v>3.1145878603505723E-3</v>
      </c>
      <c r="X120" s="263">
        <f>X119/X$79</f>
        <v>1.786721835621591E-3</v>
      </c>
      <c r="Y120" s="263">
        <f>Y119/Y$79</f>
        <v>1.9290603609209706E-3</v>
      </c>
      <c r="Z120" s="263">
        <f t="shared" ref="Z120" si="517">Z119/Z$79</f>
        <v>2.0376974019358125E-3</v>
      </c>
      <c r="AA120" s="263">
        <f t="shared" ref="AA120" si="518">AA119/AA$79</f>
        <v>6.435759419611514E-4</v>
      </c>
      <c r="AB120" s="263">
        <f t="shared" ref="AB120" si="519">AB119/AB$79</f>
        <v>1.5632938601633643E-3</v>
      </c>
      <c r="AC120" s="263">
        <f t="shared" ref="AC120" si="520">AC119/AC$79</f>
        <v>1.7729598297958563E-3</v>
      </c>
      <c r="AD120" s="263">
        <f t="shared" ref="AD120" si="521">AD119/AD$79</f>
        <v>1.4477766287487074E-3</v>
      </c>
      <c r="AE120" s="263">
        <f t="shared" ref="AE120" si="522">AE119/AE$79</f>
        <v>1.5063900092327129E-3</v>
      </c>
      <c r="AF120" s="263">
        <f t="shared" ref="AF120" si="523">AF119/AF$79</f>
        <v>1.3297872340425532E-3</v>
      </c>
      <c r="AG120" s="263">
        <f t="shared" ref="AG120" si="524">AG119/AG$79</f>
        <v>1.9368754677114056E-3</v>
      </c>
      <c r="AH120" s="263">
        <f t="shared" ref="AH120" si="525">AH119/AH$79</f>
        <v>2.0703040759111496E-3</v>
      </c>
      <c r="AI120" s="263">
        <f t="shared" ref="AI120" si="526">AI119/AI$79</f>
        <v>1.6957173278649737E-3</v>
      </c>
      <c r="AJ120" s="263">
        <f t="shared" ref="AJ120:AK120" si="527">AJ119/AJ$79</f>
        <v>1.007077516994433E-3</v>
      </c>
      <c r="AK120" s="263">
        <f t="shared" si="527"/>
        <v>1.5449052458115903E-3</v>
      </c>
      <c r="AL120" s="201">
        <f>AK120</f>
        <v>1.5449052458115903E-3</v>
      </c>
      <c r="AM120" s="201">
        <f>AL120</f>
        <v>1.5449052458115903E-3</v>
      </c>
      <c r="AN120" s="201">
        <f>AM120</f>
        <v>1.5449052458115903E-3</v>
      </c>
      <c r="AO120" s="21"/>
      <c r="AP120" s="21"/>
      <c r="AQ120" s="21"/>
    </row>
    <row r="121" spans="1:44" x14ac:dyDescent="0.2">
      <c r="D121" s="126" t="s">
        <v>98</v>
      </c>
      <c r="G121" s="88"/>
      <c r="H121" s="88"/>
      <c r="I121" s="193">
        <f t="shared" ref="I121:J121" si="528">I117+I119</f>
        <v>576</v>
      </c>
      <c r="J121" s="193">
        <f t="shared" si="528"/>
        <v>812</v>
      </c>
      <c r="K121" s="193">
        <f t="shared" ref="K121:N121" si="529">K117+K119</f>
        <v>1055</v>
      </c>
      <c r="L121" s="193">
        <f t="shared" si="529"/>
        <v>1243</v>
      </c>
      <c r="M121" s="193">
        <f t="shared" si="529"/>
        <v>1685</v>
      </c>
      <c r="N121" s="193">
        <f t="shared" si="529"/>
        <v>1918</v>
      </c>
      <c r="O121" s="193">
        <f t="shared" ref="O121:P121" si="530">O117+O119</f>
        <v>2354.7512379289969</v>
      </c>
      <c r="P121" s="193">
        <f t="shared" si="530"/>
        <v>2885.3852669555044</v>
      </c>
      <c r="Q121" s="193">
        <f t="shared" ref="Q121:S121" si="531">Q117+Q119</f>
        <v>3480.0007889773528</v>
      </c>
      <c r="R121" s="193">
        <f t="shared" si="531"/>
        <v>4126.432875644965</v>
      </c>
      <c r="S121" s="193">
        <f t="shared" si="531"/>
        <v>4813.2717560066103</v>
      </c>
      <c r="T121" s="193"/>
      <c r="U121" s="193">
        <f t="shared" ref="U121" si="532">U117+U119</f>
        <v>246</v>
      </c>
      <c r="V121" s="193">
        <f t="shared" ref="V121" si="533">V117+V119</f>
        <v>264</v>
      </c>
      <c r="W121" s="193">
        <f t="shared" ref="W121" si="534">W117+W119</f>
        <v>273</v>
      </c>
      <c r="X121" s="193">
        <f t="shared" ref="X121:AN121" si="535">X117+X119</f>
        <v>273</v>
      </c>
      <c r="Y121" s="193">
        <f t="shared" si="535"/>
        <v>277</v>
      </c>
      <c r="Z121" s="193">
        <f t="shared" si="535"/>
        <v>318</v>
      </c>
      <c r="AA121" s="193">
        <f t="shared" si="535"/>
        <v>289</v>
      </c>
      <c r="AB121" s="193">
        <f t="shared" si="535"/>
        <v>358</v>
      </c>
      <c r="AC121" s="193">
        <f t="shared" si="535"/>
        <v>362</v>
      </c>
      <c r="AD121" s="193">
        <f t="shared" si="535"/>
        <v>405</v>
      </c>
      <c r="AE121" s="193">
        <f t="shared" si="535"/>
        <v>437</v>
      </c>
      <c r="AF121" s="193">
        <f t="shared" si="535"/>
        <v>481</v>
      </c>
      <c r="AG121" s="193">
        <f t="shared" si="535"/>
        <v>471</v>
      </c>
      <c r="AH121" s="193">
        <f t="shared" si="535"/>
        <v>515</v>
      </c>
      <c r="AI121" s="193">
        <f t="shared" si="535"/>
        <v>506</v>
      </c>
      <c r="AJ121" s="193">
        <f t="shared" si="535"/>
        <v>426</v>
      </c>
      <c r="AK121" s="193">
        <f t="shared" ref="AK121" si="536">AK117+AK119</f>
        <v>542</v>
      </c>
      <c r="AL121" s="193">
        <f t="shared" si="535"/>
        <v>591.78446628186248</v>
      </c>
      <c r="AM121" s="193">
        <f t="shared" si="535"/>
        <v>581.07699428839999</v>
      </c>
      <c r="AN121" s="193">
        <f t="shared" si="535"/>
        <v>639.88977735873448</v>
      </c>
      <c r="AO121" s="86"/>
      <c r="AP121" s="86"/>
      <c r="AQ121" s="89"/>
    </row>
    <row r="122" spans="1:44" x14ac:dyDescent="0.2">
      <c r="E122" s="138" t="s">
        <v>78</v>
      </c>
      <c r="F122" s="63"/>
      <c r="G122" s="63"/>
      <c r="H122" s="63"/>
      <c r="I122" s="265" t="s">
        <v>79</v>
      </c>
      <c r="J122" s="351">
        <f t="shared" ref="J122:S122" si="537">IFERROR(J121/I121-1,"NA ")</f>
        <v>0.40972222222222232</v>
      </c>
      <c r="K122" s="351">
        <f t="shared" si="537"/>
        <v>0.2992610837438423</v>
      </c>
      <c r="L122" s="351">
        <f t="shared" si="537"/>
        <v>0.17819905213270149</v>
      </c>
      <c r="M122" s="351">
        <f t="shared" si="537"/>
        <v>0.35559131134352384</v>
      </c>
      <c r="N122" s="351">
        <f t="shared" si="537"/>
        <v>0.1382789317507418</v>
      </c>
      <c r="O122" s="351">
        <f t="shared" si="537"/>
        <v>0.22771180288268877</v>
      </c>
      <c r="P122" s="351">
        <f t="shared" si="537"/>
        <v>0.22534610895595075</v>
      </c>
      <c r="Q122" s="351">
        <f t="shared" si="537"/>
        <v>0.20607838018430491</v>
      </c>
      <c r="R122" s="351">
        <f t="shared" si="537"/>
        <v>0.18575630462933757</v>
      </c>
      <c r="S122" s="351">
        <f t="shared" si="537"/>
        <v>0.1664485770301769</v>
      </c>
      <c r="T122" s="197"/>
      <c r="U122" s="265" t="s">
        <v>79</v>
      </c>
      <c r="V122" s="265" t="s">
        <v>79</v>
      </c>
      <c r="W122" s="265" t="s">
        <v>79</v>
      </c>
      <c r="X122" s="265" t="s">
        <v>79</v>
      </c>
      <c r="Y122" s="265" t="s">
        <v>79</v>
      </c>
      <c r="Z122" s="265" t="s">
        <v>79</v>
      </c>
      <c r="AA122" s="265" t="s">
        <v>79</v>
      </c>
      <c r="AB122" s="263">
        <f t="shared" ref="AB122" si="538">IFERROR(AB121/X121-1,"NA ")</f>
        <v>0.31135531135531136</v>
      </c>
      <c r="AC122" s="263">
        <f t="shared" ref="AC122" si="539">IFERROR(AC121/Y121-1,"NA ")</f>
        <v>0.30685920577617321</v>
      </c>
      <c r="AD122" s="263">
        <f t="shared" ref="AD122" si="540">IFERROR(AD121/Z121-1,"NA ")</f>
        <v>0.27358490566037741</v>
      </c>
      <c r="AE122" s="263">
        <f t="shared" ref="AE122" si="541">IFERROR(AE121/AA121-1,"NA ")</f>
        <v>0.51211072664359869</v>
      </c>
      <c r="AF122" s="263">
        <f t="shared" ref="AF122" si="542">IFERROR(AF121/AB121-1,"NA ")</f>
        <v>0.34357541899441335</v>
      </c>
      <c r="AG122" s="263">
        <f t="shared" ref="AG122" si="543">IFERROR(AG121/AC121-1,"NA ")</f>
        <v>0.30110497237569067</v>
      </c>
      <c r="AH122" s="263">
        <f t="shared" ref="AH122" si="544">IFERROR(AH121/AD121-1,"NA ")</f>
        <v>0.27160493827160503</v>
      </c>
      <c r="AI122" s="263">
        <f t="shared" ref="AI122" si="545">IFERROR(AI121/AE121-1,"NA ")</f>
        <v>0.15789473684210531</v>
      </c>
      <c r="AJ122" s="263">
        <f t="shared" ref="AJ122:AK122" si="546">IFERROR(AJ121/AF121-1,"NA ")</f>
        <v>-0.1143451143451143</v>
      </c>
      <c r="AK122" s="263">
        <f t="shared" si="546"/>
        <v>0.15074309978768574</v>
      </c>
      <c r="AL122" s="263">
        <f t="shared" ref="AL122" si="547">IFERROR(AL121/AH121-1,"NA ")</f>
        <v>0.14909605103274259</v>
      </c>
      <c r="AM122" s="263">
        <f t="shared" ref="AM122" si="548">IFERROR(AM121/AI121-1,"NA ")</f>
        <v>0.14837350649881431</v>
      </c>
      <c r="AN122" s="263">
        <f t="shared" ref="AN122" si="549">IFERROR(AN121/AJ121-1,"NA ")</f>
        <v>0.50208867924585565</v>
      </c>
      <c r="AO122" s="90"/>
      <c r="AP122" s="90"/>
      <c r="AQ122" s="90"/>
    </row>
    <row r="123" spans="1:44" x14ac:dyDescent="0.2">
      <c r="F123" s="63"/>
      <c r="G123" s="63"/>
      <c r="H123" s="63"/>
      <c r="I123" s="91"/>
      <c r="J123" s="91"/>
      <c r="K123" s="91"/>
      <c r="L123" s="91"/>
      <c r="M123" s="91"/>
      <c r="N123" s="91"/>
      <c r="O123" s="91"/>
      <c r="P123" s="91"/>
      <c r="Q123" s="91"/>
      <c r="R123" s="90"/>
      <c r="S123" s="91"/>
      <c r="T123" s="91"/>
      <c r="U123" s="90"/>
      <c r="V123" s="90"/>
      <c r="W123" s="90"/>
      <c r="X123" s="90"/>
      <c r="Y123" s="90"/>
      <c r="Z123" s="91"/>
      <c r="AA123" s="91"/>
      <c r="AB123" s="91"/>
      <c r="AC123" s="91"/>
      <c r="AD123" s="91"/>
      <c r="AE123" s="91"/>
      <c r="AF123" s="91"/>
      <c r="AG123" s="91"/>
      <c r="AH123" s="91"/>
      <c r="AI123" s="91"/>
      <c r="AJ123" s="91"/>
      <c r="AK123" s="91"/>
      <c r="AL123" s="91"/>
      <c r="AM123" s="91"/>
      <c r="AN123" s="91"/>
      <c r="AO123" s="90"/>
      <c r="AP123" s="90"/>
      <c r="AQ123" s="90"/>
    </row>
    <row r="124" spans="1:44" x14ac:dyDescent="0.2">
      <c r="C124" s="17" t="s">
        <v>99</v>
      </c>
      <c r="I124" s="193">
        <f t="shared" ref="I124:S124" si="550">I107+I121</f>
        <v>32844</v>
      </c>
      <c r="J124" s="193">
        <f t="shared" si="550"/>
        <v>47315</v>
      </c>
      <c r="K124" s="193">
        <f t="shared" si="550"/>
        <v>60480</v>
      </c>
      <c r="L124" s="193">
        <f t="shared" si="550"/>
        <v>73702</v>
      </c>
      <c r="M124" s="193">
        <f t="shared" si="550"/>
        <v>88865</v>
      </c>
      <c r="N124" s="193">
        <f t="shared" si="550"/>
        <v>104401</v>
      </c>
      <c r="O124" s="193">
        <f t="shared" si="550"/>
        <v>129599.88780649264</v>
      </c>
      <c r="P124" s="193">
        <f t="shared" si="550"/>
        <v>160039.28930836546</v>
      </c>
      <c r="Q124" s="193">
        <f t="shared" si="550"/>
        <v>195106.56788492814</v>
      </c>
      <c r="R124" s="193">
        <f t="shared" si="550"/>
        <v>234411.95080697243</v>
      </c>
      <c r="S124" s="193">
        <f t="shared" si="550"/>
        <v>277252.84821158205</v>
      </c>
      <c r="T124" s="193"/>
      <c r="U124" s="193">
        <f t="shared" ref="U124" si="551">U107+U121</f>
        <v>13033</v>
      </c>
      <c r="V124" s="193">
        <f t="shared" ref="V124" si="552">V107+V121</f>
        <v>12738</v>
      </c>
      <c r="W124" s="193">
        <f t="shared" ref="W124" si="553">W107+W121</f>
        <v>13847</v>
      </c>
      <c r="X124" s="193">
        <f t="shared" ref="X124:AN124" si="554">X107+X121</f>
        <v>20863</v>
      </c>
      <c r="Y124" s="193">
        <f t="shared" si="554"/>
        <v>15906</v>
      </c>
      <c r="Z124" s="193">
        <f t="shared" si="554"/>
        <v>15613</v>
      </c>
      <c r="AA124" s="193">
        <f t="shared" si="554"/>
        <v>17114</v>
      </c>
      <c r="AB124" s="193">
        <f t="shared" si="554"/>
        <v>25069</v>
      </c>
      <c r="AC124" s="193">
        <f t="shared" si="554"/>
        <v>19601</v>
      </c>
      <c r="AD124" s="193">
        <f t="shared" si="554"/>
        <v>19341</v>
      </c>
      <c r="AE124" s="193">
        <f t="shared" si="554"/>
        <v>21152</v>
      </c>
      <c r="AF124" s="193">
        <f t="shared" si="554"/>
        <v>28771</v>
      </c>
      <c r="AG124" s="193">
        <f t="shared" si="554"/>
        <v>22482</v>
      </c>
      <c r="AH124" s="193">
        <f t="shared" si="554"/>
        <v>22625</v>
      </c>
      <c r="AI124" s="193">
        <f t="shared" si="554"/>
        <v>24871</v>
      </c>
      <c r="AJ124" s="193">
        <f t="shared" si="554"/>
        <v>34423</v>
      </c>
      <c r="AK124" s="193">
        <f t="shared" ref="AK124" si="555">AK107+AK121</f>
        <v>28010</v>
      </c>
      <c r="AL124" s="193">
        <f t="shared" si="554"/>
        <v>28278.345781407545</v>
      </c>
      <c r="AM124" s="193">
        <f t="shared" si="554"/>
        <v>30936.976143454613</v>
      </c>
      <c r="AN124" s="193">
        <f t="shared" si="554"/>
        <v>42374.5658816305</v>
      </c>
      <c r="AO124" s="86"/>
      <c r="AP124" s="86"/>
      <c r="AQ124" s="86"/>
    </row>
    <row r="125" spans="1:44" x14ac:dyDescent="0.2">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86"/>
      <c r="AP125" s="86"/>
      <c r="AQ125" s="86"/>
    </row>
    <row r="126" spans="1:44" x14ac:dyDescent="0.2">
      <c r="B126" s="17" t="s">
        <v>100</v>
      </c>
      <c r="G126" s="17" t="s">
        <v>304</v>
      </c>
      <c r="I126" s="193">
        <f t="shared" ref="I126:S126" si="556">I79-I124</f>
        <v>1360</v>
      </c>
      <c r="J126" s="193">
        <f t="shared" si="556"/>
        <v>762</v>
      </c>
      <c r="K126" s="193">
        <f t="shared" si="556"/>
        <v>613</v>
      </c>
      <c r="L126" s="193">
        <f t="shared" si="556"/>
        <v>750</v>
      </c>
      <c r="M126" s="193">
        <f t="shared" si="556"/>
        <v>123</v>
      </c>
      <c r="N126" s="193">
        <f t="shared" si="556"/>
        <v>2605</v>
      </c>
      <c r="O126" s="193">
        <f t="shared" si="556"/>
        <v>5679.3413327312883</v>
      </c>
      <c r="P126" s="193">
        <f t="shared" si="556"/>
        <v>8801.7012871630432</v>
      </c>
      <c r="Q126" s="193">
        <f t="shared" si="556"/>
        <v>12302.07206409669</v>
      </c>
      <c r="R126" s="193">
        <f t="shared" si="556"/>
        <v>16072.566662629164</v>
      </c>
      <c r="S126" s="193">
        <f t="shared" si="556"/>
        <v>20317.752278307627</v>
      </c>
      <c r="T126" s="193"/>
      <c r="U126" s="193">
        <f t="shared" ref="U126:AN126" si="557">U79-U124</f>
        <v>152</v>
      </c>
      <c r="V126" s="193">
        <f t="shared" si="557"/>
        <v>96</v>
      </c>
      <c r="W126" s="193">
        <f t="shared" si="557"/>
        <v>-41</v>
      </c>
      <c r="X126" s="193">
        <f t="shared" si="557"/>
        <v>405</v>
      </c>
      <c r="Y126" s="193">
        <f t="shared" si="557"/>
        <v>164</v>
      </c>
      <c r="Z126" s="193">
        <f t="shared" si="557"/>
        <v>91</v>
      </c>
      <c r="AA126" s="193">
        <f t="shared" si="557"/>
        <v>-22</v>
      </c>
      <c r="AB126" s="193">
        <f t="shared" si="557"/>
        <v>518</v>
      </c>
      <c r="AC126" s="193">
        <f t="shared" si="557"/>
        <v>140</v>
      </c>
      <c r="AD126" s="193">
        <f t="shared" si="557"/>
        <v>-1</v>
      </c>
      <c r="AE126" s="193">
        <f t="shared" si="557"/>
        <v>-573</v>
      </c>
      <c r="AF126" s="193">
        <f t="shared" si="557"/>
        <v>557</v>
      </c>
      <c r="AG126" s="193">
        <f t="shared" si="557"/>
        <v>235</v>
      </c>
      <c r="AH126" s="193">
        <f t="shared" si="557"/>
        <v>560</v>
      </c>
      <c r="AI126" s="193">
        <f t="shared" si="557"/>
        <v>487</v>
      </c>
      <c r="AJ126" s="193">
        <f t="shared" si="557"/>
        <v>1324</v>
      </c>
      <c r="AK126" s="193">
        <f t="shared" si="557"/>
        <v>1118</v>
      </c>
      <c r="AL126" s="193">
        <f t="shared" si="557"/>
        <v>1380.0367372531618</v>
      </c>
      <c r="AM126" s="193">
        <f t="shared" si="557"/>
        <v>1220.7944415747297</v>
      </c>
      <c r="AN126" s="193">
        <f t="shared" si="557"/>
        <v>1960.5101539033712</v>
      </c>
      <c r="AO126" s="86"/>
      <c r="AP126" s="86"/>
      <c r="AQ126" s="86"/>
    </row>
    <row r="127" spans="1:44" x14ac:dyDescent="0.2">
      <c r="A127" s="111"/>
      <c r="E127" s="138" t="s">
        <v>78</v>
      </c>
      <c r="F127" s="137"/>
      <c r="G127" s="79"/>
      <c r="H127" s="79"/>
      <c r="I127" s="265" t="s">
        <v>79</v>
      </c>
      <c r="J127" s="274">
        <f t="shared" ref="J127" si="558">IFERROR(J126/I126-1,"NA")</f>
        <v>-0.43970588235294117</v>
      </c>
      <c r="K127" s="274">
        <f t="shared" ref="K127" si="559">IFERROR(K126/J126-1,"NA")</f>
        <v>-0.1955380577427821</v>
      </c>
      <c r="L127" s="274">
        <f t="shared" ref="L127" si="560">IFERROR(L126/K126-1,"NA")</f>
        <v>0.22349102773246332</v>
      </c>
      <c r="M127" s="274">
        <f t="shared" ref="M127" si="561">IFERROR(M126/L126-1,"NA")</f>
        <v>-0.83599999999999997</v>
      </c>
      <c r="N127" s="274">
        <f t="shared" ref="N127" si="562">IFERROR(N126/M126-1,"NA")</f>
        <v>20.178861788617887</v>
      </c>
      <c r="O127" s="274">
        <f t="shared" ref="O127" si="563">IFERROR(O126/N126-1,"NA")</f>
        <v>1.1801694175551969</v>
      </c>
      <c r="P127" s="274">
        <f t="shared" ref="P127" si="564">IFERROR(P126/O126-1,"NA")</f>
        <v>0.54977501289399711</v>
      </c>
      <c r="Q127" s="274">
        <f t="shared" ref="Q127" si="565">IFERROR(Q126/P126-1,"NA")</f>
        <v>0.39769252133548427</v>
      </c>
      <c r="R127" s="274">
        <f t="shared" ref="R127" si="566">IFERROR(R126/Q126-1,"NA")</f>
        <v>0.30649264440065949</v>
      </c>
      <c r="S127" s="274">
        <f t="shared" ref="S127" si="567">IFERROR(S126/R126-1,"NA")</f>
        <v>0.2641261787732434</v>
      </c>
      <c r="T127" s="274"/>
      <c r="U127" s="265" t="s">
        <v>79</v>
      </c>
      <c r="V127" s="265" t="s">
        <v>79</v>
      </c>
      <c r="W127" s="265" t="s">
        <v>79</v>
      </c>
      <c r="X127" s="265" t="s">
        <v>79</v>
      </c>
      <c r="Y127" s="265" t="s">
        <v>79</v>
      </c>
      <c r="Z127" s="265" t="s">
        <v>79</v>
      </c>
      <c r="AA127" s="265" t="s">
        <v>79</v>
      </c>
      <c r="AB127" s="263">
        <f t="shared" ref="AB127" si="568">IFERROR(AB126/X126-1,"NA ")</f>
        <v>0.27901234567901234</v>
      </c>
      <c r="AC127" s="263">
        <f t="shared" ref="AC127:AE127" si="569">IFERROR(IF(Y126&lt;0,-(AC126/Y126-1),(AC126/Y126-1)),"NA")</f>
        <v>-0.14634146341463417</v>
      </c>
      <c r="AD127" s="263">
        <f t="shared" si="569"/>
        <v>-1.0109890109890109</v>
      </c>
      <c r="AE127" s="263">
        <f t="shared" si="569"/>
        <v>-25.045454545454547</v>
      </c>
      <c r="AF127" s="263">
        <f>IFERROR(IF(AB126&lt;0,-(AF126/AB126-1),(AF126/AB126-1)),"NA")</f>
        <v>7.528957528957525E-2</v>
      </c>
      <c r="AG127" s="263">
        <f>IFERROR(IF(AC126&lt;0,-(AG126/AC126-1),(AG126/AC126-1)),"NA")</f>
        <v>0.6785714285714286</v>
      </c>
      <c r="AH127" s="263">
        <f t="shared" ref="AH127" si="570">IFERROR(IF(AD126&lt;0,-(AH126/AD126-1),(AH126/AD126-1)),"NA")</f>
        <v>561</v>
      </c>
      <c r="AI127" s="263">
        <f t="shared" ref="AI127" si="571">IFERROR(IF(AE126&lt;0,-(AI126/AE126-1),(AI126/AE126-1)),"NA")</f>
        <v>1.8499127399650961</v>
      </c>
      <c r="AJ127" s="263">
        <f t="shared" ref="AJ127:AK127" si="572">IFERROR(IF(AF126&lt;0,-(AJ126/AF126-1),(AJ126/AF126-1)),"NA")</f>
        <v>1.3770197486535007</v>
      </c>
      <c r="AK127" s="263">
        <f t="shared" si="572"/>
        <v>3.7574468085106387</v>
      </c>
      <c r="AL127" s="263">
        <f>IFERROR(IF(AH126&lt;0,-(AL126/AH126-1),(AL126/AH126-1)),"NA")</f>
        <v>1.4643513165235031</v>
      </c>
      <c r="AM127" s="263">
        <f>IFERROR(IF(AI126&lt;0,-(AM126/AI126-1),(AM126/AI126-1)),"NA")</f>
        <v>1.5067647670939008</v>
      </c>
      <c r="AN127" s="263">
        <f>IFERROR(IF(AJ126&lt;0,-(AN126/AJ126-1),(AN126/AJ126-1)),"NA")</f>
        <v>0.48074785038018986</v>
      </c>
      <c r="AO127" s="70"/>
      <c r="AP127" s="76"/>
      <c r="AQ127" s="76"/>
      <c r="AR127" s="76"/>
    </row>
    <row r="128" spans="1:44" x14ac:dyDescent="0.2">
      <c r="A128" s="111"/>
      <c r="E128" s="138" t="s">
        <v>80</v>
      </c>
      <c r="F128" s="137"/>
      <c r="G128" s="79"/>
      <c r="H128" s="79"/>
      <c r="I128" s="265" t="s">
        <v>79</v>
      </c>
      <c r="J128" s="244">
        <f>IFERROR(J126-I126,"NA ")</f>
        <v>-598</v>
      </c>
      <c r="K128" s="244">
        <f t="shared" ref="K128" si="573">K126-J126</f>
        <v>-149</v>
      </c>
      <c r="L128" s="244">
        <f t="shared" ref="L128" si="574">L126-K126</f>
        <v>137</v>
      </c>
      <c r="M128" s="244">
        <f t="shared" ref="M128" si="575">M126-L126</f>
        <v>-627</v>
      </c>
      <c r="N128" s="244">
        <f t="shared" ref="N128" si="576">N126-M126</f>
        <v>2482</v>
      </c>
      <c r="O128" s="244">
        <f t="shared" ref="O128" si="577">O126-N126</f>
        <v>3074.3413327312883</v>
      </c>
      <c r="P128" s="244">
        <f t="shared" ref="P128" si="578">P126-O126</f>
        <v>3122.3599544317549</v>
      </c>
      <c r="Q128" s="244">
        <f t="shared" ref="Q128" si="579">Q126-P126</f>
        <v>3500.370776933647</v>
      </c>
      <c r="R128" s="244">
        <f t="shared" ref="R128" si="580">R126-Q126</f>
        <v>3770.4945985324739</v>
      </c>
      <c r="S128" s="244">
        <f t="shared" ref="S128" si="581">S126-R126</f>
        <v>4245.1856156784634</v>
      </c>
      <c r="T128" s="244"/>
      <c r="U128" s="265" t="s">
        <v>79</v>
      </c>
      <c r="V128" s="265" t="s">
        <v>79</v>
      </c>
      <c r="W128" s="265" t="s">
        <v>79</v>
      </c>
      <c r="X128" s="265" t="s">
        <v>79</v>
      </c>
      <c r="Y128" s="265" t="s">
        <v>79</v>
      </c>
      <c r="Z128" s="265" t="s">
        <v>79</v>
      </c>
      <c r="AA128" s="265" t="s">
        <v>79</v>
      </c>
      <c r="AB128" s="243">
        <f t="shared" ref="AB128" si="582">IFERROR(AB126-X126,"NA ")</f>
        <v>113</v>
      </c>
      <c r="AC128" s="243">
        <f t="shared" ref="AC128" si="583">IFERROR(AC126-Y126,"NA ")</f>
        <v>-24</v>
      </c>
      <c r="AD128" s="243">
        <f t="shared" ref="AD128" si="584">IFERROR(AD126-Z126,"NA ")</f>
        <v>-92</v>
      </c>
      <c r="AE128" s="243">
        <f t="shared" ref="AE128" si="585">IFERROR(AE126-AA126,"NA ")</f>
        <v>-551</v>
      </c>
      <c r="AF128" s="243">
        <f t="shared" ref="AF128" si="586">IFERROR(AF126-AB126,"NA ")</f>
        <v>39</v>
      </c>
      <c r="AG128" s="243">
        <f t="shared" ref="AG128" si="587">IFERROR(AG126-AC126,"NA ")</f>
        <v>95</v>
      </c>
      <c r="AH128" s="243">
        <f t="shared" ref="AH128" si="588">IFERROR(AH126-AD126,"NA ")</f>
        <v>561</v>
      </c>
      <c r="AI128" s="243">
        <f t="shared" ref="AI128" si="589">IFERROR(AI126-AE126,"NA ")</f>
        <v>1060</v>
      </c>
      <c r="AJ128" s="243">
        <f t="shared" ref="AJ128:AK128" si="590">IFERROR(AJ126-AF126,"NA ")</f>
        <v>767</v>
      </c>
      <c r="AK128" s="243">
        <f t="shared" si="590"/>
        <v>883</v>
      </c>
      <c r="AL128" s="243">
        <f t="shared" ref="AL128" si="591">IFERROR(AL126-AH126,"NA ")</f>
        <v>820.03673725316185</v>
      </c>
      <c r="AM128" s="243">
        <f t="shared" ref="AM128" si="592">IFERROR(AM126-AI126,"NA ")</f>
        <v>733.79444157472972</v>
      </c>
      <c r="AN128" s="243">
        <f t="shared" ref="AN128" si="593">IFERROR(AN126-AJ126,"NA ")</f>
        <v>636.51015390337125</v>
      </c>
      <c r="AO128" s="70"/>
      <c r="AP128" s="76"/>
      <c r="AQ128" s="76"/>
      <c r="AR128" s="76"/>
    </row>
    <row r="129" spans="1:44" x14ac:dyDescent="0.2">
      <c r="A129" s="111"/>
      <c r="E129" s="138" t="s">
        <v>91</v>
      </c>
      <c r="F129" s="137"/>
      <c r="G129" s="79"/>
      <c r="H129" s="79"/>
      <c r="I129" s="195">
        <f t="shared" ref="I129:S129" si="594">IFERROR(I126/I$79,"NA ")</f>
        <v>3.9761431411530816E-2</v>
      </c>
      <c r="J129" s="196">
        <f t="shared" si="594"/>
        <v>1.5849574640680576E-2</v>
      </c>
      <c r="K129" s="196">
        <f t="shared" si="594"/>
        <v>1.0033882768893327E-2</v>
      </c>
      <c r="L129" s="196">
        <f t="shared" si="594"/>
        <v>1.007360446999409E-2</v>
      </c>
      <c r="M129" s="196">
        <f t="shared" si="594"/>
        <v>1.3822088371465817E-3</v>
      </c>
      <c r="N129" s="196">
        <f t="shared" si="594"/>
        <v>2.4344429284339195E-2</v>
      </c>
      <c r="O129" s="196">
        <f t="shared" si="594"/>
        <v>4.1982360254923828E-2</v>
      </c>
      <c r="P129" s="196">
        <f t="shared" si="594"/>
        <v>5.2130121104585266E-2</v>
      </c>
      <c r="Q129" s="196">
        <f t="shared" si="594"/>
        <v>5.9313209262257305E-2</v>
      </c>
      <c r="R129" s="196">
        <f t="shared" si="594"/>
        <v>6.4165908635769098E-2</v>
      </c>
      <c r="S129" s="196">
        <f t="shared" si="594"/>
        <v>6.8278762232756085E-2</v>
      </c>
      <c r="T129" s="196"/>
      <c r="U129" s="195">
        <f>IFERROR(U126/U$79,"NA ")</f>
        <v>1.1528251801289344E-2</v>
      </c>
      <c r="V129" s="195">
        <f>IFERROR(V126/V$79,"NA ")</f>
        <v>7.4801309022907905E-3</v>
      </c>
      <c r="W129" s="195">
        <f>IFERROR(W126/W$79,"NA ")</f>
        <v>-2.9697233087063596E-3</v>
      </c>
      <c r="X129" s="195">
        <f>IFERROR(X126/X$79,"NA ")</f>
        <v>1.9042693248072222E-2</v>
      </c>
      <c r="Y129" s="195">
        <f t="shared" ref="Y129:AN129" si="595">IFERROR(Y126/Y$79,"NA ")</f>
        <v>1.0205351586807717E-2</v>
      </c>
      <c r="Z129" s="195">
        <f t="shared" si="595"/>
        <v>5.794701986754967E-3</v>
      </c>
      <c r="AA129" s="195">
        <f t="shared" si="595"/>
        <v>-1.2871518839223028E-3</v>
      </c>
      <c r="AB129" s="195">
        <f t="shared" si="595"/>
        <v>2.0244655489115568E-2</v>
      </c>
      <c r="AC129" s="195">
        <f t="shared" si="595"/>
        <v>7.0918393191834253E-3</v>
      </c>
      <c r="AD129" s="195">
        <f t="shared" si="595"/>
        <v>-5.1706308169596689E-5</v>
      </c>
      <c r="AE129" s="195">
        <f t="shared" si="595"/>
        <v>-2.7843918557753051E-2</v>
      </c>
      <c r="AF129" s="195">
        <f t="shared" si="595"/>
        <v>1.8992089470812875E-2</v>
      </c>
      <c r="AG129" s="195">
        <f t="shared" si="595"/>
        <v>1.0344675793458644E-2</v>
      </c>
      <c r="AH129" s="195">
        <f t="shared" si="595"/>
        <v>2.4153547552296744E-2</v>
      </c>
      <c r="AI129" s="195">
        <f t="shared" si="595"/>
        <v>1.9204984620238189E-2</v>
      </c>
      <c r="AJ129" s="195">
        <f t="shared" si="595"/>
        <v>3.7038073125017487E-2</v>
      </c>
      <c r="AK129" s="195">
        <f t="shared" ref="AK129" si="596">IFERROR(AK126/AK$79,"NA ")</f>
        <v>3.8382312551496843E-2</v>
      </c>
      <c r="AL129" s="195">
        <f t="shared" si="595"/>
        <v>4.6531085651244093E-2</v>
      </c>
      <c r="AM129" s="195">
        <f t="shared" si="595"/>
        <v>3.7962657838695311E-2</v>
      </c>
      <c r="AN129" s="195">
        <f t="shared" si="595"/>
        <v>4.4220295287912735E-2</v>
      </c>
      <c r="AO129" s="70"/>
      <c r="AP129" s="76"/>
      <c r="AQ129" s="76"/>
      <c r="AR129" s="76"/>
    </row>
    <row r="130" spans="1:44" x14ac:dyDescent="0.2">
      <c r="E130" s="138" t="s">
        <v>96</v>
      </c>
      <c r="F130" s="63"/>
      <c r="G130" s="63"/>
      <c r="H130" s="63"/>
      <c r="I130" s="265" t="s">
        <v>79</v>
      </c>
      <c r="J130" s="197">
        <f t="shared" ref="J130:S130" si="597">IFERROR((J126-I126)/(J$79-I$79),"NA ")</f>
        <v>-4.3105312477474234E-2</v>
      </c>
      <c r="K130" s="197">
        <f t="shared" si="597"/>
        <v>-1.1447449293177628E-2</v>
      </c>
      <c r="L130" s="197">
        <f t="shared" si="597"/>
        <v>1.0255258627142751E-2</v>
      </c>
      <c r="M130" s="197">
        <f t="shared" si="597"/>
        <v>-4.3134287286736378E-2</v>
      </c>
      <c r="N130" s="197">
        <f t="shared" si="597"/>
        <v>0.13775113775113776</v>
      </c>
      <c r="O130" s="197">
        <f t="shared" si="597"/>
        <v>0.10873683078761608</v>
      </c>
      <c r="P130" s="197">
        <f t="shared" si="597"/>
        <v>9.3033256269843947E-2</v>
      </c>
      <c r="Q130" s="197">
        <f t="shared" si="597"/>
        <v>9.0759246041950528E-2</v>
      </c>
      <c r="R130" s="197">
        <f t="shared" si="597"/>
        <v>8.7531463444508129E-2</v>
      </c>
      <c r="S130" s="197">
        <f t="shared" si="597"/>
        <v>9.0157969051053374E-2</v>
      </c>
      <c r="T130" s="197"/>
      <c r="U130" s="265" t="s">
        <v>79</v>
      </c>
      <c r="V130" s="265" t="s">
        <v>79</v>
      </c>
      <c r="W130" s="265" t="s">
        <v>79</v>
      </c>
      <c r="X130" s="265" t="s">
        <v>79</v>
      </c>
      <c r="Y130" s="265" t="s">
        <v>79</v>
      </c>
      <c r="Z130" s="265" t="s">
        <v>79</v>
      </c>
      <c r="AA130" s="265" t="s">
        <v>79</v>
      </c>
      <c r="AB130" s="197">
        <f>IFERROR((AB126-X126)/(AB$79-X$79),"NA ")</f>
        <v>2.6163463764760361E-2</v>
      </c>
      <c r="AC130" s="197">
        <f t="shared" ref="AC130:AK130" si="598">(AC126-Y126)/(AC$79-Y$79)</f>
        <v>-6.5377281394715337E-3</v>
      </c>
      <c r="AD130" s="197">
        <f t="shared" si="598"/>
        <v>-2.5302530253025302E-2</v>
      </c>
      <c r="AE130" s="197">
        <f t="shared" si="598"/>
        <v>-0.15801548609119587</v>
      </c>
      <c r="AF130" s="197">
        <f t="shared" si="598"/>
        <v>1.0425020048115477E-2</v>
      </c>
      <c r="AG130" s="197">
        <f t="shared" si="598"/>
        <v>3.1922043010752688E-2</v>
      </c>
      <c r="AH130" s="197">
        <f t="shared" si="598"/>
        <v>0.1459037711313394</v>
      </c>
      <c r="AI130" s="197">
        <f t="shared" si="598"/>
        <v>0.22180372462858339</v>
      </c>
      <c r="AJ130" s="197">
        <f t="shared" si="598"/>
        <v>0.11948901698083814</v>
      </c>
      <c r="AK130" s="197">
        <f t="shared" si="598"/>
        <v>0.13773202308532209</v>
      </c>
      <c r="AL130" s="197">
        <f>(AL126-AH126)/(AL$79-AH$79)</f>
        <v>0.12667824508890929</v>
      </c>
      <c r="AM130" s="197">
        <f>(AM126-AI126)/(AM$79-AI$79)</f>
        <v>0.10791458805835039</v>
      </c>
      <c r="AN130" s="197">
        <f>(AN126-AJ126)/(AN$79-AJ$79)</f>
        <v>7.4115570387332172E-2</v>
      </c>
      <c r="AO130" s="76"/>
      <c r="AP130" s="76"/>
      <c r="AQ130" s="76"/>
    </row>
    <row r="131" spans="1:44" x14ac:dyDescent="0.2">
      <c r="F131" s="92"/>
      <c r="G131" s="92"/>
      <c r="H131" s="92"/>
      <c r="I131" s="157"/>
      <c r="J131" s="209"/>
      <c r="K131" s="209"/>
      <c r="L131" s="157"/>
      <c r="M131" s="209"/>
      <c r="N131" s="157"/>
      <c r="O131" s="157"/>
      <c r="P131" s="157"/>
      <c r="Q131" s="157"/>
      <c r="R131" s="157"/>
      <c r="S131" s="157"/>
      <c r="T131" s="157"/>
      <c r="U131" s="208"/>
      <c r="V131" s="208"/>
      <c r="W131" s="208"/>
      <c r="X131" s="208"/>
      <c r="Y131" s="208"/>
      <c r="Z131" s="208"/>
      <c r="AA131" s="208"/>
      <c r="AB131" s="208"/>
      <c r="AC131" s="208"/>
      <c r="AD131" s="208"/>
      <c r="AE131" s="208"/>
      <c r="AF131" s="208"/>
      <c r="AG131" s="208"/>
      <c r="AH131" s="208"/>
      <c r="AI131" s="208"/>
      <c r="AJ131" s="208"/>
      <c r="AK131" s="208"/>
      <c r="AL131" s="208"/>
      <c r="AM131" s="208"/>
      <c r="AN131" s="208"/>
      <c r="AO131" s="84"/>
      <c r="AP131" s="93"/>
      <c r="AQ131" s="94"/>
    </row>
    <row r="132" spans="1:44" x14ac:dyDescent="0.2">
      <c r="C132" s="126" t="str">
        <f>'Company Data'!B18</f>
        <v>Interest Expense</v>
      </c>
      <c r="G132" s="63"/>
      <c r="H132" s="63"/>
      <c r="I132" s="337">
        <f>-'Company Data'!U18</f>
        <v>39</v>
      </c>
      <c r="J132" s="337">
        <f>-'Company Data'!V18</f>
        <v>65</v>
      </c>
      <c r="K132" s="337">
        <f>-'Company Data'!W18</f>
        <v>92</v>
      </c>
      <c r="L132" s="337">
        <f>-'Company Data'!X18</f>
        <v>141</v>
      </c>
      <c r="M132" s="337">
        <f>-'Company Data'!Y18</f>
        <v>210</v>
      </c>
      <c r="N132" s="337">
        <f>-'Company Data'!Z18</f>
        <v>459</v>
      </c>
      <c r="O132" s="187">
        <f>SUM(AK132:AN132)</f>
        <v>481.36256589638481</v>
      </c>
      <c r="P132" s="187">
        <f>P133*SUM(P323:P326)</f>
        <v>510.46831528587228</v>
      </c>
      <c r="Q132" s="187">
        <f>Q133*SUM(Q323:Q326)</f>
        <v>538.46671956885632</v>
      </c>
      <c r="R132" s="187">
        <f>R133*SUM(R323:R326)</f>
        <v>563.94889477405832</v>
      </c>
      <c r="S132" s="187">
        <f>S133*SUM(S323:S326)</f>
        <v>585.99436014899038</v>
      </c>
      <c r="T132" s="233"/>
      <c r="U132" s="337">
        <f>-'Company Data'!C18</f>
        <v>21</v>
      </c>
      <c r="V132" s="337">
        <f>-'Company Data'!D18</f>
        <v>21</v>
      </c>
      <c r="W132" s="337">
        <f>-'Company Data'!E18</f>
        <v>22</v>
      </c>
      <c r="X132" s="337">
        <f>-'Company Data'!F18</f>
        <v>28</v>
      </c>
      <c r="Y132" s="337">
        <f>-'Company Data'!G18</f>
        <v>33</v>
      </c>
      <c r="Z132" s="337">
        <f>-'Company Data'!H18</f>
        <v>33</v>
      </c>
      <c r="AA132" s="337">
        <f>-'Company Data'!I18</f>
        <v>36</v>
      </c>
      <c r="AB132" s="337">
        <f>-'Company Data'!J18</f>
        <v>39</v>
      </c>
      <c r="AC132" s="337">
        <f>-'Company Data'!K18</f>
        <v>42</v>
      </c>
      <c r="AD132" s="337">
        <f>-'Company Data'!L18</f>
        <v>45</v>
      </c>
      <c r="AE132" s="337">
        <f>-'Company Data'!M18</f>
        <v>49</v>
      </c>
      <c r="AF132" s="337">
        <f>-'Company Data'!N18</f>
        <v>74</v>
      </c>
      <c r="AG132" s="337">
        <f>-'Company Data'!O18</f>
        <v>115</v>
      </c>
      <c r="AH132" s="337">
        <f>-'Company Data'!P18</f>
        <v>114</v>
      </c>
      <c r="AI132" s="337">
        <f>-'Company Data'!Q18</f>
        <v>116</v>
      </c>
      <c r="AJ132" s="337">
        <f>-'Company Data'!R18</f>
        <v>115</v>
      </c>
      <c r="AK132" s="337">
        <f>-'Company Data'!S18</f>
        <v>117</v>
      </c>
      <c r="AL132" s="187">
        <f>AL133*SUM(AL323:AL326)</f>
        <v>118.44662576672167</v>
      </c>
      <c r="AM132" s="187">
        <f>AM133*SUM(AM323:AM326)</f>
        <v>120.07910829478315</v>
      </c>
      <c r="AN132" s="187">
        <f>AN133*SUM(AN323:AN326)</f>
        <v>125.83683183488002</v>
      </c>
      <c r="AO132" s="84"/>
      <c r="AP132" s="93"/>
      <c r="AQ132" s="94"/>
    </row>
    <row r="133" spans="1:44" x14ac:dyDescent="0.2">
      <c r="C133" s="205"/>
      <c r="E133" s="138" t="s">
        <v>101</v>
      </c>
      <c r="F133" s="63"/>
      <c r="G133" s="63"/>
      <c r="H133" s="63"/>
      <c r="I133" s="264">
        <f t="shared" ref="I133:O133" si="599">I132/(I323+I326)</f>
        <v>2.4983984625240232E-2</v>
      </c>
      <c r="J133" s="264">
        <f t="shared" si="599"/>
        <v>2.4761904761904763E-2</v>
      </c>
      <c r="K133" s="264">
        <f t="shared" si="599"/>
        <v>1.7160977429584032E-2</v>
      </c>
      <c r="L133" s="264">
        <f t="shared" si="599"/>
        <v>1.896946051392439E-2</v>
      </c>
      <c r="M133" s="264">
        <f t="shared" si="599"/>
        <v>1.3397129186602871E-2</v>
      </c>
      <c r="N133" s="264">
        <f t="shared" si="599"/>
        <v>2.5273938659765433E-2</v>
      </c>
      <c r="O133" s="264">
        <f t="shared" si="599"/>
        <v>2.4612368353511615E-2</v>
      </c>
      <c r="P133" s="264">
        <f t="shared" ref="P133:S133" si="600">O133</f>
        <v>2.4612368353511615E-2</v>
      </c>
      <c r="Q133" s="264">
        <f t="shared" si="600"/>
        <v>2.4612368353511615E-2</v>
      </c>
      <c r="R133" s="264">
        <f t="shared" si="600"/>
        <v>2.4612368353511615E-2</v>
      </c>
      <c r="S133" s="264">
        <f t="shared" si="600"/>
        <v>2.4612368353511615E-2</v>
      </c>
      <c r="T133" s="264"/>
      <c r="U133" s="337" t="s">
        <v>102</v>
      </c>
      <c r="V133" s="337" t="s">
        <v>102</v>
      </c>
      <c r="W133" s="337" t="s">
        <v>102</v>
      </c>
      <c r="X133" s="264">
        <f t="shared" ref="X133:AK133" si="601">X132/(X323+X326)</f>
        <v>5.2229061742212271E-3</v>
      </c>
      <c r="Y133" s="264">
        <f t="shared" si="601"/>
        <v>5.8792089791555322E-3</v>
      </c>
      <c r="Z133" s="264">
        <f t="shared" si="601"/>
        <v>5.3614947197400484E-3</v>
      </c>
      <c r="AA133" s="264">
        <f t="shared" si="601"/>
        <v>5.4225033890646186E-3</v>
      </c>
      <c r="AB133" s="264">
        <f t="shared" si="601"/>
        <v>5.2468720570429169E-3</v>
      </c>
      <c r="AC133" s="264">
        <f t="shared" si="601"/>
        <v>5.4694621695533276E-3</v>
      </c>
      <c r="AD133" s="264">
        <f t="shared" si="601"/>
        <v>5.2662375658279695E-3</v>
      </c>
      <c r="AE133" s="264">
        <f t="shared" si="601"/>
        <v>5.3024564441077806E-3</v>
      </c>
      <c r="AF133" s="264">
        <f t="shared" si="601"/>
        <v>4.7208931419457732E-3</v>
      </c>
      <c r="AG133" s="264">
        <f t="shared" si="601"/>
        <v>7.176287051482059E-3</v>
      </c>
      <c r="AH133" s="264">
        <f t="shared" si="601"/>
        <v>6.801909307875895E-3</v>
      </c>
      <c r="AI133" s="264">
        <f t="shared" si="601"/>
        <v>6.7666102782476811E-3</v>
      </c>
      <c r="AJ133" s="264">
        <f t="shared" si="601"/>
        <v>6.332250426738616E-3</v>
      </c>
      <c r="AK133" s="264">
        <f t="shared" si="601"/>
        <v>6.4338740720373934E-3</v>
      </c>
      <c r="AL133" s="264">
        <f>AK133</f>
        <v>6.4338740720373934E-3</v>
      </c>
      <c r="AM133" s="264">
        <f>AL133</f>
        <v>6.4338740720373934E-3</v>
      </c>
      <c r="AN133" s="264">
        <f>AM133</f>
        <v>6.4338740720373934E-3</v>
      </c>
      <c r="AO133" s="84"/>
      <c r="AP133" s="93"/>
      <c r="AQ133" s="94"/>
    </row>
    <row r="134" spans="1:44" x14ac:dyDescent="0.2">
      <c r="C134" s="126" t="str">
        <f>'Company Data'!B19</f>
        <v>Interest Income</v>
      </c>
      <c r="G134" s="63"/>
      <c r="H134" s="63"/>
      <c r="I134" s="337">
        <f>'Company Data'!U19</f>
        <v>51</v>
      </c>
      <c r="J134" s="337">
        <f>'Company Data'!V19</f>
        <v>61</v>
      </c>
      <c r="K134" s="337">
        <f>'Company Data'!W19</f>
        <v>40</v>
      </c>
      <c r="L134" s="337">
        <f>'Company Data'!X19</f>
        <v>38</v>
      </c>
      <c r="M134" s="337">
        <f>'Company Data'!Y19</f>
        <v>39</v>
      </c>
      <c r="N134" s="337">
        <f>'Company Data'!Z19</f>
        <v>50</v>
      </c>
      <c r="O134" s="187">
        <f>SUM(AK134:AN134)</f>
        <v>84</v>
      </c>
      <c r="P134" s="187">
        <f>P135*P279</f>
        <v>43.249106687085252</v>
      </c>
      <c r="Q134" s="187">
        <f>Q135*Q279</f>
        <v>43.249106687085252</v>
      </c>
      <c r="R134" s="187">
        <f>R135*R279</f>
        <v>43.249106687085252</v>
      </c>
      <c r="S134" s="187">
        <f>S135*S279</f>
        <v>43.249106687085252</v>
      </c>
      <c r="T134" s="169"/>
      <c r="U134" s="337">
        <f>'Company Data'!C19</f>
        <v>12</v>
      </c>
      <c r="V134" s="337">
        <f>'Company Data'!D19</f>
        <v>10</v>
      </c>
      <c r="W134" s="337">
        <f>'Company Data'!E19</f>
        <v>10</v>
      </c>
      <c r="X134" s="337">
        <f>'Company Data'!F19</f>
        <v>9</v>
      </c>
      <c r="Y134" s="337">
        <f>'Company Data'!G19</f>
        <v>10</v>
      </c>
      <c r="Z134" s="337">
        <f>'Company Data'!H19</f>
        <v>9</v>
      </c>
      <c r="AA134" s="337">
        <f>'Company Data'!I19</f>
        <v>9</v>
      </c>
      <c r="AB134" s="337">
        <f>'Company Data'!J19</f>
        <v>10</v>
      </c>
      <c r="AC134" s="337">
        <f>'Company Data'!K19</f>
        <v>11</v>
      </c>
      <c r="AD134" s="337">
        <f>'Company Data'!L19</f>
        <v>11</v>
      </c>
      <c r="AE134" s="337">
        <f>'Company Data'!M19</f>
        <v>9</v>
      </c>
      <c r="AF134" s="337">
        <f>'Company Data'!N19</f>
        <v>8</v>
      </c>
      <c r="AG134" s="337">
        <f>'Company Data'!O19</f>
        <v>11</v>
      </c>
      <c r="AH134" s="337">
        <f>'Company Data'!P19</f>
        <v>12</v>
      </c>
      <c r="AI134" s="337">
        <f>'Company Data'!Q19</f>
        <v>13</v>
      </c>
      <c r="AJ134" s="337">
        <f>'Company Data'!R19</f>
        <v>13</v>
      </c>
      <c r="AK134" s="337">
        <f>'Company Data'!S19</f>
        <v>21</v>
      </c>
      <c r="AL134" s="187">
        <f>AL135*AL279</f>
        <v>21</v>
      </c>
      <c r="AM134" s="187">
        <f>AM135*AM279</f>
        <v>21</v>
      </c>
      <c r="AN134" s="187">
        <f>AN135*AN279</f>
        <v>21</v>
      </c>
      <c r="AO134" s="84"/>
      <c r="AP134" s="93"/>
      <c r="AQ134" s="94"/>
    </row>
    <row r="135" spans="1:44" x14ac:dyDescent="0.2">
      <c r="C135" s="205"/>
      <c r="E135" s="138" t="s">
        <v>103</v>
      </c>
      <c r="F135" s="63"/>
      <c r="G135" s="63"/>
      <c r="H135" s="63"/>
      <c r="I135" s="264">
        <f t="shared" ref="I135:N135" si="602">I134/I279</f>
        <v>1.0230692076228686E-2</v>
      </c>
      <c r="J135" s="264">
        <f t="shared" si="602"/>
        <v>1.4162990480612956E-2</v>
      </c>
      <c r="K135" s="264">
        <f t="shared" si="602"/>
        <v>1.1890606420927468E-2</v>
      </c>
      <c r="L135" s="264">
        <f t="shared" si="602"/>
        <v>1.0029031406703616E-2</v>
      </c>
      <c r="M135" s="264">
        <f t="shared" si="602"/>
        <v>1.3641133263378805E-2</v>
      </c>
      <c r="N135" s="264">
        <f t="shared" si="602"/>
        <v>1.2761613067891782E-2</v>
      </c>
      <c r="O135" s="264">
        <f>N135</f>
        <v>1.2761613067891782E-2</v>
      </c>
      <c r="P135" s="264">
        <f t="shared" ref="P135:S135" si="603">O135</f>
        <v>1.2761613067891782E-2</v>
      </c>
      <c r="Q135" s="264">
        <f t="shared" si="603"/>
        <v>1.2761613067891782E-2</v>
      </c>
      <c r="R135" s="264">
        <f t="shared" si="603"/>
        <v>1.2761613067891782E-2</v>
      </c>
      <c r="S135" s="264">
        <f t="shared" si="603"/>
        <v>1.2761613067891782E-2</v>
      </c>
      <c r="T135" s="264"/>
      <c r="U135" s="264">
        <f t="shared" ref="U135:AK135" si="604">U134/U279</f>
        <v>3.5016049022468633E-3</v>
      </c>
      <c r="V135" s="264">
        <f t="shared" si="604"/>
        <v>3.7950664136622392E-3</v>
      </c>
      <c r="W135" s="264">
        <f t="shared" si="604"/>
        <v>4.4091710758377423E-3</v>
      </c>
      <c r="X135" s="264">
        <f t="shared" si="604"/>
        <v>2.6753864447086801E-3</v>
      </c>
      <c r="Y135" s="264">
        <f t="shared" si="604"/>
        <v>2.9291154071470417E-3</v>
      </c>
      <c r="Z135" s="264">
        <f t="shared" si="604"/>
        <v>2.3942537909018356E-3</v>
      </c>
      <c r="AA135" s="264">
        <f t="shared" si="604"/>
        <v>2.3578726748755569E-3</v>
      </c>
      <c r="AB135" s="264">
        <f t="shared" si="604"/>
        <v>2.6392187912377936E-3</v>
      </c>
      <c r="AC135" s="264">
        <f t="shared" si="604"/>
        <v>3.062360801781737E-3</v>
      </c>
      <c r="AD135" s="264">
        <f t="shared" si="604"/>
        <v>3.7555479685899623E-3</v>
      </c>
      <c r="AE135" s="264">
        <f t="shared" si="604"/>
        <v>5.5384615384615381E-3</v>
      </c>
      <c r="AF135" s="264">
        <f t="shared" si="604"/>
        <v>2.7981811822315496E-3</v>
      </c>
      <c r="AG135" s="264">
        <f t="shared" si="604"/>
        <v>3.1038374717832955E-3</v>
      </c>
      <c r="AH135" s="264">
        <f t="shared" si="604"/>
        <v>3.2154340836012861E-3</v>
      </c>
      <c r="AI135" s="264">
        <f t="shared" si="604"/>
        <v>3.4955633234740524E-3</v>
      </c>
      <c r="AJ135" s="264">
        <f t="shared" si="604"/>
        <v>3.318019397651863E-3</v>
      </c>
      <c r="AK135" s="264">
        <f t="shared" si="604"/>
        <v>6.1965181469460021E-3</v>
      </c>
      <c r="AL135" s="264">
        <f>AK135</f>
        <v>6.1965181469460021E-3</v>
      </c>
      <c r="AM135" s="264">
        <f t="shared" ref="AM135:AN135" si="605">AL135</f>
        <v>6.1965181469460021E-3</v>
      </c>
      <c r="AN135" s="264">
        <f t="shared" si="605"/>
        <v>6.1965181469460021E-3</v>
      </c>
      <c r="AO135" s="84"/>
      <c r="AP135" s="93"/>
      <c r="AQ135" s="94"/>
    </row>
    <row r="136" spans="1:44" x14ac:dyDescent="0.2">
      <c r="C136" s="205" t="s">
        <v>104</v>
      </c>
      <c r="I136" s="211">
        <f t="shared" ref="I136:N136" si="606">I132-I134</f>
        <v>-12</v>
      </c>
      <c r="J136" s="211">
        <f t="shared" si="606"/>
        <v>4</v>
      </c>
      <c r="K136" s="211">
        <f t="shared" si="606"/>
        <v>52</v>
      </c>
      <c r="L136" s="211">
        <f t="shared" si="606"/>
        <v>103</v>
      </c>
      <c r="M136" s="211">
        <f t="shared" si="606"/>
        <v>171</v>
      </c>
      <c r="N136" s="211">
        <f t="shared" si="606"/>
        <v>409</v>
      </c>
      <c r="O136" s="211">
        <f t="shared" ref="O136:P136" si="607">O132-O134</f>
        <v>397.36256589638481</v>
      </c>
      <c r="P136" s="211">
        <f t="shared" si="607"/>
        <v>467.21920859878702</v>
      </c>
      <c r="Q136" s="211">
        <f t="shared" ref="Q136:S136" si="608">Q132-Q134</f>
        <v>495.21761288177106</v>
      </c>
      <c r="R136" s="211">
        <f t="shared" si="608"/>
        <v>520.69978808697306</v>
      </c>
      <c r="S136" s="211">
        <f t="shared" si="608"/>
        <v>542.74525346190512</v>
      </c>
      <c r="T136" s="157"/>
      <c r="U136" s="211">
        <f>U132-U134</f>
        <v>9</v>
      </c>
      <c r="V136" s="211">
        <f>V132-V134</f>
        <v>11</v>
      </c>
      <c r="W136" s="211">
        <f>W132-W134</f>
        <v>12</v>
      </c>
      <c r="X136" s="211">
        <f>X132-X134</f>
        <v>19</v>
      </c>
      <c r="Y136" s="211">
        <f t="shared" ref="Y136:AN136" si="609">Y132-Y134</f>
        <v>23</v>
      </c>
      <c r="Z136" s="211">
        <f t="shared" si="609"/>
        <v>24</v>
      </c>
      <c r="AA136" s="211">
        <f t="shared" si="609"/>
        <v>27</v>
      </c>
      <c r="AB136" s="211">
        <f t="shared" si="609"/>
        <v>29</v>
      </c>
      <c r="AC136" s="211">
        <f t="shared" si="609"/>
        <v>31</v>
      </c>
      <c r="AD136" s="211">
        <f t="shared" si="609"/>
        <v>34</v>
      </c>
      <c r="AE136" s="211">
        <f t="shared" si="609"/>
        <v>40</v>
      </c>
      <c r="AF136" s="211">
        <f t="shared" si="609"/>
        <v>66</v>
      </c>
      <c r="AG136" s="211">
        <f t="shared" si="609"/>
        <v>104</v>
      </c>
      <c r="AH136" s="211">
        <f t="shared" si="609"/>
        <v>102</v>
      </c>
      <c r="AI136" s="211">
        <f t="shared" si="609"/>
        <v>103</v>
      </c>
      <c r="AJ136" s="211">
        <f t="shared" si="609"/>
        <v>102</v>
      </c>
      <c r="AK136" s="211">
        <f t="shared" ref="AK136" si="610">AK132-AK134</f>
        <v>96</v>
      </c>
      <c r="AL136" s="211">
        <f t="shared" si="609"/>
        <v>97.446625766721667</v>
      </c>
      <c r="AM136" s="211">
        <f t="shared" si="609"/>
        <v>99.079108294783154</v>
      </c>
      <c r="AN136" s="211">
        <f t="shared" si="609"/>
        <v>104.83683183488002</v>
      </c>
      <c r="AO136" s="84"/>
      <c r="AP136" s="93"/>
      <c r="AQ136" s="94"/>
    </row>
    <row r="137" spans="1:44" x14ac:dyDescent="0.2">
      <c r="C137" s="205" t="str">
        <f>'Company Data'!B20</f>
        <v>Other Income/expense-net</v>
      </c>
      <c r="I137" s="337">
        <f>'Company Data'!U20-I142</f>
        <v>125</v>
      </c>
      <c r="J137" s="337">
        <f>'Company Data'!V20-J142</f>
        <v>176</v>
      </c>
      <c r="K137" s="337">
        <f>'Company Data'!W20-K142</f>
        <v>-17</v>
      </c>
      <c r="L137" s="337">
        <f>'Company Data'!X20-L142</f>
        <v>-141</v>
      </c>
      <c r="M137" s="337">
        <f>'Company Data'!Y20-M142</f>
        <v>-63</v>
      </c>
      <c r="N137" s="337">
        <f>'Company Data'!Z20-N142</f>
        <v>-628</v>
      </c>
      <c r="O137" s="187">
        <f>SUM(AK137:AN137)</f>
        <v>34</v>
      </c>
      <c r="P137" s="187">
        <f>'Company Data'!AB20</f>
        <v>0</v>
      </c>
      <c r="Q137" s="161">
        <f>'Company Data'!AC20</f>
        <v>0</v>
      </c>
      <c r="R137" s="161">
        <f>'Company Data'!AD20</f>
        <v>0</v>
      </c>
      <c r="S137" s="161">
        <f>'Company Data'!AE20</f>
        <v>0</v>
      </c>
      <c r="T137" s="169"/>
      <c r="U137" s="337">
        <f>'Company Data'!C20</f>
        <v>-99</v>
      </c>
      <c r="V137" s="337">
        <f>'Company Data'!D20</f>
        <v>50</v>
      </c>
      <c r="W137" s="337">
        <f>'Company Data'!E20</f>
        <v>18</v>
      </c>
      <c r="X137" s="337">
        <f>'Company Data'!F20</f>
        <v>-49</v>
      </c>
      <c r="Y137" s="337">
        <f>'Company Data'!G20</f>
        <v>-77</v>
      </c>
      <c r="Z137" s="337">
        <f>'Company Data'!H20</f>
        <v>-38</v>
      </c>
      <c r="AA137" s="337">
        <f>'Company Data'!I20</f>
        <v>9</v>
      </c>
      <c r="AB137" s="337">
        <f>'Company Data'!J20</f>
        <v>-30</v>
      </c>
      <c r="AC137" s="337">
        <f>'Company Data'!K20</f>
        <v>5</v>
      </c>
      <c r="AD137" s="337">
        <f>'Company Data'!L20</f>
        <v>22</v>
      </c>
      <c r="AE137" s="337">
        <f>'Company Data'!M20</f>
        <v>-50</v>
      </c>
      <c r="AF137" s="337">
        <f>'Company Data'!N20</f>
        <v>-96</v>
      </c>
      <c r="AG137" s="337">
        <f>'Company Data'!O20-AG142</f>
        <v>-110</v>
      </c>
      <c r="AH137" s="337">
        <f>'Company Data'!P20-AH142</f>
        <v>-96</v>
      </c>
      <c r="AI137" s="337">
        <f>'Company Data'!Q20-AI142</f>
        <v>-137</v>
      </c>
      <c r="AJ137" s="337">
        <f>'Company Data'!R20-AJ142</f>
        <v>-284</v>
      </c>
      <c r="AK137" s="337">
        <f>'Company Data'!S20-AK142</f>
        <v>34</v>
      </c>
      <c r="AL137" s="187">
        <v>0</v>
      </c>
      <c r="AM137" s="187">
        <v>0</v>
      </c>
      <c r="AN137" s="187">
        <v>0</v>
      </c>
      <c r="AO137" s="84"/>
      <c r="AP137" s="93"/>
      <c r="AQ137" s="94"/>
    </row>
    <row r="138" spans="1:44" x14ac:dyDescent="0.2">
      <c r="C138" s="205" t="s">
        <v>105</v>
      </c>
      <c r="I138" s="211">
        <f t="shared" ref="I138" si="611">I126-I136+I137</f>
        <v>1497</v>
      </c>
      <c r="J138" s="211">
        <f t="shared" ref="J138" si="612">J126-J136+J137</f>
        <v>934</v>
      </c>
      <c r="K138" s="211">
        <f t="shared" ref="K138" si="613">K126-K136+K137</f>
        <v>544</v>
      </c>
      <c r="L138" s="211">
        <f t="shared" ref="L138" si="614">L126-L136+L137</f>
        <v>506</v>
      </c>
      <c r="M138" s="211">
        <f t="shared" ref="M138" si="615">M126-M136+M137</f>
        <v>-111</v>
      </c>
      <c r="N138" s="211">
        <f t="shared" ref="N138" si="616">N126-N136+N137</f>
        <v>1568</v>
      </c>
      <c r="O138" s="211">
        <f t="shared" ref="O138" si="617">O126-O136+O137</f>
        <v>5315.9787668349036</v>
      </c>
      <c r="P138" s="211">
        <f t="shared" ref="P138" si="618">P126-P136+P137</f>
        <v>8334.4820785642569</v>
      </c>
      <c r="Q138" s="211">
        <f t="shared" ref="Q138" si="619">Q126-Q136+Q137</f>
        <v>11806.854451214918</v>
      </c>
      <c r="R138" s="211">
        <f t="shared" ref="R138" si="620">R126-R136+R137</f>
        <v>15551.866874542191</v>
      </c>
      <c r="S138" s="211">
        <f t="shared" ref="S138" si="621">S126-S136+S137</f>
        <v>19775.007024845723</v>
      </c>
      <c r="T138" s="211"/>
      <c r="U138" s="211">
        <f t="shared" ref="U138:AF138" si="622">U126-U136+U137</f>
        <v>44</v>
      </c>
      <c r="V138" s="211">
        <f t="shared" si="622"/>
        <v>135</v>
      </c>
      <c r="W138" s="211">
        <f t="shared" si="622"/>
        <v>-35</v>
      </c>
      <c r="X138" s="211">
        <f t="shared" si="622"/>
        <v>337</v>
      </c>
      <c r="Y138" s="211">
        <f t="shared" si="622"/>
        <v>64</v>
      </c>
      <c r="Z138" s="211">
        <f t="shared" si="622"/>
        <v>29</v>
      </c>
      <c r="AA138" s="211">
        <f t="shared" si="622"/>
        <v>-40</v>
      </c>
      <c r="AB138" s="211">
        <f t="shared" si="622"/>
        <v>459</v>
      </c>
      <c r="AC138" s="211">
        <f t="shared" si="622"/>
        <v>114</v>
      </c>
      <c r="AD138" s="211">
        <f t="shared" si="622"/>
        <v>-13</v>
      </c>
      <c r="AE138" s="211">
        <f t="shared" si="622"/>
        <v>-663</v>
      </c>
      <c r="AF138" s="211">
        <f t="shared" si="622"/>
        <v>395</v>
      </c>
      <c r="AG138" s="211">
        <f>AG126-AG136+AG137</f>
        <v>21</v>
      </c>
      <c r="AH138" s="211">
        <f t="shared" ref="AH138:AK138" si="623">AH126-AH136+AH137</f>
        <v>362</v>
      </c>
      <c r="AI138" s="211">
        <f t="shared" si="623"/>
        <v>247</v>
      </c>
      <c r="AJ138" s="211">
        <f t="shared" si="623"/>
        <v>938</v>
      </c>
      <c r="AK138" s="211">
        <f t="shared" si="623"/>
        <v>1056</v>
      </c>
      <c r="AL138" s="211">
        <f>AL126-AL136+AL139+AL137</f>
        <v>1282.5901114864403</v>
      </c>
      <c r="AM138" s="211">
        <f>AM126-AM136+AM139+AM137</f>
        <v>1121.7153332799467</v>
      </c>
      <c r="AN138" s="211">
        <f>AN126-AN136+AN139+AN137</f>
        <v>1855.6733220684912</v>
      </c>
      <c r="AO138" s="96"/>
      <c r="AP138" s="96"/>
      <c r="AQ138" s="96"/>
    </row>
    <row r="139" spans="1:44" x14ac:dyDescent="0.2">
      <c r="C139" s="205" t="str">
        <f>'Company Data'!B25</f>
        <v>Income(Loss) from Equity Investments, After-Tax</v>
      </c>
      <c r="I139" s="337">
        <f>'Company Data'!U25</f>
        <v>7</v>
      </c>
      <c r="J139" s="337">
        <f>'Company Data'!V25</f>
        <v>-12</v>
      </c>
      <c r="K139" s="337">
        <f>'Company Data'!W25</f>
        <v>-155</v>
      </c>
      <c r="L139" s="337">
        <f>'Company Data'!X25</f>
        <v>-71</v>
      </c>
      <c r="M139" s="337">
        <f>'Company Data'!Y25</f>
        <v>37</v>
      </c>
      <c r="N139" s="337">
        <f>'Company Data'!Z25</f>
        <v>-22</v>
      </c>
      <c r="O139" s="187">
        <f>SUM(AK139:AN139)</f>
        <v>-68</v>
      </c>
      <c r="P139" s="187">
        <f>'Company Data'!AB25</f>
        <v>0</v>
      </c>
      <c r="Q139" s="161">
        <f>'Company Data'!AC25</f>
        <v>0</v>
      </c>
      <c r="R139" s="161">
        <f>'Company Data'!AD25</f>
        <v>0</v>
      </c>
      <c r="S139" s="161">
        <f>'Company Data'!AE25</f>
        <v>0</v>
      </c>
      <c r="T139" s="169"/>
      <c r="U139" s="337">
        <f>'Company Data'!C25</f>
        <v>89</v>
      </c>
      <c r="V139" s="337">
        <f>'Company Data'!D25</f>
        <v>-30</v>
      </c>
      <c r="W139" s="337">
        <f>'Company Data'!E25</f>
        <v>-169</v>
      </c>
      <c r="X139" s="337">
        <f>'Company Data'!F25</f>
        <v>-46</v>
      </c>
      <c r="Y139" s="337">
        <f>'Company Data'!G25</f>
        <v>-17</v>
      </c>
      <c r="Z139" s="337">
        <f>'Company Data'!H25</f>
        <v>-11</v>
      </c>
      <c r="AA139" s="337">
        <f>'Company Data'!I25</f>
        <v>-10</v>
      </c>
      <c r="AB139" s="337">
        <f>'Company Data'!J25</f>
        <v>-33</v>
      </c>
      <c r="AC139" s="337">
        <f>'Company Data'!K25</f>
        <v>61</v>
      </c>
      <c r="AD139" s="337">
        <f>'Company Data'!L25</f>
        <v>-5</v>
      </c>
      <c r="AE139" s="337">
        <f>'Company Data'!M25</f>
        <v>-8</v>
      </c>
      <c r="AF139" s="337">
        <f>'Company Data'!N25</f>
        <v>-10</v>
      </c>
      <c r="AG139" s="337">
        <f>'Company Data'!O25</f>
        <v>-7</v>
      </c>
      <c r="AH139" s="337">
        <f>'Company Data'!P25</f>
        <v>-4</v>
      </c>
      <c r="AI139" s="337">
        <f>'Company Data'!Q25</f>
        <v>-7</v>
      </c>
      <c r="AJ139" s="337">
        <f>'Company Data'!R25</f>
        <v>-3</v>
      </c>
      <c r="AK139" s="337">
        <f>'Company Data'!S25</f>
        <v>-68</v>
      </c>
      <c r="AL139" s="187">
        <v>0</v>
      </c>
      <c r="AM139" s="187">
        <v>0</v>
      </c>
      <c r="AN139" s="187">
        <v>0</v>
      </c>
      <c r="AO139" s="84"/>
      <c r="AP139" s="93"/>
      <c r="AQ139" s="94"/>
    </row>
    <row r="140" spans="1:44" x14ac:dyDescent="0.2">
      <c r="C140" s="205" t="str">
        <f>'Company Data'!B24</f>
        <v>Provision for Income Tax</v>
      </c>
      <c r="I140" s="337">
        <f>-'Company Data'!U24</f>
        <v>352</v>
      </c>
      <c r="J140" s="337">
        <f>-'Company Data'!V24</f>
        <v>291</v>
      </c>
      <c r="K140" s="337">
        <f>-'Company Data'!W24</f>
        <v>428</v>
      </c>
      <c r="L140" s="337">
        <f>-'Company Data'!X24</f>
        <v>161</v>
      </c>
      <c r="M140" s="337">
        <f>-'Company Data'!Y24</f>
        <v>167</v>
      </c>
      <c r="N140" s="337">
        <f>-'Company Data'!Z24</f>
        <v>950</v>
      </c>
      <c r="O140" s="187">
        <f>SUM(AK140:AN140)</f>
        <v>1752.9936300504635</v>
      </c>
      <c r="P140" s="187">
        <f t="shared" ref="P140:S140" si="624">P138*P141</f>
        <v>2748.3732788104712</v>
      </c>
      <c r="Q140" s="187">
        <f t="shared" si="624"/>
        <v>3893.4204878767346</v>
      </c>
      <c r="R140" s="161">
        <f t="shared" si="624"/>
        <v>5128.3732991087672</v>
      </c>
      <c r="S140" s="187">
        <f t="shared" si="624"/>
        <v>6520.9931922653805</v>
      </c>
      <c r="T140" s="169"/>
      <c r="U140" s="337">
        <f>-'Company Data'!C24</f>
        <v>43</v>
      </c>
      <c r="V140" s="337">
        <f>-'Company Data'!D24</f>
        <v>109</v>
      </c>
      <c r="W140" s="337">
        <f>-'Company Data'!E24</f>
        <v>83</v>
      </c>
      <c r="X140" s="337">
        <f>-'Company Data'!F24</f>
        <v>194</v>
      </c>
      <c r="Y140" s="337">
        <f>-'Company Data'!G24</f>
        <v>-18</v>
      </c>
      <c r="Z140" s="337">
        <f>-'Company Data'!H24</f>
        <v>13</v>
      </c>
      <c r="AA140" s="337">
        <f>-'Company Data'!I24</f>
        <v>-12</v>
      </c>
      <c r="AB140" s="337">
        <f>-'Company Data'!J24</f>
        <v>179</v>
      </c>
      <c r="AC140" s="337">
        <f>-'Company Data'!K24</f>
        <v>73</v>
      </c>
      <c r="AD140" s="337">
        <f>-'Company Data'!L24</f>
        <v>94</v>
      </c>
      <c r="AE140" s="337">
        <f>-'Company Data'!M24</f>
        <v>-205</v>
      </c>
      <c r="AF140" s="337">
        <f>-'Company Data'!N24</f>
        <v>205</v>
      </c>
      <c r="AG140" s="337">
        <f>-'Company Data'!O24</f>
        <v>71</v>
      </c>
      <c r="AH140" s="337">
        <f>-'Company Data'!P24</f>
        <v>266</v>
      </c>
      <c r="AI140" s="337">
        <f>-'Company Data'!Q24</f>
        <v>161</v>
      </c>
      <c r="AJ140" s="337">
        <f>-'Company Data'!R24</f>
        <v>453</v>
      </c>
      <c r="AK140" s="337">
        <f>-'Company Data'!S24</f>
        <v>475</v>
      </c>
      <c r="AL140" s="187">
        <f t="shared" ref="AL140:AN140" si="625">AL138*AL141</f>
        <v>384.77703344593209</v>
      </c>
      <c r="AM140" s="187">
        <f t="shared" si="625"/>
        <v>336.514599983984</v>
      </c>
      <c r="AN140" s="187">
        <f t="shared" si="625"/>
        <v>556.70199662054733</v>
      </c>
      <c r="AO140" s="21"/>
      <c r="AP140" s="21"/>
      <c r="AQ140" s="21"/>
    </row>
    <row r="141" spans="1:44" x14ac:dyDescent="0.2">
      <c r="E141" s="138" t="s">
        <v>106</v>
      </c>
      <c r="G141" s="63"/>
      <c r="H141" s="63"/>
      <c r="I141" s="353">
        <f>I140/I138</f>
        <v>0.23513694054776219</v>
      </c>
      <c r="J141" s="353">
        <f>J140/J138</f>
        <v>0.31156316916488225</v>
      </c>
      <c r="K141" s="353">
        <f>K140/K138</f>
        <v>0.78676470588235292</v>
      </c>
      <c r="L141" s="353">
        <f>L140/L138</f>
        <v>0.31818181818181818</v>
      </c>
      <c r="M141" s="353">
        <f>M140/M138</f>
        <v>-1.5045045045045045</v>
      </c>
      <c r="N141" s="353">
        <f t="shared" ref="N141:O141" si="626">N140/N138</f>
        <v>0.60586734693877553</v>
      </c>
      <c r="O141" s="353">
        <f t="shared" si="626"/>
        <v>0.32975933632146232</v>
      </c>
      <c r="P141" s="353">
        <f>O141</f>
        <v>0.32975933632146232</v>
      </c>
      <c r="Q141" s="353">
        <f t="shared" ref="Q141:S141" si="627">P141</f>
        <v>0.32975933632146232</v>
      </c>
      <c r="R141" s="353">
        <f t="shared" si="627"/>
        <v>0.32975933632146232</v>
      </c>
      <c r="S141" s="353">
        <f t="shared" si="627"/>
        <v>0.32975933632146232</v>
      </c>
      <c r="T141" s="353"/>
      <c r="U141" s="352">
        <f t="shared" ref="U141" si="628">U140/U138</f>
        <v>0.97727272727272729</v>
      </c>
      <c r="V141" s="352">
        <f t="shared" ref="V141" si="629">V140/V138</f>
        <v>0.80740740740740746</v>
      </c>
      <c r="W141" s="352">
        <f t="shared" ref="W141:X141" si="630">W140/W138</f>
        <v>-2.3714285714285714</v>
      </c>
      <c r="X141" s="352">
        <f t="shared" si="630"/>
        <v>0.57566765578635015</v>
      </c>
      <c r="Y141" s="353">
        <f t="shared" ref="Y141:AJ141" si="631">Y140/Y138</f>
        <v>-0.28125</v>
      </c>
      <c r="Z141" s="353">
        <f t="shared" si="631"/>
        <v>0.44827586206896552</v>
      </c>
      <c r="AA141" s="353">
        <f t="shared" si="631"/>
        <v>0.3</v>
      </c>
      <c r="AB141" s="353">
        <f t="shared" si="631"/>
        <v>0.38997821350762529</v>
      </c>
      <c r="AC141" s="353">
        <f t="shared" si="631"/>
        <v>0.64035087719298245</v>
      </c>
      <c r="AD141" s="353">
        <f t="shared" si="631"/>
        <v>-7.2307692307692308</v>
      </c>
      <c r="AE141" s="353">
        <f t="shared" si="631"/>
        <v>0.30920060331825039</v>
      </c>
      <c r="AF141" s="353">
        <f t="shared" si="631"/>
        <v>0.51898734177215189</v>
      </c>
      <c r="AG141" s="353">
        <f t="shared" si="631"/>
        <v>3.3809523809523809</v>
      </c>
      <c r="AH141" s="353">
        <f t="shared" si="631"/>
        <v>0.73480662983425415</v>
      </c>
      <c r="AI141" s="353">
        <f t="shared" si="631"/>
        <v>0.65182186234817818</v>
      </c>
      <c r="AJ141" s="353">
        <f t="shared" si="631"/>
        <v>0.48294243070362475</v>
      </c>
      <c r="AK141" s="353">
        <f t="shared" ref="AK141" si="632">AK140/AK138</f>
        <v>0.44981060606060608</v>
      </c>
      <c r="AL141" s="353">
        <v>0.3</v>
      </c>
      <c r="AM141" s="353">
        <v>0.3</v>
      </c>
      <c r="AN141" s="353">
        <v>0.3</v>
      </c>
      <c r="AO141" s="94"/>
      <c r="AP141" s="94"/>
      <c r="AQ141" s="94"/>
    </row>
    <row r="142" spans="1:44" outlineLevel="1" x14ac:dyDescent="0.2">
      <c r="F142" s="205" t="s">
        <v>107</v>
      </c>
      <c r="G142" s="111"/>
      <c r="H142" s="111"/>
      <c r="I142" s="181">
        <v>-46</v>
      </c>
      <c r="J142" s="181">
        <v>-100</v>
      </c>
      <c r="K142" s="181">
        <v>-63</v>
      </c>
      <c r="L142" s="181">
        <v>5</v>
      </c>
      <c r="M142" s="181">
        <v>-55</v>
      </c>
      <c r="N142" s="181">
        <v>372</v>
      </c>
      <c r="O142" s="181"/>
      <c r="P142" s="97"/>
      <c r="Q142" s="97"/>
      <c r="R142" s="94"/>
      <c r="S142" s="97"/>
      <c r="T142" s="94"/>
      <c r="U142" s="213"/>
      <c r="V142" s="213"/>
      <c r="W142" s="213"/>
      <c r="X142" s="213"/>
      <c r="Y142" s="48"/>
      <c r="Z142" s="48"/>
      <c r="AA142" s="48"/>
      <c r="AB142" s="48"/>
      <c r="AC142" s="48"/>
      <c r="AD142" s="48"/>
      <c r="AE142" s="48"/>
      <c r="AF142" s="48"/>
      <c r="AG142" s="231">
        <v>-20</v>
      </c>
      <c r="AH142" s="231">
        <v>96</v>
      </c>
      <c r="AI142" s="231">
        <v>81</v>
      </c>
      <c r="AJ142" s="231">
        <v>216</v>
      </c>
      <c r="AK142" s="231">
        <v>47</v>
      </c>
      <c r="AL142" s="23"/>
      <c r="AM142" s="23"/>
      <c r="AN142" s="23"/>
      <c r="AO142" s="234">
        <v>513</v>
      </c>
      <c r="AP142" s="94"/>
      <c r="AQ142" s="94"/>
    </row>
    <row r="143" spans="1:44" x14ac:dyDescent="0.2">
      <c r="F143" s="63"/>
      <c r="G143" s="63"/>
      <c r="H143" s="63"/>
      <c r="I143" s="97"/>
      <c r="J143" s="97"/>
      <c r="K143" s="97"/>
      <c r="L143" s="97"/>
      <c r="M143" s="97"/>
      <c r="N143" s="97"/>
      <c r="O143" s="97"/>
      <c r="P143" s="97"/>
      <c r="Q143" s="97"/>
      <c r="R143" s="94"/>
      <c r="S143" s="97"/>
      <c r="T143" s="94"/>
      <c r="U143" s="94"/>
      <c r="V143" s="94"/>
      <c r="W143" s="94"/>
      <c r="X143" s="94"/>
      <c r="Y143" s="94"/>
      <c r="Z143" s="94"/>
      <c r="AA143" s="94"/>
      <c r="AB143" s="94"/>
      <c r="AC143" s="94"/>
      <c r="AD143" s="94"/>
      <c r="AE143" s="94"/>
      <c r="AF143" s="94"/>
      <c r="AG143" s="94"/>
      <c r="AH143" s="94"/>
      <c r="AI143" s="94"/>
      <c r="AJ143" s="94"/>
      <c r="AK143" s="94"/>
      <c r="AL143" s="94"/>
      <c r="AM143" s="94"/>
      <c r="AN143" s="94"/>
      <c r="AO143" s="234">
        <f>AK144-AO142</f>
        <v>0</v>
      </c>
      <c r="AP143" s="94"/>
      <c r="AQ143" s="94"/>
    </row>
    <row r="144" spans="1:44" s="71" customFormat="1" x14ac:dyDescent="0.2">
      <c r="B144" s="111" t="s">
        <v>108</v>
      </c>
      <c r="I144" s="234">
        <f t="shared" ref="I144:M144" si="633">I138-I140+I139</f>
        <v>1152</v>
      </c>
      <c r="J144" s="234">
        <f t="shared" si="633"/>
        <v>631</v>
      </c>
      <c r="K144" s="234">
        <f t="shared" si="633"/>
        <v>-39</v>
      </c>
      <c r="L144" s="234">
        <f t="shared" si="633"/>
        <v>274</v>
      </c>
      <c r="M144" s="234">
        <f t="shared" si="633"/>
        <v>-241</v>
      </c>
      <c r="N144" s="234">
        <f t="shared" ref="N144:S144" si="634">N138-N140+N139</f>
        <v>596</v>
      </c>
      <c r="O144" s="234">
        <f t="shared" si="634"/>
        <v>3494.9851367844403</v>
      </c>
      <c r="P144" s="234">
        <f t="shared" si="634"/>
        <v>5586.1087997537852</v>
      </c>
      <c r="Q144" s="234">
        <f t="shared" si="634"/>
        <v>7913.4339633381842</v>
      </c>
      <c r="R144" s="234">
        <f t="shared" si="634"/>
        <v>10423.493575433424</v>
      </c>
      <c r="S144" s="234">
        <f t="shared" si="634"/>
        <v>13254.013832580342</v>
      </c>
      <c r="T144" s="234"/>
      <c r="U144" s="234">
        <f t="shared" ref="U144:AF144" si="635">U138-U140+U139</f>
        <v>90</v>
      </c>
      <c r="V144" s="234">
        <f t="shared" si="635"/>
        <v>-4</v>
      </c>
      <c r="W144" s="234">
        <f t="shared" si="635"/>
        <v>-287</v>
      </c>
      <c r="X144" s="234">
        <f t="shared" si="635"/>
        <v>97</v>
      </c>
      <c r="Y144" s="234">
        <f t="shared" si="635"/>
        <v>65</v>
      </c>
      <c r="Z144" s="234">
        <f t="shared" si="635"/>
        <v>5</v>
      </c>
      <c r="AA144" s="234">
        <f t="shared" si="635"/>
        <v>-38</v>
      </c>
      <c r="AB144" s="234">
        <f t="shared" si="635"/>
        <v>247</v>
      </c>
      <c r="AC144" s="234">
        <f t="shared" si="635"/>
        <v>102</v>
      </c>
      <c r="AD144" s="234">
        <f t="shared" si="635"/>
        <v>-112</v>
      </c>
      <c r="AE144" s="234">
        <f t="shared" si="635"/>
        <v>-466</v>
      </c>
      <c r="AF144" s="234">
        <f t="shared" si="635"/>
        <v>180</v>
      </c>
      <c r="AG144" s="234">
        <f>AG138-AG140+AG139</f>
        <v>-57</v>
      </c>
      <c r="AH144" s="234">
        <f t="shared" ref="AH144:AK144" si="636">AH138-AH140+AH139</f>
        <v>92</v>
      </c>
      <c r="AI144" s="234">
        <f t="shared" si="636"/>
        <v>79</v>
      </c>
      <c r="AJ144" s="234">
        <f t="shared" si="636"/>
        <v>482</v>
      </c>
      <c r="AK144" s="234">
        <f t="shared" si="636"/>
        <v>513</v>
      </c>
      <c r="AL144" s="234">
        <f>AL138-AL140</f>
        <v>897.81307804050812</v>
      </c>
      <c r="AM144" s="234">
        <f>AM138-AM140</f>
        <v>785.20073329596266</v>
      </c>
      <c r="AN144" s="234">
        <f>AN138-AN140</f>
        <v>1298.9713254479439</v>
      </c>
      <c r="AO144" s="98"/>
      <c r="AP144" s="98"/>
      <c r="AQ144" s="98"/>
    </row>
    <row r="145" spans="2:43" x14ac:dyDescent="0.2">
      <c r="E145" s="138" t="s">
        <v>78</v>
      </c>
      <c r="F145" s="138"/>
      <c r="G145" s="63"/>
      <c r="H145" s="63"/>
      <c r="I145" s="265" t="s">
        <v>102</v>
      </c>
      <c r="J145" s="196">
        <f>IFERROR(IF(I144&lt;0,-(J144/I144-1),(J144/I144-1)),"NA")</f>
        <v>-0.45225694444444442</v>
      </c>
      <c r="K145" s="196">
        <f t="shared" ref="K145" si="637">IFERROR(IF(J144&lt;0,-(K144/J144-1),(K144/J144-1)),"NA")</f>
        <v>-1.0618066561014263</v>
      </c>
      <c r="L145" s="196">
        <f>IFERROR(IF(K144&lt;0,-(L144/K144-1),(L144/K144-1)),"NA")</f>
        <v>8.0256410256410255</v>
      </c>
      <c r="M145" s="196">
        <f t="shared" ref="M145" si="638">IFERROR(IF(L144&lt;0,-(M144/L144-1),(M144/L144-1)),"NA")</f>
        <v>-1.8795620437956204</v>
      </c>
      <c r="N145" s="196">
        <f t="shared" ref="N145" si="639">IFERROR(IF(M144&lt;0,-(N144/M144-1),(N144/M144-1)),"NA")</f>
        <v>3.4730290456431536</v>
      </c>
      <c r="O145" s="196">
        <f t="shared" ref="O145" si="640">IFERROR(IF(N144&lt;0,-(O144/N144-1),(O144/N144-1)),"NA")</f>
        <v>4.864069021450403</v>
      </c>
      <c r="P145" s="196">
        <f t="shared" ref="P145" si="641">IFERROR(IF(O144&lt;0,-(P144/O144-1),(P144/O144-1)),"NA")</f>
        <v>0.59832118911191778</v>
      </c>
      <c r="Q145" s="196">
        <f t="shared" ref="Q145" si="642">IFERROR(IF(P144&lt;0,-(Q144/P144-1),(Q144/P144-1)),"NA")</f>
        <v>0.41662725288969993</v>
      </c>
      <c r="R145" s="196">
        <f t="shared" ref="R145" si="643">IFERROR(IF(Q144&lt;0,-(R144/Q144-1),(R144/Q144-1)),"NA")</f>
        <v>0.31718968323031316</v>
      </c>
      <c r="S145" s="196">
        <f t="shared" ref="S145" si="644">IFERROR(IF(R144&lt;0,-(S144/R144-1),(S144/R144-1)),"NA")</f>
        <v>0.27155197407307097</v>
      </c>
      <c r="T145" s="204"/>
      <c r="U145" s="265" t="s">
        <v>102</v>
      </c>
      <c r="V145" s="265" t="s">
        <v>102</v>
      </c>
      <c r="W145" s="265" t="s">
        <v>102</v>
      </c>
      <c r="X145" s="265" t="s">
        <v>102</v>
      </c>
      <c r="Y145" s="265" t="s">
        <v>102</v>
      </c>
      <c r="Z145" s="265" t="s">
        <v>102</v>
      </c>
      <c r="AA145" s="265" t="s">
        <v>102</v>
      </c>
      <c r="AB145" s="196">
        <f>IFERROR(IF(X144&lt;0,-(AB144/X144-1),(AB144/X144-1)),"NA")</f>
        <v>1.5463917525773194</v>
      </c>
      <c r="AC145" s="196">
        <f t="shared" ref="AC145:AN145" si="645">IFERROR(IF(Y144&lt;0,-(AC144/Y144-1),(AC144/Y144-1)),"NA")</f>
        <v>0.56923076923076921</v>
      </c>
      <c r="AD145" s="196">
        <f t="shared" si="645"/>
        <v>-23.4</v>
      </c>
      <c r="AE145" s="196">
        <f t="shared" si="645"/>
        <v>-11.263157894736842</v>
      </c>
      <c r="AF145" s="196">
        <f t="shared" si="645"/>
        <v>-0.27125506072874495</v>
      </c>
      <c r="AG145" s="196">
        <f t="shared" si="645"/>
        <v>-1.5588235294117647</v>
      </c>
      <c r="AH145" s="196">
        <f t="shared" si="645"/>
        <v>1.8214285714285714</v>
      </c>
      <c r="AI145" s="196">
        <f t="shared" si="645"/>
        <v>1.1695278969957081</v>
      </c>
      <c r="AJ145" s="196">
        <f t="shared" si="645"/>
        <v>1.6777777777777776</v>
      </c>
      <c r="AK145" s="196">
        <f t="shared" si="645"/>
        <v>10</v>
      </c>
      <c r="AL145" s="196">
        <f t="shared" si="645"/>
        <v>8.758837804788131</v>
      </c>
      <c r="AM145" s="196">
        <f t="shared" si="645"/>
        <v>8.9392497885564897</v>
      </c>
      <c r="AN145" s="196">
        <f t="shared" si="645"/>
        <v>1.6949612561160663</v>
      </c>
      <c r="AO145" s="76"/>
      <c r="AP145" s="76"/>
      <c r="AQ145" s="76"/>
    </row>
    <row r="146" spans="2:43" x14ac:dyDescent="0.2">
      <c r="E146" s="138" t="s">
        <v>80</v>
      </c>
      <c r="F146" s="138"/>
      <c r="G146" s="63"/>
      <c r="H146" s="63"/>
      <c r="I146" s="265" t="s">
        <v>102</v>
      </c>
      <c r="J146" s="244">
        <f>IFERROR(J144-I144,"NA ")</f>
        <v>-521</v>
      </c>
      <c r="K146" s="244">
        <f t="shared" ref="K146" si="646">K144-J144</f>
        <v>-670</v>
      </c>
      <c r="L146" s="244">
        <f t="shared" ref="L146" si="647">L144-K144</f>
        <v>313</v>
      </c>
      <c r="M146" s="244">
        <f t="shared" ref="M146" si="648">M144-L144</f>
        <v>-515</v>
      </c>
      <c r="N146" s="244">
        <f t="shared" ref="N146" si="649">N144-M144</f>
        <v>837</v>
      </c>
      <c r="O146" s="244">
        <f t="shared" ref="O146" si="650">O144-N144</f>
        <v>2898.9851367844403</v>
      </c>
      <c r="P146" s="244">
        <f t="shared" ref="P146" si="651">P144-O144</f>
        <v>2091.1236629693449</v>
      </c>
      <c r="Q146" s="244">
        <f t="shared" ref="Q146" si="652">Q144-P144</f>
        <v>2327.325163584399</v>
      </c>
      <c r="R146" s="244">
        <f t="shared" ref="R146" si="653">R144-Q144</f>
        <v>2510.0596120952396</v>
      </c>
      <c r="S146" s="244">
        <f t="shared" ref="S146" si="654">S144-R144</f>
        <v>2830.5202571469181</v>
      </c>
      <c r="T146" s="244"/>
      <c r="U146" s="265" t="s">
        <v>102</v>
      </c>
      <c r="V146" s="265" t="s">
        <v>102</v>
      </c>
      <c r="W146" s="265" t="s">
        <v>102</v>
      </c>
      <c r="X146" s="265" t="s">
        <v>102</v>
      </c>
      <c r="Y146" s="265" t="s">
        <v>102</v>
      </c>
      <c r="Z146" s="265" t="s">
        <v>102</v>
      </c>
      <c r="AA146" s="265" t="s">
        <v>102</v>
      </c>
      <c r="AB146" s="243">
        <f t="shared" ref="AB146" si="655">IFERROR(AB144-X144,"NA ")</f>
        <v>150</v>
      </c>
      <c r="AC146" s="243">
        <f t="shared" ref="AC146" si="656">IFERROR(AC144-Y144,"NA ")</f>
        <v>37</v>
      </c>
      <c r="AD146" s="243">
        <f t="shared" ref="AD146" si="657">IFERROR(AD144-Z144,"NA ")</f>
        <v>-117</v>
      </c>
      <c r="AE146" s="243">
        <f t="shared" ref="AE146" si="658">IFERROR(AE144-AA144,"NA ")</f>
        <v>-428</v>
      </c>
      <c r="AF146" s="243">
        <f t="shared" ref="AF146" si="659">IFERROR(AF144-AB144,"NA ")</f>
        <v>-67</v>
      </c>
      <c r="AG146" s="243">
        <f t="shared" ref="AG146" si="660">IFERROR(AG144-AC144,"NA ")</f>
        <v>-159</v>
      </c>
      <c r="AH146" s="243">
        <f t="shared" ref="AH146" si="661">IFERROR(AH144-AD144,"NA ")</f>
        <v>204</v>
      </c>
      <c r="AI146" s="243">
        <f t="shared" ref="AI146" si="662">IFERROR(AI144-AE144,"NA ")</f>
        <v>545</v>
      </c>
      <c r="AJ146" s="243">
        <f t="shared" ref="AJ146:AK146" si="663">IFERROR(AJ144-AF144,"NA ")</f>
        <v>302</v>
      </c>
      <c r="AK146" s="243">
        <f t="shared" si="663"/>
        <v>570</v>
      </c>
      <c r="AL146" s="243">
        <f t="shared" ref="AL146" si="664">IFERROR(AL144-AH144,"NA ")</f>
        <v>805.81307804050812</v>
      </c>
      <c r="AM146" s="243">
        <f t="shared" ref="AM146" si="665">IFERROR(AM144-AI144,"NA ")</f>
        <v>706.20073329596266</v>
      </c>
      <c r="AN146" s="243">
        <f t="shared" ref="AN146" si="666">IFERROR(AN144-AJ144,"NA ")</f>
        <v>816.97132544794385</v>
      </c>
      <c r="AO146" s="76"/>
      <c r="AP146" s="76"/>
      <c r="AQ146" s="76"/>
    </row>
    <row r="147" spans="2:43" s="111" customFormat="1" x14ac:dyDescent="0.2">
      <c r="E147" s="138" t="s">
        <v>91</v>
      </c>
      <c r="F147" s="138"/>
      <c r="G147" s="210"/>
      <c r="H147" s="210"/>
      <c r="I147" s="195">
        <f t="shared" ref="I147:S147" si="667">IFERROR(I144/I$79,"NA ")</f>
        <v>3.3680271313296692E-2</v>
      </c>
      <c r="J147" s="196">
        <f t="shared" si="667"/>
        <v>1.3124779000353599E-2</v>
      </c>
      <c r="K147" s="196">
        <f t="shared" si="667"/>
        <v>-6.3837100813513828E-4</v>
      </c>
      <c r="L147" s="196">
        <f t="shared" si="667"/>
        <v>3.6802234997045076E-3</v>
      </c>
      <c r="M147" s="196">
        <f t="shared" si="667"/>
        <v>-2.7082303231896437E-3</v>
      </c>
      <c r="N147" s="196">
        <f t="shared" si="667"/>
        <v>5.5697811337681999E-3</v>
      </c>
      <c r="O147" s="196">
        <f t="shared" si="667"/>
        <v>2.5835341900030659E-2</v>
      </c>
      <c r="P147" s="196">
        <f t="shared" si="667"/>
        <v>3.308502739797195E-2</v>
      </c>
      <c r="Q147" s="196">
        <f t="shared" si="667"/>
        <v>3.8153829875568743E-2</v>
      </c>
      <c r="R147" s="196">
        <f t="shared" si="667"/>
        <v>4.1613324770455734E-2</v>
      </c>
      <c r="S147" s="196">
        <f t="shared" si="667"/>
        <v>4.4540736923473941E-2</v>
      </c>
      <c r="T147" s="213"/>
      <c r="U147" s="195">
        <f>IFERROR(U144/U$79,"NA ")</f>
        <v>6.8259385665529011E-3</v>
      </c>
      <c r="V147" s="195">
        <f>IFERROR(V144/V$79,"NA ")</f>
        <v>-3.1167212092878292E-4</v>
      </c>
      <c r="W147" s="195">
        <f>IFERROR(W144/W$79,"NA ")</f>
        <v>-2.0788063160944517E-2</v>
      </c>
      <c r="X147" s="195">
        <f>IFERROR(X144/X$79,"NA ")</f>
        <v>4.5608425804024829E-3</v>
      </c>
      <c r="Y147" s="195">
        <f t="shared" ref="Y147:AN147" si="668">IFERROR(Y144/Y$79,"NA ")</f>
        <v>4.0448039825762292E-3</v>
      </c>
      <c r="Z147" s="195">
        <f t="shared" si="668"/>
        <v>3.1839021905247071E-4</v>
      </c>
      <c r="AA147" s="195">
        <f t="shared" si="668"/>
        <v>-2.2232623449567048E-3</v>
      </c>
      <c r="AB147" s="195">
        <f t="shared" si="668"/>
        <v>9.6533395865087742E-3</v>
      </c>
      <c r="AC147" s="195">
        <f t="shared" si="668"/>
        <v>5.1669115039764957E-3</v>
      </c>
      <c r="AD147" s="195">
        <f t="shared" si="668"/>
        <v>-5.7911065149948296E-3</v>
      </c>
      <c r="AE147" s="195">
        <f t="shared" si="668"/>
        <v>-2.2644443364594976E-2</v>
      </c>
      <c r="AF147" s="195">
        <f t="shared" si="668"/>
        <v>6.1374795417348605E-3</v>
      </c>
      <c r="AG147" s="195">
        <f t="shared" si="668"/>
        <v>-2.5091341286261389E-3</v>
      </c>
      <c r="AH147" s="195">
        <f t="shared" si="668"/>
        <v>3.9680828121630369E-3</v>
      </c>
      <c r="AI147" s="195">
        <f t="shared" si="668"/>
        <v>3.1153876488682073E-3</v>
      </c>
      <c r="AJ147" s="195">
        <f t="shared" si="668"/>
        <v>1.3483648977536577E-2</v>
      </c>
      <c r="AK147" s="195">
        <f t="shared" ref="AK147" si="669">IFERROR(AK144/AK$79,"NA ")</f>
        <v>1.7611919802252129E-2</v>
      </c>
      <c r="AL147" s="195">
        <f t="shared" si="668"/>
        <v>3.0271815311425518E-2</v>
      </c>
      <c r="AM147" s="195">
        <f t="shared" si="668"/>
        <v>2.4417138346695691E-2</v>
      </c>
      <c r="AN147" s="195">
        <f t="shared" si="668"/>
        <v>2.9298953370618754E-2</v>
      </c>
      <c r="AO147" s="214"/>
      <c r="AP147" s="214"/>
      <c r="AQ147" s="214"/>
    </row>
    <row r="148" spans="2:43" x14ac:dyDescent="0.2">
      <c r="E148" s="138" t="s">
        <v>96</v>
      </c>
      <c r="F148" s="63"/>
      <c r="G148" s="63"/>
      <c r="H148" s="63"/>
      <c r="I148" s="265" t="s">
        <v>102</v>
      </c>
      <c r="J148" s="197">
        <f t="shared" ref="J148:S148" si="670">IFERROR((J144-I144)/(J$79-I$79),"NA ")</f>
        <v>-3.7554962877531899E-2</v>
      </c>
      <c r="K148" s="197">
        <f t="shared" si="670"/>
        <v>-5.1475107559926243E-2</v>
      </c>
      <c r="L148" s="197">
        <f t="shared" si="670"/>
        <v>2.3429897447413729E-2</v>
      </c>
      <c r="M148" s="197">
        <f t="shared" si="670"/>
        <v>-3.5429279031370393E-2</v>
      </c>
      <c r="N148" s="197">
        <f t="shared" si="670"/>
        <v>4.6453546453546456E-2</v>
      </c>
      <c r="O148" s="197">
        <f t="shared" si="670"/>
        <v>0.10253463170086326</v>
      </c>
      <c r="P148" s="197">
        <f t="shared" si="670"/>
        <v>6.2306731596667352E-2</v>
      </c>
      <c r="Q148" s="197">
        <f t="shared" si="670"/>
        <v>6.0343972282392085E-2</v>
      </c>
      <c r="R148" s="197">
        <f t="shared" si="670"/>
        <v>5.8270655331309693E-2</v>
      </c>
      <c r="S148" s="197">
        <f t="shared" si="670"/>
        <v>6.0113733731627775E-2</v>
      </c>
      <c r="T148" s="198"/>
      <c r="U148" s="265" t="s">
        <v>102</v>
      </c>
      <c r="V148" s="265" t="s">
        <v>102</v>
      </c>
      <c r="W148" s="265" t="s">
        <v>102</v>
      </c>
      <c r="X148" s="265" t="s">
        <v>102</v>
      </c>
      <c r="Y148" s="265" t="s">
        <v>102</v>
      </c>
      <c r="Z148" s="265" t="s">
        <v>102</v>
      </c>
      <c r="AA148" s="265" t="s">
        <v>102</v>
      </c>
      <c r="AB148" s="197">
        <f>IFERROR((AB144-X144)/(AB$79-X$79),"NA ")</f>
        <v>3.4730261634637646E-2</v>
      </c>
      <c r="AC148" s="197">
        <f t="shared" ref="AC148:AN148" si="671">IFERROR((AC144-Y144)/(AC$79-Y$79),"NA ")</f>
        <v>1.0078997548351948E-2</v>
      </c>
      <c r="AD148" s="197">
        <f t="shared" si="671"/>
        <v>-3.2178217821782179E-2</v>
      </c>
      <c r="AE148" s="197">
        <f t="shared" si="671"/>
        <v>-0.12274161170060224</v>
      </c>
      <c r="AF148" s="197">
        <f t="shared" si="671"/>
        <v>-1.7909649826249666E-2</v>
      </c>
      <c r="AG148" s="197">
        <f t="shared" si="671"/>
        <v>-5.3427419354838711E-2</v>
      </c>
      <c r="AH148" s="197">
        <f t="shared" si="671"/>
        <v>5.3055916775032512E-2</v>
      </c>
      <c r="AI148" s="197">
        <f t="shared" si="671"/>
        <v>0.11404059426658297</v>
      </c>
      <c r="AJ148" s="197">
        <f t="shared" si="671"/>
        <v>4.7047826764293504E-2</v>
      </c>
      <c r="AK148" s="197">
        <f t="shared" si="671"/>
        <v>8.8909686476368738E-2</v>
      </c>
      <c r="AL148" s="197">
        <f t="shared" si="671"/>
        <v>0.12448099208066338</v>
      </c>
      <c r="AM148" s="197">
        <f t="shared" si="671"/>
        <v>0.1038565528741166</v>
      </c>
      <c r="AN148" s="197">
        <f t="shared" si="671"/>
        <v>9.5128562214360668E-2</v>
      </c>
      <c r="AO148" s="99"/>
      <c r="AP148" s="100"/>
      <c r="AQ148" s="100"/>
    </row>
    <row r="149" spans="2:43" x14ac:dyDescent="0.2">
      <c r="F149" s="16"/>
      <c r="G149" s="16"/>
      <c r="H149" s="16"/>
      <c r="I149" s="101"/>
      <c r="J149" s="101"/>
      <c r="K149" s="101"/>
      <c r="L149" s="101"/>
      <c r="M149" s="101"/>
      <c r="N149" s="101"/>
      <c r="O149" s="101"/>
      <c r="P149" s="101"/>
      <c r="Q149" s="101"/>
      <c r="R149" s="101"/>
      <c r="S149" s="101"/>
      <c r="T149" s="101"/>
      <c r="U149" s="101"/>
      <c r="V149" s="101"/>
      <c r="W149" s="101"/>
      <c r="X149" s="101"/>
      <c r="Y149" s="101"/>
      <c r="Z149" s="102"/>
      <c r="AA149" s="102"/>
      <c r="AB149" s="102"/>
      <c r="AC149" s="102"/>
      <c r="AD149" s="102"/>
      <c r="AE149" s="101"/>
      <c r="AF149" s="101"/>
      <c r="AG149" s="102"/>
      <c r="AH149" s="102"/>
      <c r="AI149" s="102"/>
      <c r="AJ149" s="102"/>
      <c r="AK149" s="102"/>
      <c r="AL149" s="101"/>
      <c r="AM149" s="101"/>
      <c r="AN149" s="101"/>
      <c r="AO149" s="100"/>
      <c r="AP149" s="100"/>
      <c r="AQ149" s="100"/>
    </row>
    <row r="150" spans="2:43" x14ac:dyDescent="0.2">
      <c r="B150" s="17" t="s">
        <v>50</v>
      </c>
      <c r="I150" s="215">
        <f t="shared" ref="I150:S150" si="672">I126+I185</f>
        <v>1928</v>
      </c>
      <c r="J150" s="215">
        <f t="shared" si="672"/>
        <v>1845</v>
      </c>
      <c r="K150" s="215">
        <f t="shared" si="672"/>
        <v>2772</v>
      </c>
      <c r="L150" s="215">
        <f t="shared" si="672"/>
        <v>4003</v>
      </c>
      <c r="M150" s="215">
        <f t="shared" si="672"/>
        <v>4869</v>
      </c>
      <c r="N150" s="215">
        <f t="shared" si="672"/>
        <v>8886</v>
      </c>
      <c r="O150" s="215">
        <f t="shared" si="672"/>
        <v>13433.778033335617</v>
      </c>
      <c r="P150" s="215">
        <f t="shared" si="672"/>
        <v>16982.802069272748</v>
      </c>
      <c r="Q150" s="215">
        <f t="shared" si="672"/>
        <v>21969.516317177317</v>
      </c>
      <c r="R150" s="215">
        <f t="shared" si="672"/>
        <v>27673.408753720141</v>
      </c>
      <c r="S150" s="215">
        <f t="shared" si="672"/>
        <v>34201.067753493691</v>
      </c>
      <c r="T150" s="215"/>
      <c r="U150" s="215">
        <f t="shared" ref="U150:AN150" si="673">U126+U185</f>
        <v>609</v>
      </c>
      <c r="V150" s="215">
        <f t="shared" si="673"/>
        <v>581</v>
      </c>
      <c r="W150" s="215">
        <f t="shared" si="673"/>
        <v>514</v>
      </c>
      <c r="X150" s="215">
        <f t="shared" si="673"/>
        <v>1067</v>
      </c>
      <c r="Y150" s="245">
        <f t="shared" si="673"/>
        <v>864</v>
      </c>
      <c r="Z150" s="245">
        <f t="shared" si="673"/>
        <v>848</v>
      </c>
      <c r="AA150" s="245">
        <f t="shared" si="673"/>
        <v>812</v>
      </c>
      <c r="AB150" s="245">
        <f t="shared" si="673"/>
        <v>1480</v>
      </c>
      <c r="AC150" s="245">
        <f t="shared" si="673"/>
        <v>1150</v>
      </c>
      <c r="AD150" s="245">
        <f t="shared" si="673"/>
        <v>1108</v>
      </c>
      <c r="AE150" s="245">
        <f t="shared" si="673"/>
        <v>674</v>
      </c>
      <c r="AF150" s="245">
        <f t="shared" si="673"/>
        <v>1937</v>
      </c>
      <c r="AG150" s="245">
        <f t="shared" si="673"/>
        <v>1661</v>
      </c>
      <c r="AH150" s="245">
        <f t="shared" si="673"/>
        <v>2064</v>
      </c>
      <c r="AI150" s="245">
        <f t="shared" si="673"/>
        <v>2086</v>
      </c>
      <c r="AJ150" s="245">
        <f t="shared" si="673"/>
        <v>3076</v>
      </c>
      <c r="AK150" s="245">
        <f t="shared" si="673"/>
        <v>2945</v>
      </c>
      <c r="AL150" s="245">
        <f t="shared" si="673"/>
        <v>3302.749013192074</v>
      </c>
      <c r="AM150" s="245">
        <f t="shared" si="673"/>
        <v>3175.7633851351102</v>
      </c>
      <c r="AN150" s="245">
        <f t="shared" si="673"/>
        <v>4010.265635008408</v>
      </c>
      <c r="AO150" s="62"/>
      <c r="AP150" s="42"/>
      <c r="AQ150" s="42"/>
    </row>
    <row r="151" spans="2:43" x14ac:dyDescent="0.2">
      <c r="E151" s="138" t="s">
        <v>78</v>
      </c>
      <c r="F151" s="63"/>
      <c r="G151" s="63"/>
      <c r="H151" s="63"/>
      <c r="I151" s="265" t="s">
        <v>102</v>
      </c>
      <c r="J151" s="196">
        <f t="shared" ref="J151" si="674">IFERROR(J150/I150-1,"NA")</f>
        <v>-4.304979253112029E-2</v>
      </c>
      <c r="K151" s="196">
        <f t="shared" ref="K151" si="675">IFERROR(K150/J150-1,"NA")</f>
        <v>0.5024390243902439</v>
      </c>
      <c r="L151" s="196">
        <f t="shared" ref="L151" si="676">IFERROR(L150/K150-1,"NA")</f>
        <v>0.44408369408369408</v>
      </c>
      <c r="M151" s="196">
        <f t="shared" ref="M151" si="677">IFERROR(M150/L150-1,"NA")</f>
        <v>0.21633774668998251</v>
      </c>
      <c r="N151" s="196">
        <f t="shared" ref="N151" si="678">IFERROR(N150/M150-1,"NA")</f>
        <v>0.82501540357362901</v>
      </c>
      <c r="O151" s="196">
        <f t="shared" ref="O151" si="679">IFERROR(O150/N150-1,"NA")</f>
        <v>0.51179136094256328</v>
      </c>
      <c r="P151" s="196">
        <f t="shared" ref="P151" si="680">IFERROR(P150/O150-1,"NA")</f>
        <v>0.26418659197213978</v>
      </c>
      <c r="Q151" s="196">
        <f t="shared" ref="Q151" si="681">IFERROR(Q150/P150-1,"NA")</f>
        <v>0.29363318418031326</v>
      </c>
      <c r="R151" s="196">
        <f t="shared" ref="R151" si="682">IFERROR(R150/Q150-1,"NA")</f>
        <v>0.25962758370256522</v>
      </c>
      <c r="S151" s="196">
        <f t="shared" ref="S151" si="683">IFERROR(S150/R150-1,"NA")</f>
        <v>0.23588199986010161</v>
      </c>
      <c r="T151" s="216"/>
      <c r="U151" s="265" t="s">
        <v>102</v>
      </c>
      <c r="V151" s="265" t="s">
        <v>102</v>
      </c>
      <c r="W151" s="265" t="s">
        <v>102</v>
      </c>
      <c r="X151" s="265" t="s">
        <v>102</v>
      </c>
      <c r="Y151" s="265" t="s">
        <v>102</v>
      </c>
      <c r="Z151" s="265" t="s">
        <v>102</v>
      </c>
      <c r="AA151" s="265" t="s">
        <v>102</v>
      </c>
      <c r="AB151" s="196">
        <f>IFERROR(IF(X150&lt;0,-(AB150/X150-1),(AB150/X150-1)),"NA")</f>
        <v>0.38706654170571686</v>
      </c>
      <c r="AC151" s="196">
        <f t="shared" ref="AC151:AN151" si="684">IFERROR(IF(Y150&lt;0,-(AC150/Y150-1),(AC150/Y150-1)),"NA")</f>
        <v>0.3310185185185186</v>
      </c>
      <c r="AD151" s="196">
        <f t="shared" si="684"/>
        <v>0.30660377358490565</v>
      </c>
      <c r="AE151" s="196">
        <f t="shared" si="684"/>
        <v>-0.16995073891625612</v>
      </c>
      <c r="AF151" s="196">
        <f t="shared" si="684"/>
        <v>0.30878378378378368</v>
      </c>
      <c r="AG151" s="196">
        <f t="shared" si="684"/>
        <v>0.44434782608695644</v>
      </c>
      <c r="AH151" s="196">
        <f t="shared" si="684"/>
        <v>0.86281588447653434</v>
      </c>
      <c r="AI151" s="196">
        <f t="shared" si="684"/>
        <v>2.0949554896142435</v>
      </c>
      <c r="AJ151" s="196">
        <f t="shared" si="684"/>
        <v>0.58802271553949415</v>
      </c>
      <c r="AK151" s="196">
        <f t="shared" si="684"/>
        <v>0.77302829620710423</v>
      </c>
      <c r="AL151" s="196">
        <f t="shared" si="684"/>
        <v>0.60016909553879549</v>
      </c>
      <c r="AM151" s="196">
        <f t="shared" si="684"/>
        <v>0.52241773017023507</v>
      </c>
      <c r="AN151" s="196">
        <f t="shared" si="684"/>
        <v>0.30372744961261633</v>
      </c>
      <c r="AO151" s="100"/>
      <c r="AP151" s="100"/>
      <c r="AQ151" s="100"/>
    </row>
    <row r="152" spans="2:43" x14ac:dyDescent="0.2">
      <c r="E152" s="138" t="s">
        <v>80</v>
      </c>
      <c r="F152" s="63"/>
      <c r="G152" s="63"/>
      <c r="H152" s="63"/>
      <c r="I152" s="265" t="s">
        <v>102</v>
      </c>
      <c r="J152" s="244">
        <f>IFERROR(J150-I150,"NA ")</f>
        <v>-83</v>
      </c>
      <c r="K152" s="244">
        <f t="shared" ref="K152" si="685">K150-J150</f>
        <v>927</v>
      </c>
      <c r="L152" s="244">
        <f t="shared" ref="L152" si="686">L150-K150</f>
        <v>1231</v>
      </c>
      <c r="M152" s="244">
        <f t="shared" ref="M152" si="687">M150-L150</f>
        <v>866</v>
      </c>
      <c r="N152" s="244">
        <f t="shared" ref="N152" si="688">N150-M150</f>
        <v>4017</v>
      </c>
      <c r="O152" s="244">
        <f t="shared" ref="O152" si="689">O150-N150</f>
        <v>4547.7780333356168</v>
      </c>
      <c r="P152" s="244">
        <f t="shared" ref="P152" si="690">P150-O150</f>
        <v>3549.024035937131</v>
      </c>
      <c r="Q152" s="244">
        <f t="shared" ref="Q152" si="691">Q150-P150</f>
        <v>4986.7142479045688</v>
      </c>
      <c r="R152" s="244">
        <f t="shared" ref="R152" si="692">R150-Q150</f>
        <v>5703.8924365428247</v>
      </c>
      <c r="S152" s="244">
        <f t="shared" ref="S152" si="693">S150-R150</f>
        <v>6527.65899977355</v>
      </c>
      <c r="T152" s="244"/>
      <c r="U152" s="265" t="s">
        <v>102</v>
      </c>
      <c r="V152" s="265" t="s">
        <v>102</v>
      </c>
      <c r="W152" s="265" t="s">
        <v>102</v>
      </c>
      <c r="X152" s="265" t="s">
        <v>102</v>
      </c>
      <c r="Y152" s="265" t="s">
        <v>102</v>
      </c>
      <c r="Z152" s="265" t="s">
        <v>102</v>
      </c>
      <c r="AA152" s="265" t="s">
        <v>102</v>
      </c>
      <c r="AB152" s="243">
        <f t="shared" ref="AB152" si="694">IFERROR(AB150-X150,"NA ")</f>
        <v>413</v>
      </c>
      <c r="AC152" s="243">
        <f t="shared" ref="AC152" si="695">IFERROR(AC150-Y150,"NA ")</f>
        <v>286</v>
      </c>
      <c r="AD152" s="243">
        <f t="shared" ref="AD152" si="696">IFERROR(AD150-Z150,"NA ")</f>
        <v>260</v>
      </c>
      <c r="AE152" s="243">
        <f t="shared" ref="AE152" si="697">IFERROR(AE150-AA150,"NA ")</f>
        <v>-138</v>
      </c>
      <c r="AF152" s="243">
        <f t="shared" ref="AF152" si="698">IFERROR(AF150-AB150,"NA ")</f>
        <v>457</v>
      </c>
      <c r="AG152" s="243">
        <f t="shared" ref="AG152" si="699">IFERROR(AG150-AC150,"NA ")</f>
        <v>511</v>
      </c>
      <c r="AH152" s="243">
        <f t="shared" ref="AH152" si="700">IFERROR(AH150-AD150,"NA ")</f>
        <v>956</v>
      </c>
      <c r="AI152" s="243">
        <f t="shared" ref="AI152" si="701">IFERROR(AI150-AE150,"NA ")</f>
        <v>1412</v>
      </c>
      <c r="AJ152" s="243">
        <f t="shared" ref="AJ152:AK152" si="702">IFERROR(AJ150-AF150,"NA ")</f>
        <v>1139</v>
      </c>
      <c r="AK152" s="243">
        <f t="shared" si="702"/>
        <v>1284</v>
      </c>
      <c r="AL152" s="243">
        <f t="shared" ref="AL152" si="703">IFERROR(AL150-AH150,"NA ")</f>
        <v>1238.749013192074</v>
      </c>
      <c r="AM152" s="243">
        <f t="shared" ref="AM152" si="704">IFERROR(AM150-AI150,"NA ")</f>
        <v>1089.7633851351102</v>
      </c>
      <c r="AN152" s="243">
        <f t="shared" ref="AN152" si="705">IFERROR(AN150-AJ150,"NA ")</f>
        <v>934.26563500840803</v>
      </c>
      <c r="AO152" s="100"/>
      <c r="AP152" s="100"/>
      <c r="AQ152" s="100"/>
    </row>
    <row r="153" spans="2:43" x14ac:dyDescent="0.2">
      <c r="E153" s="138" t="s">
        <v>91</v>
      </c>
      <c r="F153" s="63"/>
      <c r="G153" s="63"/>
      <c r="H153" s="63"/>
      <c r="I153" s="195">
        <f t="shared" ref="I153:S153" si="706">IFERROR(I150/I$79,"NA ")</f>
        <v>5.6367676295170158E-2</v>
      </c>
      <c r="J153" s="196">
        <f t="shared" si="706"/>
        <v>3.8375938598498242E-2</v>
      </c>
      <c r="K153" s="196">
        <f t="shared" si="706"/>
        <v>4.5373447039759054E-2</v>
      </c>
      <c r="L153" s="196">
        <f t="shared" si="706"/>
        <v>5.3766184924515126E-2</v>
      </c>
      <c r="M153" s="196">
        <f t="shared" si="706"/>
        <v>5.471524250460736E-2</v>
      </c>
      <c r="N153" s="196">
        <f t="shared" si="706"/>
        <v>8.3042072407154735E-2</v>
      </c>
      <c r="O153" s="196">
        <f t="shared" si="706"/>
        <v>9.9304069950828258E-2</v>
      </c>
      <c r="P153" s="196">
        <f t="shared" si="706"/>
        <v>0.10058459151046056</v>
      </c>
      <c r="Q153" s="196">
        <f t="shared" si="706"/>
        <v>0.10592382420798285</v>
      </c>
      <c r="R153" s="196">
        <f t="shared" si="706"/>
        <v>0.11047951798888546</v>
      </c>
      <c r="S153" s="196">
        <f t="shared" si="706"/>
        <v>0.11493429692714457</v>
      </c>
      <c r="T153" s="216"/>
      <c r="U153" s="195">
        <f>IFERROR(U150/U$79,"NA ")</f>
        <v>4.6188850967007963E-2</v>
      </c>
      <c r="V153" s="195">
        <f>IFERROR(V150/V$79,"NA ")</f>
        <v>4.5270375564905721E-2</v>
      </c>
      <c r="W153" s="195">
        <f>IFERROR(W150/W$79,"NA ")</f>
        <v>3.7230189772562657E-2</v>
      </c>
      <c r="X153" s="195">
        <f>IFERROR(X150/X$79,"NA ")</f>
        <v>5.0169268384427305E-2</v>
      </c>
      <c r="Y153" s="195">
        <f t="shared" ref="Y153:AN153" si="707">IFERROR(Y150/Y$79,"NA ")</f>
        <v>5.3764779091474799E-2</v>
      </c>
      <c r="Z153" s="195">
        <f t="shared" si="707"/>
        <v>5.399898115129903E-2</v>
      </c>
      <c r="AA153" s="195">
        <f t="shared" si="707"/>
        <v>4.7507605897495905E-2</v>
      </c>
      <c r="AB153" s="195">
        <f t="shared" si="707"/>
        <v>5.7841872826044478E-2</v>
      </c>
      <c r="AC153" s="195">
        <f t="shared" si="707"/>
        <v>5.8254394407578139E-2</v>
      </c>
      <c r="AD153" s="195">
        <f t="shared" si="707"/>
        <v>5.7290589451913135E-2</v>
      </c>
      <c r="AE153" s="195">
        <f t="shared" si="707"/>
        <v>3.2751834394285438E-2</v>
      </c>
      <c r="AF153" s="195">
        <f t="shared" si="707"/>
        <v>6.6046099290780147E-2</v>
      </c>
      <c r="AG153" s="195">
        <f t="shared" si="707"/>
        <v>7.3117048906105556E-2</v>
      </c>
      <c r="AH153" s="195">
        <f t="shared" si="707"/>
        <v>8.9023075264179422E-2</v>
      </c>
      <c r="AI153" s="195">
        <f t="shared" si="707"/>
        <v>8.2262008044798482E-2</v>
      </c>
      <c r="AJ153" s="195">
        <f t="shared" si="707"/>
        <v>8.6049178952079891E-2</v>
      </c>
      <c r="AK153" s="195">
        <f t="shared" ref="AK153" si="708">IFERROR(AK150/AK$79,"NA ")</f>
        <v>0.10110546553144741</v>
      </c>
      <c r="AL153" s="195">
        <f t="shared" si="707"/>
        <v>0.11135971461403948</v>
      </c>
      <c r="AM153" s="195">
        <f t="shared" si="707"/>
        <v>9.8755707480964128E-2</v>
      </c>
      <c r="AN153" s="195">
        <f t="shared" si="707"/>
        <v>9.045356394098078E-2</v>
      </c>
      <c r="AO153" s="100"/>
      <c r="AP153" s="100"/>
      <c r="AQ153" s="100"/>
    </row>
    <row r="154" spans="2:43" x14ac:dyDescent="0.2">
      <c r="E154" s="138" t="s">
        <v>96</v>
      </c>
      <c r="F154" s="63"/>
      <c r="G154" s="63"/>
      <c r="H154" s="63"/>
      <c r="I154" s="265" t="s">
        <v>102</v>
      </c>
      <c r="J154" s="197">
        <f t="shared" ref="J154:S154" si="709">IFERROR((J150-I150)/(J$79-I$79),"NA ")</f>
        <v>-5.982844373963815E-3</v>
      </c>
      <c r="K154" s="197">
        <f t="shared" si="709"/>
        <v>7.1220036877688991E-2</v>
      </c>
      <c r="L154" s="197">
        <f t="shared" si="709"/>
        <v>9.2147615839508951E-2</v>
      </c>
      <c r="M154" s="197">
        <f t="shared" si="709"/>
        <v>5.9576224545954869E-2</v>
      </c>
      <c r="N154" s="197">
        <f t="shared" si="709"/>
        <v>0.22294372294372294</v>
      </c>
      <c r="O154" s="197">
        <f t="shared" si="709"/>
        <v>0.16085103017208627</v>
      </c>
      <c r="P154" s="197">
        <f t="shared" si="709"/>
        <v>0.10574605985915696</v>
      </c>
      <c r="Q154" s="197">
        <f t="shared" si="709"/>
        <v>0.12929785277288364</v>
      </c>
      <c r="R154" s="197">
        <f t="shared" si="709"/>
        <v>0.13241500266171369</v>
      </c>
      <c r="S154" s="197">
        <f t="shared" si="709"/>
        <v>0.13863244893317975</v>
      </c>
      <c r="T154" s="216"/>
      <c r="U154" s="265" t="s">
        <v>102</v>
      </c>
      <c r="V154" s="265" t="s">
        <v>102</v>
      </c>
      <c r="W154" s="265" t="s">
        <v>102</v>
      </c>
      <c r="X154" s="265" t="s">
        <v>102</v>
      </c>
      <c r="Y154" s="265" t="s">
        <v>102</v>
      </c>
      <c r="Z154" s="265" t="s">
        <v>102</v>
      </c>
      <c r="AA154" s="265" t="s">
        <v>102</v>
      </c>
      <c r="AB154" s="197">
        <f>IFERROR((AB150-X150)/(AB$79-X$79),"NA ")</f>
        <v>9.5623987034035657E-2</v>
      </c>
      <c r="AC154" s="197">
        <f t="shared" ref="AC154:AN154" si="710">IFERROR((AC150-Y150)/(AC$79-Y$79),"NA ")</f>
        <v>7.7907926995369109E-2</v>
      </c>
      <c r="AD154" s="197">
        <f t="shared" si="710"/>
        <v>7.1507150715071507E-2</v>
      </c>
      <c r="AE154" s="197">
        <f t="shared" si="710"/>
        <v>-3.9575566389446516E-2</v>
      </c>
      <c r="AF154" s="197">
        <f t="shared" si="710"/>
        <v>0.12215985030740444</v>
      </c>
      <c r="AG154" s="197">
        <f t="shared" si="710"/>
        <v>0.17170698924731181</v>
      </c>
      <c r="AH154" s="197">
        <f t="shared" si="710"/>
        <v>0.24863459037711313</v>
      </c>
      <c r="AI154" s="197">
        <f t="shared" si="710"/>
        <v>0.29545930110901863</v>
      </c>
      <c r="AJ154" s="197">
        <f t="shared" si="710"/>
        <v>0.17744196915407384</v>
      </c>
      <c r="AK154" s="197">
        <f t="shared" si="710"/>
        <v>0.200280767430978</v>
      </c>
      <c r="AL154" s="197">
        <f t="shared" si="710"/>
        <v>0.1913603915141974</v>
      </c>
      <c r="AM154" s="197">
        <f t="shared" si="710"/>
        <v>0.16026472827397714</v>
      </c>
      <c r="AN154" s="197">
        <f t="shared" si="710"/>
        <v>0.10878637207481712</v>
      </c>
      <c r="AO154" s="100"/>
      <c r="AP154" s="100"/>
      <c r="AQ154" s="100"/>
    </row>
    <row r="155" spans="2:43" x14ac:dyDescent="0.2">
      <c r="E155" s="138"/>
      <c r="F155" s="63"/>
      <c r="G155" s="16" t="s">
        <v>303</v>
      </c>
      <c r="H155" s="63"/>
      <c r="I155" s="265"/>
      <c r="J155" s="197"/>
      <c r="K155" s="197"/>
      <c r="L155" s="197"/>
      <c r="M155" s="197"/>
      <c r="N155" s="197"/>
      <c r="O155" s="197"/>
      <c r="P155" s="197"/>
      <c r="Q155" s="197"/>
      <c r="R155" s="197"/>
      <c r="S155" s="197"/>
      <c r="T155" s="216"/>
      <c r="U155" s="265"/>
      <c r="V155" s="265"/>
      <c r="W155" s="265"/>
      <c r="X155" s="265"/>
      <c r="Y155" s="265"/>
      <c r="Z155" s="265"/>
      <c r="AA155" s="265"/>
      <c r="AB155" s="197"/>
      <c r="AC155" s="197"/>
      <c r="AD155" s="197"/>
      <c r="AE155" s="197"/>
      <c r="AF155" s="197"/>
      <c r="AG155" s="197"/>
      <c r="AH155" s="197"/>
      <c r="AI155" s="197"/>
      <c r="AJ155" s="197"/>
      <c r="AK155" s="197"/>
      <c r="AL155" s="197"/>
      <c r="AM155" s="197"/>
      <c r="AN155" s="197"/>
      <c r="AO155" s="100"/>
      <c r="AP155" s="100"/>
      <c r="AQ155" s="100"/>
    </row>
    <row r="156" spans="2:43" x14ac:dyDescent="0.2">
      <c r="E156" s="78"/>
      <c r="F156" s="63"/>
      <c r="G156" s="63"/>
      <c r="H156" s="63"/>
      <c r="I156" s="76"/>
      <c r="J156" s="64"/>
      <c r="K156" s="64"/>
      <c r="L156" s="64"/>
      <c r="M156" s="64"/>
      <c r="N156" s="64"/>
      <c r="O156" s="64"/>
      <c r="P156" s="64"/>
      <c r="Q156" s="64"/>
      <c r="R156" s="76"/>
      <c r="S156" s="64"/>
      <c r="T156" s="76"/>
      <c r="AA156" s="64"/>
      <c r="AB156" s="64"/>
      <c r="AC156" s="64"/>
      <c r="AD156" s="64"/>
      <c r="AE156" s="64"/>
      <c r="AF156" s="64"/>
      <c r="AG156" s="64"/>
      <c r="AH156" s="64"/>
      <c r="AI156" s="64"/>
      <c r="AJ156" s="64"/>
      <c r="AK156" s="64"/>
      <c r="AL156" s="64"/>
      <c r="AM156" s="64"/>
      <c r="AN156" s="64"/>
      <c r="AO156" s="100"/>
      <c r="AP156" s="100"/>
      <c r="AQ156" s="100"/>
    </row>
    <row r="157" spans="2:43" x14ac:dyDescent="0.2">
      <c r="C157" s="17" t="s">
        <v>109</v>
      </c>
      <c r="I157" s="246">
        <f t="shared" ref="I157:S157" si="711">I126</f>
        <v>1360</v>
      </c>
      <c r="J157" s="246">
        <f t="shared" si="711"/>
        <v>762</v>
      </c>
      <c r="K157" s="246">
        <f t="shared" si="711"/>
        <v>613</v>
      </c>
      <c r="L157" s="246">
        <f t="shared" si="711"/>
        <v>750</v>
      </c>
      <c r="M157" s="246">
        <f t="shared" si="711"/>
        <v>123</v>
      </c>
      <c r="N157" s="246">
        <f t="shared" si="711"/>
        <v>2605</v>
      </c>
      <c r="O157" s="246">
        <f t="shared" si="711"/>
        <v>5679.3413327312883</v>
      </c>
      <c r="P157" s="246">
        <f t="shared" si="711"/>
        <v>8801.7012871630432</v>
      </c>
      <c r="Q157" s="246">
        <f t="shared" si="711"/>
        <v>12302.07206409669</v>
      </c>
      <c r="R157" s="246">
        <f t="shared" si="711"/>
        <v>16072.566662629164</v>
      </c>
      <c r="S157" s="246">
        <f t="shared" si="711"/>
        <v>20317.752278307627</v>
      </c>
      <c r="T157" s="246"/>
      <c r="U157" s="246">
        <f t="shared" ref="U157:AN157" si="712">U126</f>
        <v>152</v>
      </c>
      <c r="V157" s="246">
        <f t="shared" si="712"/>
        <v>96</v>
      </c>
      <c r="W157" s="246">
        <f t="shared" si="712"/>
        <v>-41</v>
      </c>
      <c r="X157" s="246">
        <f t="shared" si="712"/>
        <v>405</v>
      </c>
      <c r="Y157" s="246">
        <f t="shared" si="712"/>
        <v>164</v>
      </c>
      <c r="Z157" s="246">
        <f t="shared" si="712"/>
        <v>91</v>
      </c>
      <c r="AA157" s="246">
        <f t="shared" si="712"/>
        <v>-22</v>
      </c>
      <c r="AB157" s="246">
        <f t="shared" si="712"/>
        <v>518</v>
      </c>
      <c r="AC157" s="246">
        <f t="shared" si="712"/>
        <v>140</v>
      </c>
      <c r="AD157" s="246">
        <f t="shared" si="712"/>
        <v>-1</v>
      </c>
      <c r="AE157" s="246">
        <f t="shared" si="712"/>
        <v>-573</v>
      </c>
      <c r="AF157" s="246">
        <f t="shared" si="712"/>
        <v>557</v>
      </c>
      <c r="AG157" s="246">
        <f t="shared" si="712"/>
        <v>235</v>
      </c>
      <c r="AH157" s="246">
        <f t="shared" si="712"/>
        <v>560</v>
      </c>
      <c r="AI157" s="246">
        <f t="shared" si="712"/>
        <v>487</v>
      </c>
      <c r="AJ157" s="246">
        <f t="shared" si="712"/>
        <v>1324</v>
      </c>
      <c r="AK157" s="246">
        <f t="shared" si="712"/>
        <v>1118</v>
      </c>
      <c r="AL157" s="246">
        <f t="shared" si="712"/>
        <v>1380.0367372531618</v>
      </c>
      <c r="AM157" s="246">
        <f t="shared" si="712"/>
        <v>1220.7944415747297</v>
      </c>
      <c r="AN157" s="246">
        <f t="shared" si="712"/>
        <v>1960.5101539033712</v>
      </c>
      <c r="AO157" s="62"/>
      <c r="AP157" s="42"/>
      <c r="AQ157" s="42"/>
    </row>
    <row r="158" spans="2:43" x14ac:dyDescent="0.2">
      <c r="E158" s="138" t="s">
        <v>78</v>
      </c>
      <c r="F158" s="63"/>
      <c r="G158" s="63"/>
      <c r="H158" s="63"/>
      <c r="I158" s="265" t="s">
        <v>102</v>
      </c>
      <c r="J158" s="196">
        <f>IFERROR(IF(I157&lt;0,-(J157/I157-1),(J157/I157-1)),"NA")</f>
        <v>-0.43970588235294117</v>
      </c>
      <c r="K158" s="196">
        <f t="shared" ref="K158:S158" si="713">IFERROR(IF(J157&lt;0,-(K157/J157-1),(K157/J157-1)),"NA")</f>
        <v>-0.1955380577427821</v>
      </c>
      <c r="L158" s="196">
        <f t="shared" si="713"/>
        <v>0.22349102773246332</v>
      </c>
      <c r="M158" s="196">
        <f t="shared" si="713"/>
        <v>-0.83599999999999997</v>
      </c>
      <c r="N158" s="196">
        <f t="shared" si="713"/>
        <v>20.178861788617887</v>
      </c>
      <c r="O158" s="196">
        <f t="shared" si="713"/>
        <v>1.1801694175551969</v>
      </c>
      <c r="P158" s="196">
        <f t="shared" si="713"/>
        <v>0.54977501289399711</v>
      </c>
      <c r="Q158" s="196">
        <f t="shared" si="713"/>
        <v>0.39769252133548427</v>
      </c>
      <c r="R158" s="196">
        <f t="shared" si="713"/>
        <v>0.30649264440065949</v>
      </c>
      <c r="S158" s="196">
        <f t="shared" si="713"/>
        <v>0.2641261787732434</v>
      </c>
      <c r="T158" s="263"/>
      <c r="U158" s="265" t="s">
        <v>102</v>
      </c>
      <c r="V158" s="265" t="s">
        <v>102</v>
      </c>
      <c r="W158" s="265" t="s">
        <v>102</v>
      </c>
      <c r="X158" s="265" t="s">
        <v>102</v>
      </c>
      <c r="Y158" s="265" t="s">
        <v>102</v>
      </c>
      <c r="Z158" s="265" t="s">
        <v>102</v>
      </c>
      <c r="AA158" s="265" t="s">
        <v>102</v>
      </c>
      <c r="AB158" s="196">
        <f>IFERROR(IF(X157&lt;0,-(AB157/X157-1),(AB157/X157-1)),"NA")</f>
        <v>0.27901234567901234</v>
      </c>
      <c r="AC158" s="196">
        <f t="shared" ref="AC158:AN158" si="714">IFERROR(IF(Y157&lt;0,-(AC157/Y157-1),(AC157/Y157-1)),"NA")</f>
        <v>-0.14634146341463417</v>
      </c>
      <c r="AD158" s="196">
        <f t="shared" si="714"/>
        <v>-1.0109890109890109</v>
      </c>
      <c r="AE158" s="196">
        <f t="shared" si="714"/>
        <v>-25.045454545454547</v>
      </c>
      <c r="AF158" s="196">
        <f t="shared" si="714"/>
        <v>7.528957528957525E-2</v>
      </c>
      <c r="AG158" s="196">
        <f t="shared" si="714"/>
        <v>0.6785714285714286</v>
      </c>
      <c r="AH158" s="196">
        <f t="shared" si="714"/>
        <v>561</v>
      </c>
      <c r="AI158" s="196">
        <f t="shared" si="714"/>
        <v>1.8499127399650961</v>
      </c>
      <c r="AJ158" s="196">
        <f t="shared" si="714"/>
        <v>1.3770197486535007</v>
      </c>
      <c r="AK158" s="196">
        <f t="shared" si="714"/>
        <v>3.7574468085106387</v>
      </c>
      <c r="AL158" s="196">
        <f t="shared" si="714"/>
        <v>1.4643513165235031</v>
      </c>
      <c r="AM158" s="196">
        <f t="shared" si="714"/>
        <v>1.5067647670939008</v>
      </c>
      <c r="AN158" s="196">
        <f t="shared" si="714"/>
        <v>0.48074785038018986</v>
      </c>
      <c r="AO158" s="100"/>
      <c r="AP158" s="100"/>
      <c r="AQ158" s="100"/>
    </row>
    <row r="159" spans="2:43" x14ac:dyDescent="0.2">
      <c r="E159" s="138" t="s">
        <v>80</v>
      </c>
      <c r="F159" s="63"/>
      <c r="G159" s="63"/>
      <c r="H159" s="63"/>
      <c r="I159" s="265" t="s">
        <v>102</v>
      </c>
      <c r="J159" s="244">
        <f>IFERROR(J157-I157,"NA ")</f>
        <v>-598</v>
      </c>
      <c r="K159" s="244">
        <f t="shared" ref="K159" si="715">K157-J157</f>
        <v>-149</v>
      </c>
      <c r="L159" s="244">
        <f t="shared" ref="L159" si="716">L157-K157</f>
        <v>137</v>
      </c>
      <c r="M159" s="244">
        <f t="shared" ref="M159" si="717">M157-L157</f>
        <v>-627</v>
      </c>
      <c r="N159" s="244">
        <f t="shared" ref="N159" si="718">N157-M157</f>
        <v>2482</v>
      </c>
      <c r="O159" s="244">
        <f t="shared" ref="O159" si="719">O157-N157</f>
        <v>3074.3413327312883</v>
      </c>
      <c r="P159" s="244">
        <f t="shared" ref="P159" si="720">P157-O157</f>
        <v>3122.3599544317549</v>
      </c>
      <c r="Q159" s="244">
        <f t="shared" ref="Q159" si="721">Q157-P157</f>
        <v>3500.370776933647</v>
      </c>
      <c r="R159" s="244">
        <f t="shared" ref="R159" si="722">R157-Q157</f>
        <v>3770.4945985324739</v>
      </c>
      <c r="S159" s="244">
        <f t="shared" ref="S159" si="723">S157-R157</f>
        <v>4245.1856156784634</v>
      </c>
      <c r="T159" s="244"/>
      <c r="U159" s="265" t="s">
        <v>102</v>
      </c>
      <c r="V159" s="265" t="s">
        <v>102</v>
      </c>
      <c r="W159" s="265" t="s">
        <v>102</v>
      </c>
      <c r="X159" s="265" t="s">
        <v>102</v>
      </c>
      <c r="Y159" s="265" t="s">
        <v>102</v>
      </c>
      <c r="Z159" s="265" t="s">
        <v>102</v>
      </c>
      <c r="AA159" s="265" t="s">
        <v>102</v>
      </c>
      <c r="AB159" s="243">
        <f t="shared" ref="AB159" si="724">IFERROR(AB157-X157,"NA ")</f>
        <v>113</v>
      </c>
      <c r="AC159" s="243">
        <f t="shared" ref="AC159" si="725">IFERROR(AC157-Y157,"NA ")</f>
        <v>-24</v>
      </c>
      <c r="AD159" s="243">
        <f t="shared" ref="AD159" si="726">IFERROR(AD157-Z157,"NA ")</f>
        <v>-92</v>
      </c>
      <c r="AE159" s="243">
        <f t="shared" ref="AE159" si="727">IFERROR(AE157-AA157,"NA ")</f>
        <v>-551</v>
      </c>
      <c r="AF159" s="243">
        <f t="shared" ref="AF159" si="728">IFERROR(AF157-AB157,"NA ")</f>
        <v>39</v>
      </c>
      <c r="AG159" s="243">
        <f t="shared" ref="AG159" si="729">IFERROR(AG157-AC157,"NA ")</f>
        <v>95</v>
      </c>
      <c r="AH159" s="243">
        <f t="shared" ref="AH159" si="730">IFERROR(AH157-AD157,"NA ")</f>
        <v>561</v>
      </c>
      <c r="AI159" s="243">
        <f t="shared" ref="AI159" si="731">IFERROR(AI157-AE157,"NA ")</f>
        <v>1060</v>
      </c>
      <c r="AJ159" s="243">
        <f t="shared" ref="AJ159:AK159" si="732">IFERROR(AJ157-AF157,"NA ")</f>
        <v>767</v>
      </c>
      <c r="AK159" s="243">
        <f t="shared" si="732"/>
        <v>883</v>
      </c>
      <c r="AL159" s="243">
        <f t="shared" ref="AL159" si="733">IFERROR(AL157-AH157,"NA ")</f>
        <v>820.03673725316185</v>
      </c>
      <c r="AM159" s="243">
        <f t="shared" ref="AM159" si="734">IFERROR(AM157-AI157,"NA ")</f>
        <v>733.79444157472972</v>
      </c>
      <c r="AN159" s="243">
        <f t="shared" ref="AN159" si="735">IFERROR(AN157-AJ157,"NA ")</f>
        <v>636.51015390337125</v>
      </c>
      <c r="AO159" s="100"/>
      <c r="AP159" s="100"/>
      <c r="AQ159" s="100"/>
    </row>
    <row r="160" spans="2:43" x14ac:dyDescent="0.2">
      <c r="E160" s="138" t="s">
        <v>91</v>
      </c>
      <c r="F160" s="63"/>
      <c r="G160" s="63"/>
      <c r="H160" s="63"/>
      <c r="I160" s="195">
        <f t="shared" ref="I160:S160" si="736">IFERROR(I157/I$79,"NA ")</f>
        <v>3.9761431411530816E-2</v>
      </c>
      <c r="J160" s="196">
        <f t="shared" si="736"/>
        <v>1.5849574640680576E-2</v>
      </c>
      <c r="K160" s="196">
        <f t="shared" si="736"/>
        <v>1.0033882768893327E-2</v>
      </c>
      <c r="L160" s="196">
        <f t="shared" si="736"/>
        <v>1.007360446999409E-2</v>
      </c>
      <c r="M160" s="196">
        <f t="shared" si="736"/>
        <v>1.3822088371465817E-3</v>
      </c>
      <c r="N160" s="196">
        <f t="shared" si="736"/>
        <v>2.4344429284339195E-2</v>
      </c>
      <c r="O160" s="196">
        <f t="shared" si="736"/>
        <v>4.1982360254923828E-2</v>
      </c>
      <c r="P160" s="196">
        <f t="shared" si="736"/>
        <v>5.2130121104585266E-2</v>
      </c>
      <c r="Q160" s="196">
        <f t="shared" si="736"/>
        <v>5.9313209262257305E-2</v>
      </c>
      <c r="R160" s="196">
        <f t="shared" si="736"/>
        <v>6.4165908635769098E-2</v>
      </c>
      <c r="S160" s="196">
        <f t="shared" si="736"/>
        <v>6.8278762232756085E-2</v>
      </c>
      <c r="T160" s="216"/>
      <c r="U160" s="195">
        <f>IFERROR(U157/U$79,"NA ")</f>
        <v>1.1528251801289344E-2</v>
      </c>
      <c r="V160" s="195">
        <f>IFERROR(V157/V$79,"NA ")</f>
        <v>7.4801309022907905E-3</v>
      </c>
      <c r="W160" s="195">
        <f>IFERROR(W157/W$79,"NA ")</f>
        <v>-2.9697233087063596E-3</v>
      </c>
      <c r="X160" s="195">
        <f>IFERROR(X157/X$79,"NA ")</f>
        <v>1.9042693248072222E-2</v>
      </c>
      <c r="Y160" s="195">
        <f t="shared" ref="Y160:AN160" si="737">IFERROR(Y157/Y$79,"NA ")</f>
        <v>1.0205351586807717E-2</v>
      </c>
      <c r="Z160" s="195">
        <f t="shared" si="737"/>
        <v>5.794701986754967E-3</v>
      </c>
      <c r="AA160" s="195">
        <f t="shared" si="737"/>
        <v>-1.2871518839223028E-3</v>
      </c>
      <c r="AB160" s="195">
        <f t="shared" si="737"/>
        <v>2.0244655489115568E-2</v>
      </c>
      <c r="AC160" s="195">
        <f t="shared" si="737"/>
        <v>7.0918393191834253E-3</v>
      </c>
      <c r="AD160" s="195">
        <f t="shared" si="737"/>
        <v>-5.1706308169596689E-5</v>
      </c>
      <c r="AE160" s="195">
        <f t="shared" si="737"/>
        <v>-2.7843918557753051E-2</v>
      </c>
      <c r="AF160" s="195">
        <f t="shared" si="737"/>
        <v>1.8992089470812875E-2</v>
      </c>
      <c r="AG160" s="195">
        <f t="shared" si="737"/>
        <v>1.0344675793458644E-2</v>
      </c>
      <c r="AH160" s="195">
        <f t="shared" si="737"/>
        <v>2.4153547552296744E-2</v>
      </c>
      <c r="AI160" s="195">
        <f t="shared" si="737"/>
        <v>1.9204984620238189E-2</v>
      </c>
      <c r="AJ160" s="195">
        <f t="shared" si="737"/>
        <v>3.7038073125017487E-2</v>
      </c>
      <c r="AK160" s="195">
        <f t="shared" ref="AK160" si="738">IFERROR(AK157/AK$79,"NA ")</f>
        <v>3.8382312551496843E-2</v>
      </c>
      <c r="AL160" s="195">
        <f t="shared" si="737"/>
        <v>4.6531085651244093E-2</v>
      </c>
      <c r="AM160" s="195">
        <f t="shared" si="737"/>
        <v>3.7962657838695311E-2</v>
      </c>
      <c r="AN160" s="195">
        <f t="shared" si="737"/>
        <v>4.4220295287912735E-2</v>
      </c>
      <c r="AO160" s="100"/>
      <c r="AP160" s="100"/>
      <c r="AQ160" s="100"/>
    </row>
    <row r="161" spans="2:45" x14ac:dyDescent="0.2">
      <c r="E161" s="138" t="s">
        <v>96</v>
      </c>
      <c r="F161" s="63"/>
      <c r="G161" s="63"/>
      <c r="H161" s="63"/>
      <c r="I161" s="265" t="s">
        <v>102</v>
      </c>
      <c r="J161" s="197">
        <f t="shared" ref="J161:S161" si="739">IFERROR((J157-I157)/(J$79-I$79),"NA ")</f>
        <v>-4.3105312477474234E-2</v>
      </c>
      <c r="K161" s="197">
        <f t="shared" si="739"/>
        <v>-1.1447449293177628E-2</v>
      </c>
      <c r="L161" s="197">
        <f t="shared" si="739"/>
        <v>1.0255258627142751E-2</v>
      </c>
      <c r="M161" s="197">
        <f t="shared" si="739"/>
        <v>-4.3134287286736378E-2</v>
      </c>
      <c r="N161" s="197">
        <f t="shared" si="739"/>
        <v>0.13775113775113776</v>
      </c>
      <c r="O161" s="197">
        <f t="shared" si="739"/>
        <v>0.10873683078761608</v>
      </c>
      <c r="P161" s="197">
        <f t="shared" si="739"/>
        <v>9.3033256269843947E-2</v>
      </c>
      <c r="Q161" s="197">
        <f t="shared" si="739"/>
        <v>9.0759246041950528E-2</v>
      </c>
      <c r="R161" s="197">
        <f t="shared" si="739"/>
        <v>8.7531463444508129E-2</v>
      </c>
      <c r="S161" s="197">
        <f t="shared" si="739"/>
        <v>9.0157969051053374E-2</v>
      </c>
      <c r="T161" s="216"/>
      <c r="U161" s="265" t="s">
        <v>102</v>
      </c>
      <c r="V161" s="265" t="s">
        <v>102</v>
      </c>
      <c r="W161" s="265" t="s">
        <v>102</v>
      </c>
      <c r="X161" s="265" t="s">
        <v>102</v>
      </c>
      <c r="Y161" s="265" t="s">
        <v>102</v>
      </c>
      <c r="Z161" s="265" t="s">
        <v>102</v>
      </c>
      <c r="AA161" s="265" t="s">
        <v>102</v>
      </c>
      <c r="AB161" s="197">
        <f>IFERROR((AB157-X157)/(AB$79-X$79),"NA ")</f>
        <v>2.6163463764760361E-2</v>
      </c>
      <c r="AC161" s="197">
        <f t="shared" ref="AC161:AN161" si="740">IFERROR((AC157-Y157)/(AC$79-Y$79),"NA ")</f>
        <v>-6.5377281394715337E-3</v>
      </c>
      <c r="AD161" s="197">
        <f t="shared" si="740"/>
        <v>-2.5302530253025302E-2</v>
      </c>
      <c r="AE161" s="197">
        <f t="shared" si="740"/>
        <v>-0.15801548609119587</v>
      </c>
      <c r="AF161" s="197">
        <f t="shared" si="740"/>
        <v>1.0425020048115477E-2</v>
      </c>
      <c r="AG161" s="197">
        <f t="shared" si="740"/>
        <v>3.1922043010752688E-2</v>
      </c>
      <c r="AH161" s="197">
        <f t="shared" si="740"/>
        <v>0.1459037711313394</v>
      </c>
      <c r="AI161" s="197">
        <f t="shared" si="740"/>
        <v>0.22180372462858339</v>
      </c>
      <c r="AJ161" s="197">
        <f t="shared" si="740"/>
        <v>0.11948901698083814</v>
      </c>
      <c r="AK161" s="197">
        <f t="shared" si="740"/>
        <v>0.13773202308532209</v>
      </c>
      <c r="AL161" s="197">
        <f t="shared" si="740"/>
        <v>0.12667824508890929</v>
      </c>
      <c r="AM161" s="197">
        <f t="shared" si="740"/>
        <v>0.10791458805835039</v>
      </c>
      <c r="AN161" s="197">
        <f t="shared" si="740"/>
        <v>7.4115570387332172E-2</v>
      </c>
      <c r="AO161" s="100"/>
      <c r="AP161" s="100"/>
      <c r="AQ161" s="100"/>
    </row>
    <row r="162" spans="2:45" x14ac:dyDescent="0.2">
      <c r="I162" s="23"/>
      <c r="T162" s="23"/>
      <c r="AJ162" s="23"/>
      <c r="AK162" s="23"/>
      <c r="AL162" s="23"/>
      <c r="AM162" s="23"/>
      <c r="AN162" s="23"/>
      <c r="AO162" s="23"/>
      <c r="AP162" s="23"/>
      <c r="AQ162" s="23"/>
    </row>
    <row r="163" spans="2:45" x14ac:dyDescent="0.2">
      <c r="B163" s="17" t="s">
        <v>110</v>
      </c>
      <c r="I163" s="248">
        <f t="shared" ref="I163:S163" si="741">(I144/I175)</f>
        <v>2.5263157894736841</v>
      </c>
      <c r="J163" s="248">
        <f t="shared" si="741"/>
        <v>1.3687635574837311</v>
      </c>
      <c r="K163" s="247">
        <f t="shared" si="741"/>
        <v>-8.6092715231788075E-2</v>
      </c>
      <c r="L163" s="248">
        <f t="shared" si="741"/>
        <v>0.58924731182795698</v>
      </c>
      <c r="M163" s="248">
        <f t="shared" si="741"/>
        <v>-0.52164502164502169</v>
      </c>
      <c r="N163" s="248">
        <f t="shared" si="741"/>
        <v>1.249475890985325</v>
      </c>
      <c r="O163" s="248">
        <f t="shared" si="741"/>
        <v>7.122235013924465</v>
      </c>
      <c r="P163" s="248">
        <f t="shared" si="741"/>
        <v>11.080346512062276</v>
      </c>
      <c r="Q163" s="248">
        <f t="shared" si="741"/>
        <v>15.277994899347442</v>
      </c>
      <c r="R163" s="248">
        <f t="shared" si="741"/>
        <v>19.586504808970091</v>
      </c>
      <c r="S163" s="248">
        <f t="shared" si="741"/>
        <v>24.239214659441455</v>
      </c>
      <c r="T163" s="248"/>
      <c r="U163" s="247">
        <f t="shared" ref="U163" si="742">(U144/U175)</f>
        <v>0.19565217391304349</v>
      </c>
      <c r="V163" s="247">
        <f t="shared" ref="V163" si="743">(V144/V175)</f>
        <v>-8.7336244541484712E-3</v>
      </c>
      <c r="W163" s="247">
        <f t="shared" ref="W163" si="744">(W144/W175)</f>
        <v>-0.62391304347826082</v>
      </c>
      <c r="X163" s="247">
        <f t="shared" ref="X163:AN163" si="745">(X144/X175)</f>
        <v>0.210412147505423</v>
      </c>
      <c r="Y163" s="248">
        <f t="shared" si="745"/>
        <v>0.14038876889848811</v>
      </c>
      <c r="Z163" s="248">
        <f t="shared" si="745"/>
        <v>1.0964912280701754E-2</v>
      </c>
      <c r="AA163" s="248">
        <f t="shared" si="745"/>
        <v>-8.3150984682713341E-2</v>
      </c>
      <c r="AB163" s="248">
        <f t="shared" si="745"/>
        <v>0.52890792291220556</v>
      </c>
      <c r="AC163" s="248">
        <f t="shared" si="745"/>
        <v>0.21794871794871795</v>
      </c>
      <c r="AD163" s="248">
        <f t="shared" si="745"/>
        <v>-0.24295010845986983</v>
      </c>
      <c r="AE163" s="248">
        <f t="shared" si="745"/>
        <v>-1.0064794816414686</v>
      </c>
      <c r="AF163" s="248">
        <f t="shared" si="745"/>
        <v>0.38135593220338981</v>
      </c>
      <c r="AG163" s="248">
        <f t="shared" si="745"/>
        <v>-0.12258064516129032</v>
      </c>
      <c r="AH163" s="248">
        <f t="shared" si="745"/>
        <v>0.19327731092436976</v>
      </c>
      <c r="AI163" s="248">
        <f t="shared" si="745"/>
        <v>0.16527196652719664</v>
      </c>
      <c r="AJ163" s="248">
        <f t="shared" si="745"/>
        <v>1.002079002079002</v>
      </c>
      <c r="AK163" s="248">
        <f t="shared" ref="AK163" si="746">(AK144/AK175)</f>
        <v>1.0665280665280665</v>
      </c>
      <c r="AL163" s="248">
        <f t="shared" si="745"/>
        <v>1.8584721572954519</v>
      </c>
      <c r="AM163" s="248">
        <f t="shared" si="745"/>
        <v>1.618453859299577</v>
      </c>
      <c r="AN163" s="248">
        <f t="shared" si="745"/>
        <v>2.6434489553881209</v>
      </c>
      <c r="AO163" s="66"/>
      <c r="AP163" s="103"/>
      <c r="AQ163" s="103"/>
    </row>
    <row r="164" spans="2:45" x14ac:dyDescent="0.2">
      <c r="E164" s="138" t="s">
        <v>78</v>
      </c>
      <c r="F164" s="63"/>
      <c r="G164" s="63"/>
      <c r="H164" s="63"/>
      <c r="I164" s="265" t="s">
        <v>102</v>
      </c>
      <c r="J164" s="196">
        <f t="shared" ref="J164" si="747">IFERROR(J163/I163-1,"NA")</f>
        <v>-0.45819775849602307</v>
      </c>
      <c r="K164" s="196">
        <f t="shared" ref="K164" si="748">IFERROR(K163/J163-1,"NA")</f>
        <v>-1.0628981643769482</v>
      </c>
      <c r="L164" s="196">
        <f t="shared" ref="L164" si="749">IFERROR(L163/K163-1,"NA")</f>
        <v>-7.8443341604631929</v>
      </c>
      <c r="M164" s="196">
        <f t="shared" ref="M164" si="750">IFERROR(M163/L163-1,"NA")</f>
        <v>-1.8852734856384492</v>
      </c>
      <c r="N164" s="196">
        <f t="shared" ref="N164" si="751">IFERROR(N163/M163-1,"NA")</f>
        <v>-3.3952608366606642</v>
      </c>
      <c r="O164" s="196">
        <f t="shared" ref="O164" si="752">IFERROR(O163/N163-1,"NA")</f>
        <v>4.7001780228892107</v>
      </c>
      <c r="P164" s="196">
        <f t="shared" ref="P164" si="753">IFERROR(P163/O163-1,"NA")</f>
        <v>0.55574008585779988</v>
      </c>
      <c r="Q164" s="196">
        <f t="shared" ref="Q164" si="754">IFERROR(Q163/P163-1,"NA")</f>
        <v>0.37883728480111412</v>
      </c>
      <c r="R164" s="196">
        <f t="shared" ref="R164" si="755">IFERROR(R163/Q163-1,"NA")</f>
        <v>0.28200754994404886</v>
      </c>
      <c r="S164" s="196">
        <f t="shared" ref="S164" si="756">IFERROR(S163/R163-1,"NA")</f>
        <v>0.23754671371180769</v>
      </c>
      <c r="T164" s="66"/>
      <c r="U164" s="265" t="s">
        <v>102</v>
      </c>
      <c r="V164" s="265" t="s">
        <v>102</v>
      </c>
      <c r="W164" s="265" t="s">
        <v>102</v>
      </c>
      <c r="X164" s="265" t="s">
        <v>102</v>
      </c>
      <c r="Y164" s="265" t="s">
        <v>102</v>
      </c>
      <c r="Z164" s="265" t="s">
        <v>102</v>
      </c>
      <c r="AA164" s="265" t="s">
        <v>102</v>
      </c>
      <c r="AB164" s="195">
        <f t="shared" ref="AB164:AC164" si="757">IFERROR(IF(X163&lt;0,-(AB163/X163-1),(AB163/X163-1)),"NA")</f>
        <v>1.5136757985827503</v>
      </c>
      <c r="AC164" s="195">
        <f t="shared" si="757"/>
        <v>0.55246548323471401</v>
      </c>
      <c r="AD164" s="195">
        <f t="shared" ref="AD164" si="758">IFERROR(IF(Z163&lt;0,-(AD163/Z163-1),(AD163/Z163-1)),"NA")</f>
        <v>-23.157049891540129</v>
      </c>
      <c r="AE164" s="195">
        <f t="shared" ref="AE164" si="759">IFERROR(IF(AA163&lt;0,-(AE163/AA163-1),(AE163/AA163-1)),"NA")</f>
        <v>-11.104240081846084</v>
      </c>
      <c r="AF164" s="195">
        <f t="shared" ref="AF164" si="760">IFERROR(IF(AB163&lt;0,-(AF163/AB163-1),(AF163/AB163-1)),"NA")</f>
        <v>-0.27897481644136424</v>
      </c>
      <c r="AG164" s="195">
        <f t="shared" ref="AG164" si="761">IFERROR(IF(AC163&lt;0,-(AG163/AC163-1),(AG163/AC163-1)),"NA")</f>
        <v>-1.5624288425047439</v>
      </c>
      <c r="AH164" s="195">
        <f t="shared" ref="AH164" si="762">IFERROR(IF(AD163&lt;0,-(AH163/AD163-1),(AH163/AD163-1)),"NA")</f>
        <v>1.7955432172869148</v>
      </c>
      <c r="AI164" s="195">
        <f t="shared" ref="AI164" si="763">IFERROR(IF(AE163&lt;0,-(AI163/AE163-1),(AI163/AE163-1)),"NA")</f>
        <v>1.1642079839100687</v>
      </c>
      <c r="AJ164" s="195">
        <f t="shared" ref="AJ164:AK164" si="764">IFERROR(IF(AF163&lt;0,-(AJ163/AF163-1),(AJ163/AF163-1)),"NA")</f>
        <v>1.6276738276738278</v>
      </c>
      <c r="AK164" s="195">
        <f t="shared" si="764"/>
        <v>9.7006237006237015</v>
      </c>
      <c r="AL164" s="195">
        <f t="shared" ref="AL164" si="765">IFERROR(IF(AH163&lt;0,-(AL163/AH163-1),(AL163/AH163-1)),"NA")</f>
        <v>8.6155733355721207</v>
      </c>
      <c r="AM164" s="195">
        <f t="shared" ref="AM164" si="766">IFERROR(IF(AI163&lt;0,-(AM163/AI163-1),(AM163/AI163-1)),"NA")</f>
        <v>8.7926701866480741</v>
      </c>
      <c r="AN164" s="195">
        <f t="shared" ref="AN164" si="767">IFERROR(IF(AJ163&lt;0,-(AN163/AJ163-1),(AN163/AJ163-1)),"NA")</f>
        <v>1.6379646214557804</v>
      </c>
      <c r="AO164" s="69"/>
      <c r="AP164" s="26"/>
      <c r="AQ164" s="26"/>
      <c r="AS164" s="26"/>
    </row>
    <row r="165" spans="2:45" x14ac:dyDescent="0.2">
      <c r="E165" s="138" t="s">
        <v>80</v>
      </c>
      <c r="F165" s="63"/>
      <c r="G165" s="63"/>
      <c r="H165" s="63"/>
      <c r="I165" s="265" t="s">
        <v>102</v>
      </c>
      <c r="J165" s="250">
        <f>IFERROR(J163-I163,"NA ")</f>
        <v>-1.1575522319899529</v>
      </c>
      <c r="K165" s="250">
        <f t="shared" ref="K165:S165" si="768">IFERROR(K163-J163,"NA ")</f>
        <v>-1.4548562727155192</v>
      </c>
      <c r="L165" s="250">
        <f t="shared" si="768"/>
        <v>0.67534002705974505</v>
      </c>
      <c r="M165" s="250">
        <f t="shared" si="768"/>
        <v>-1.1108923334729788</v>
      </c>
      <c r="N165" s="250">
        <f t="shared" si="768"/>
        <v>1.7711209126303467</v>
      </c>
      <c r="O165" s="250">
        <f t="shared" si="768"/>
        <v>5.87275912293914</v>
      </c>
      <c r="P165" s="250">
        <f t="shared" si="768"/>
        <v>3.9581114981378107</v>
      </c>
      <c r="Q165" s="250">
        <f t="shared" si="768"/>
        <v>4.1976483872851666</v>
      </c>
      <c r="R165" s="250">
        <f t="shared" si="768"/>
        <v>4.3085099096226482</v>
      </c>
      <c r="S165" s="250">
        <f t="shared" si="768"/>
        <v>4.6527098504713642</v>
      </c>
      <c r="T165" s="66"/>
      <c r="U165" s="265" t="s">
        <v>102</v>
      </c>
      <c r="V165" s="265" t="s">
        <v>102</v>
      </c>
      <c r="W165" s="265" t="s">
        <v>102</v>
      </c>
      <c r="X165" s="265" t="s">
        <v>102</v>
      </c>
      <c r="Y165" s="265" t="s">
        <v>102</v>
      </c>
      <c r="Z165" s="265" t="s">
        <v>102</v>
      </c>
      <c r="AA165" s="265" t="s">
        <v>102</v>
      </c>
      <c r="AB165" s="249">
        <f t="shared" ref="AB165" si="769">AB163-X163</f>
        <v>0.31849577540678253</v>
      </c>
      <c r="AC165" s="249">
        <f t="shared" ref="AC165" si="770">AC163-Y163</f>
        <v>7.7559949050229837E-2</v>
      </c>
      <c r="AD165" s="249">
        <f t="shared" ref="AD165" si="771">AD163-Z163</f>
        <v>-0.2539150207405716</v>
      </c>
      <c r="AE165" s="249">
        <f t="shared" ref="AE165" si="772">AE163-AA163</f>
        <v>-0.9233284969587553</v>
      </c>
      <c r="AF165" s="249">
        <f t="shared" ref="AF165" si="773">AF163-AB163</f>
        <v>-0.14755199070881575</v>
      </c>
      <c r="AG165" s="249">
        <f t="shared" ref="AG165" si="774">AG163-AC163</f>
        <v>-0.34052936311000825</v>
      </c>
      <c r="AH165" s="249">
        <f t="shared" ref="AH165" si="775">AH163-AD163</f>
        <v>0.43622741938423959</v>
      </c>
      <c r="AI165" s="249">
        <f t="shared" ref="AI165" si="776">AI163-AE163</f>
        <v>1.1717514481686653</v>
      </c>
      <c r="AJ165" s="249">
        <f t="shared" ref="AJ165:AK165" si="777">AJ163-AF163</f>
        <v>0.62072306987561221</v>
      </c>
      <c r="AK165" s="249">
        <f t="shared" si="777"/>
        <v>1.1891087116893568</v>
      </c>
      <c r="AL165" s="249">
        <f t="shared" ref="AL165" si="778">AL163-AH163</f>
        <v>1.6651948463710822</v>
      </c>
      <c r="AM165" s="249">
        <f t="shared" ref="AM165" si="779">AM163-AI163</f>
        <v>1.4531818927723803</v>
      </c>
      <c r="AN165" s="249">
        <f t="shared" ref="AN165" si="780">AN163-AJ163</f>
        <v>1.6413699533091188</v>
      </c>
      <c r="AO165" s="69"/>
      <c r="AP165" s="26"/>
      <c r="AQ165" s="26"/>
      <c r="AS165" s="26"/>
    </row>
    <row r="166" spans="2:45" x14ac:dyDescent="0.2">
      <c r="F166" s="63"/>
      <c r="G166" s="63"/>
      <c r="H166" s="63"/>
      <c r="I166" s="66"/>
      <c r="J166" s="66"/>
      <c r="K166" s="65"/>
      <c r="L166" s="66"/>
      <c r="M166" s="66"/>
      <c r="N166" s="66"/>
      <c r="O166" s="66"/>
      <c r="P166" s="66"/>
      <c r="Q166" s="66"/>
      <c r="R166" s="66"/>
      <c r="S166" s="66"/>
      <c r="T166" s="66"/>
      <c r="U166" s="67"/>
      <c r="V166" s="67"/>
      <c r="W166" s="67"/>
      <c r="X166" s="67"/>
      <c r="Y166" s="68"/>
      <c r="Z166" s="68"/>
      <c r="AA166" s="67"/>
      <c r="AB166" s="65"/>
      <c r="AC166" s="65"/>
      <c r="AD166" s="65"/>
      <c r="AE166" s="65"/>
      <c r="AF166" s="65"/>
      <c r="AG166" s="65"/>
      <c r="AH166" s="65"/>
      <c r="AI166" s="65"/>
      <c r="AJ166" s="65"/>
      <c r="AK166" s="65"/>
      <c r="AL166" s="65"/>
      <c r="AM166" s="65"/>
      <c r="AN166" s="65"/>
      <c r="AO166" s="69"/>
      <c r="AP166" s="26"/>
      <c r="AQ166" s="26"/>
      <c r="AS166" s="26"/>
    </row>
    <row r="167" spans="2:45" x14ac:dyDescent="0.2">
      <c r="B167" s="17" t="s">
        <v>110</v>
      </c>
      <c r="I167" s="66"/>
      <c r="J167" s="66"/>
      <c r="K167" s="65"/>
      <c r="L167" s="66"/>
      <c r="M167" s="66"/>
      <c r="N167" s="66"/>
      <c r="O167" s="66">
        <f>(O144/O173)</f>
        <v>7.122235013924465</v>
      </c>
      <c r="P167" s="66">
        <f>(P144/P173)</f>
        <v>11.080346512062276</v>
      </c>
      <c r="Q167" s="66">
        <f>(Q144/Q173)</f>
        <v>15.277994899347442</v>
      </c>
      <c r="R167" s="66">
        <f>(R144/R173)</f>
        <v>19.586504808970091</v>
      </c>
      <c r="S167" s="66">
        <f>(S144/S173)</f>
        <v>24.239214659441455</v>
      </c>
      <c r="T167" s="66"/>
      <c r="U167" s="217">
        <f t="shared" ref="U167" si="781">U163*4</f>
        <v>0.78260869565217395</v>
      </c>
      <c r="V167" s="217">
        <f t="shared" ref="V167" si="782">V163*4</f>
        <v>-3.4934497816593885E-2</v>
      </c>
      <c r="W167" s="217">
        <f t="shared" ref="W167" si="783">W163*4</f>
        <v>-2.4956521739130433</v>
      </c>
      <c r="X167" s="217">
        <f t="shared" ref="X167:AN167" si="784">X163*4</f>
        <v>0.84164859002169201</v>
      </c>
      <c r="Y167" s="218">
        <f t="shared" si="784"/>
        <v>0.56155507559395246</v>
      </c>
      <c r="Z167" s="218">
        <f t="shared" si="784"/>
        <v>4.3859649122807015E-2</v>
      </c>
      <c r="AA167" s="218">
        <f t="shared" si="784"/>
        <v>-0.33260393873085337</v>
      </c>
      <c r="AB167" s="218">
        <f t="shared" si="784"/>
        <v>2.1156316916488223</v>
      </c>
      <c r="AC167" s="218">
        <f t="shared" si="784"/>
        <v>0.87179487179487181</v>
      </c>
      <c r="AD167" s="218">
        <f t="shared" si="784"/>
        <v>-0.97180043383947934</v>
      </c>
      <c r="AE167" s="218">
        <f t="shared" si="784"/>
        <v>-4.0259179265658744</v>
      </c>
      <c r="AF167" s="218">
        <f t="shared" si="784"/>
        <v>1.5254237288135593</v>
      </c>
      <c r="AG167" s="218">
        <f t="shared" si="784"/>
        <v>-0.49032258064516127</v>
      </c>
      <c r="AH167" s="218">
        <f t="shared" si="784"/>
        <v>0.77310924369747902</v>
      </c>
      <c r="AI167" s="218">
        <f t="shared" si="784"/>
        <v>0.66108786610878656</v>
      </c>
      <c r="AJ167" s="218">
        <f t="shared" si="784"/>
        <v>4.0083160083160081</v>
      </c>
      <c r="AK167" s="218">
        <f t="shared" ref="AK167" si="785">AK163*4</f>
        <v>4.2661122661122661</v>
      </c>
      <c r="AL167" s="218">
        <f t="shared" si="784"/>
        <v>7.4338886291818076</v>
      </c>
      <c r="AM167" s="218">
        <f t="shared" si="784"/>
        <v>6.4738154371983079</v>
      </c>
      <c r="AN167" s="218">
        <f t="shared" si="784"/>
        <v>10.573795821552483</v>
      </c>
      <c r="AO167" s="66"/>
      <c r="AP167" s="103"/>
      <c r="AQ167" s="103"/>
      <c r="AS167" s="26"/>
    </row>
    <row r="168" spans="2:45" x14ac:dyDescent="0.2">
      <c r="F168" s="63"/>
      <c r="G168" s="63"/>
      <c r="H168" s="63"/>
      <c r="I168" s="103"/>
      <c r="J168" s="104"/>
      <c r="K168" s="104"/>
      <c r="L168" s="104"/>
      <c r="M168" s="104"/>
      <c r="N168" s="104"/>
      <c r="O168" s="104"/>
      <c r="P168" s="104"/>
      <c r="Q168" s="104"/>
      <c r="R168" s="66"/>
      <c r="S168" s="66"/>
      <c r="T168" s="103"/>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3"/>
      <c r="AP168" s="103"/>
      <c r="AQ168" s="103"/>
      <c r="AS168" s="26"/>
    </row>
    <row r="169" spans="2:45" x14ac:dyDescent="0.2">
      <c r="D169" s="205" t="s">
        <v>88</v>
      </c>
      <c r="G169" s="16"/>
      <c r="H169" s="16"/>
      <c r="AO169" s="23"/>
      <c r="AP169" s="23"/>
      <c r="AQ169" s="23"/>
    </row>
    <row r="170" spans="2:45" x14ac:dyDescent="0.2">
      <c r="E170" s="138" t="s">
        <v>78</v>
      </c>
      <c r="G170" s="22"/>
      <c r="H170" s="22"/>
      <c r="AO170" s="23"/>
      <c r="AP170" s="23"/>
      <c r="AQ170" s="23"/>
    </row>
    <row r="171" spans="2:45" x14ac:dyDescent="0.2">
      <c r="D171" s="205" t="s">
        <v>111</v>
      </c>
      <c r="G171" s="16" t="s">
        <v>303</v>
      </c>
      <c r="H171" s="16"/>
      <c r="O171" s="184">
        <v>5.33</v>
      </c>
      <c r="P171" s="184">
        <v>9.64</v>
      </c>
      <c r="Q171" s="184">
        <v>16.13</v>
      </c>
      <c r="R171" s="184">
        <v>22.33</v>
      </c>
      <c r="S171" s="184">
        <v>29.59</v>
      </c>
      <c r="AK171" s="184"/>
      <c r="AL171" s="184">
        <v>1.1100000000000001</v>
      </c>
      <c r="AM171" s="184">
        <v>0.92</v>
      </c>
      <c r="AN171" s="184">
        <v>2.1800000000000002</v>
      </c>
      <c r="AO171" s="23"/>
      <c r="AP171" s="23"/>
      <c r="AQ171" s="23"/>
    </row>
    <row r="172" spans="2:45" x14ac:dyDescent="0.2">
      <c r="I172" s="106"/>
      <c r="J172" s="106"/>
      <c r="K172" s="105"/>
      <c r="L172" s="105"/>
      <c r="M172" s="105"/>
      <c r="N172" s="105"/>
      <c r="O172" s="105"/>
      <c r="P172" s="105"/>
      <c r="Q172" s="105"/>
      <c r="R172" s="105"/>
      <c r="S172" s="105"/>
      <c r="T172" s="106"/>
      <c r="U172" s="105"/>
      <c r="V172" s="105"/>
      <c r="W172" s="105"/>
      <c r="X172" s="105"/>
      <c r="Y172" s="105"/>
      <c r="Z172" s="106"/>
      <c r="AA172" s="106"/>
      <c r="AB172" s="106"/>
      <c r="AC172" s="106"/>
      <c r="AD172" s="106"/>
      <c r="AE172" s="105"/>
      <c r="AF172" s="105"/>
      <c r="AG172" s="106"/>
      <c r="AH172" s="106"/>
      <c r="AI172" s="106"/>
      <c r="AJ172" s="106"/>
      <c r="AK172" s="106"/>
      <c r="AL172" s="106"/>
      <c r="AM172" s="106"/>
      <c r="AN172" s="106"/>
      <c r="AO172" s="105"/>
      <c r="AP172" s="105"/>
      <c r="AQ172" s="105"/>
    </row>
    <row r="173" spans="2:45" x14ac:dyDescent="0.2">
      <c r="D173" s="17" t="s">
        <v>112</v>
      </c>
      <c r="I173" s="231">
        <f>'Company Data'!U33</f>
        <v>447</v>
      </c>
      <c r="J173" s="231">
        <f>'Company Data'!V33</f>
        <v>453</v>
      </c>
      <c r="K173" s="231">
        <f>'Company Data'!W33</f>
        <v>453</v>
      </c>
      <c r="L173" s="231">
        <f>'Company Data'!X33</f>
        <v>457</v>
      </c>
      <c r="M173" s="231">
        <f>'Company Data'!Y33</f>
        <v>462</v>
      </c>
      <c r="N173" s="231">
        <f>'Company Data'!Z33</f>
        <v>467</v>
      </c>
      <c r="O173" s="233">
        <f>O175</f>
        <v>490.71466048950941</v>
      </c>
      <c r="P173" s="233">
        <f t="shared" ref="P173:S173" si="786">P175</f>
        <v>504.14567754470863</v>
      </c>
      <c r="Q173" s="233">
        <f t="shared" si="786"/>
        <v>517.96286197714232</v>
      </c>
      <c r="R173" s="233">
        <f t="shared" si="786"/>
        <v>532.17731683601585</v>
      </c>
      <c r="S173" s="233">
        <f t="shared" si="786"/>
        <v>546.8004644043923</v>
      </c>
      <c r="T173" s="233"/>
      <c r="U173" s="231">
        <f>'Company Data'!C33</f>
        <v>453</v>
      </c>
      <c r="V173" s="231">
        <f>'Company Data'!D33</f>
        <v>451</v>
      </c>
      <c r="W173" s="231">
        <f>'Company Data'!E33</f>
        <v>452</v>
      </c>
      <c r="X173" s="231">
        <f>'Company Data'!F33</f>
        <v>454</v>
      </c>
      <c r="Y173" s="231">
        <f>'Company Data'!G33</f>
        <v>455</v>
      </c>
      <c r="Z173" s="231">
        <f>'Company Data'!H33</f>
        <v>456</v>
      </c>
      <c r="AA173" s="231">
        <f>'Company Data'!I33</f>
        <v>457</v>
      </c>
      <c r="AB173" s="231">
        <f>'Company Data'!J33</f>
        <v>458</v>
      </c>
      <c r="AC173" s="231">
        <f>'Company Data'!K33</f>
        <v>460</v>
      </c>
      <c r="AD173" s="231">
        <f>'Company Data'!L33</f>
        <v>461</v>
      </c>
      <c r="AE173" s="231">
        <f>'Company Data'!M33</f>
        <v>463</v>
      </c>
      <c r="AF173" s="231">
        <f>'Company Data'!N33</f>
        <v>464</v>
      </c>
      <c r="AG173" s="231">
        <f>'Company Data'!O33</f>
        <v>465</v>
      </c>
      <c r="AH173" s="231">
        <f>'Company Data'!P33</f>
        <v>467</v>
      </c>
      <c r="AI173" s="231">
        <f>'Company Data'!Q33</f>
        <v>468</v>
      </c>
      <c r="AJ173" s="231">
        <f>'Company Data'!R33</f>
        <v>470</v>
      </c>
      <c r="AK173" s="231">
        <f>'Company Data'!S33</f>
        <v>471</v>
      </c>
      <c r="AL173" s="231">
        <v>470</v>
      </c>
      <c r="AM173" s="231">
        <v>470</v>
      </c>
      <c r="AN173" s="231">
        <v>470</v>
      </c>
      <c r="AO173" s="107"/>
      <c r="AP173" s="107"/>
      <c r="AQ173" s="107"/>
    </row>
    <row r="174" spans="2:45" x14ac:dyDescent="0.2">
      <c r="I174" s="211"/>
      <c r="J174" s="211"/>
      <c r="K174" s="211"/>
      <c r="L174" s="211"/>
      <c r="M174" s="211"/>
      <c r="N174" s="211"/>
      <c r="O174" s="211"/>
      <c r="P174" s="211"/>
      <c r="Q174" s="211"/>
      <c r="R174" s="211"/>
      <c r="S174" s="211"/>
      <c r="T174" s="211"/>
      <c r="U174" s="211"/>
      <c r="V174" s="211"/>
      <c r="W174" s="211"/>
      <c r="X174" s="211"/>
      <c r="Y174" s="211"/>
      <c r="Z174" s="211"/>
      <c r="AA174" s="211"/>
      <c r="AB174" s="211"/>
      <c r="AC174" s="211"/>
      <c r="AD174" s="211"/>
      <c r="AE174" s="211"/>
      <c r="AF174" s="211"/>
      <c r="AG174" s="211"/>
      <c r="AH174" s="211"/>
      <c r="AI174" s="211"/>
      <c r="AJ174" s="211"/>
      <c r="AK174" s="211"/>
      <c r="AL174" s="211"/>
      <c r="AM174" s="211"/>
      <c r="AN174" s="211"/>
      <c r="AO174" s="76"/>
      <c r="AP174" s="76"/>
      <c r="AQ174" s="76"/>
    </row>
    <row r="175" spans="2:45" x14ac:dyDescent="0.2">
      <c r="D175" s="17" t="s">
        <v>113</v>
      </c>
      <c r="G175" s="168"/>
      <c r="H175" s="168"/>
      <c r="I175" s="231">
        <f>'Company Data'!U34</f>
        <v>456</v>
      </c>
      <c r="J175" s="231">
        <f>'Company Data'!V34</f>
        <v>461</v>
      </c>
      <c r="K175" s="231">
        <f>'Company Data'!W34</f>
        <v>453</v>
      </c>
      <c r="L175" s="231">
        <f>'Company Data'!X34</f>
        <v>465</v>
      </c>
      <c r="M175" s="231">
        <f>'Company Data'!Y34</f>
        <v>462</v>
      </c>
      <c r="N175" s="231">
        <f>'Company Data'!Z34</f>
        <v>477</v>
      </c>
      <c r="O175" s="232">
        <f>AN175-$G$178</f>
        <v>490.71466048950941</v>
      </c>
      <c r="P175" s="232">
        <f>O175*(P176+1)-$G$178</f>
        <v>504.14567754470863</v>
      </c>
      <c r="Q175" s="232">
        <f>P175*(Q176+1)-$G$178</f>
        <v>517.96286197714232</v>
      </c>
      <c r="R175" s="232">
        <f>Q175*(R176+1)-$G$178</f>
        <v>532.17731683601585</v>
      </c>
      <c r="S175" s="232">
        <f>R175*(S176+1)-$G$178</f>
        <v>546.8004644043923</v>
      </c>
      <c r="T175" s="233"/>
      <c r="U175" s="231">
        <f>'Company Data'!C34</f>
        <v>460</v>
      </c>
      <c r="V175" s="231">
        <f>'Company Data'!D34</f>
        <v>458</v>
      </c>
      <c r="W175" s="231">
        <f>'Company Data'!E34</f>
        <v>460</v>
      </c>
      <c r="X175" s="231">
        <f>'Company Data'!F34</f>
        <v>461</v>
      </c>
      <c r="Y175" s="231">
        <f>'Company Data'!G34</f>
        <v>463</v>
      </c>
      <c r="Z175" s="231">
        <f>'Company Data'!H34</f>
        <v>456</v>
      </c>
      <c r="AA175" s="231">
        <f>'Company Data'!I34</f>
        <v>457</v>
      </c>
      <c r="AB175" s="231">
        <f>'Company Data'!J34</f>
        <v>467</v>
      </c>
      <c r="AC175" s="231">
        <f>'Company Data'!K34</f>
        <v>468</v>
      </c>
      <c r="AD175" s="231">
        <f>'Company Data'!L34</f>
        <v>461</v>
      </c>
      <c r="AE175" s="231">
        <f>'Company Data'!M34</f>
        <v>463</v>
      </c>
      <c r="AF175" s="231">
        <f>'Company Data'!N34</f>
        <v>472</v>
      </c>
      <c r="AG175" s="231">
        <f>'Company Data'!O34</f>
        <v>465</v>
      </c>
      <c r="AH175" s="231">
        <f>'Company Data'!P34</f>
        <v>476</v>
      </c>
      <c r="AI175" s="231">
        <f>'Company Data'!Q34</f>
        <v>478</v>
      </c>
      <c r="AJ175" s="231">
        <f>'Company Data'!R34</f>
        <v>481</v>
      </c>
      <c r="AK175" s="231">
        <f>'Company Data'!S34</f>
        <v>481</v>
      </c>
      <c r="AL175" s="231">
        <f>AK175*(1+AL177)</f>
        <v>483.09202508960573</v>
      </c>
      <c r="AM175" s="231">
        <f>AL175*(1+AM177)</f>
        <v>485.15484626529684</v>
      </c>
      <c r="AN175" s="231">
        <f>AM175*(1+AN177)</f>
        <v>491.3926265912043</v>
      </c>
      <c r="AO175" s="107"/>
      <c r="AP175" s="107"/>
      <c r="AQ175" s="107"/>
    </row>
    <row r="176" spans="2:45" x14ac:dyDescent="0.2">
      <c r="E176" s="138" t="s">
        <v>78</v>
      </c>
      <c r="G176" s="231">
        <v>400</v>
      </c>
      <c r="I176" s="265" t="s">
        <v>102</v>
      </c>
      <c r="J176" s="196">
        <f t="shared" ref="J176" si="787">IFERROR(J175/I175-1,"NA")</f>
        <v>1.0964912280701844E-2</v>
      </c>
      <c r="K176" s="196">
        <f t="shared" ref="K176" si="788">IFERROR(K175/J175-1,"NA")</f>
        <v>-1.7353579175705014E-2</v>
      </c>
      <c r="L176" s="196">
        <f t="shared" ref="L176" si="789">IFERROR(L175/K175-1,"NA")</f>
        <v>2.6490066225165476E-2</v>
      </c>
      <c r="M176" s="196">
        <f t="shared" ref="M176" si="790">IFERROR(M175/L175-1,"NA")</f>
        <v>-6.4516129032258229E-3</v>
      </c>
      <c r="N176" s="196">
        <f t="shared" ref="N176" si="791">IFERROR(N175/M175-1,"NA")</f>
        <v>3.2467532467532534E-2</v>
      </c>
      <c r="O176" s="304">
        <f>O175/N175-1</f>
        <v>2.8751908783038571E-2</v>
      </c>
      <c r="P176" s="251">
        <f>O176</f>
        <v>2.8751908783038571E-2</v>
      </c>
      <c r="Q176" s="251">
        <f>P176</f>
        <v>2.8751908783038571E-2</v>
      </c>
      <c r="R176" s="251">
        <f>Q176</f>
        <v>2.8751908783038571E-2</v>
      </c>
      <c r="S176" s="251">
        <f>R176</f>
        <v>2.8751908783038571E-2</v>
      </c>
      <c r="U176" s="265" t="s">
        <v>102</v>
      </c>
      <c r="V176" s="265" t="s">
        <v>102</v>
      </c>
      <c r="W176" s="265" t="s">
        <v>102</v>
      </c>
      <c r="X176" s="265" t="s">
        <v>102</v>
      </c>
      <c r="Y176" s="195">
        <f t="shared" ref="Y176" si="792">IFERROR(Y175/U175-1,"NA ")</f>
        <v>6.521739130434856E-3</v>
      </c>
      <c r="Z176" s="195">
        <f t="shared" ref="Z176" si="793">IFERROR(Z175/V175-1,"NA ")</f>
        <v>-4.366812227074246E-3</v>
      </c>
      <c r="AA176" s="195">
        <f t="shared" ref="AA176" si="794">IFERROR(AA175/W175-1,"NA ")</f>
        <v>-6.521739130434745E-3</v>
      </c>
      <c r="AB176" s="195">
        <f t="shared" ref="AB176" si="795">IFERROR(AB175/X175-1,"NA ")</f>
        <v>1.3015184381778733E-2</v>
      </c>
      <c r="AC176" s="195">
        <f t="shared" ref="AC176" si="796">IFERROR(AC175/Y175-1,"NA ")</f>
        <v>1.0799136069114423E-2</v>
      </c>
      <c r="AD176" s="195">
        <f t="shared" ref="AD176" si="797">IFERROR(AD175/Z175-1,"NA ")</f>
        <v>1.0964912280701844E-2</v>
      </c>
      <c r="AE176" s="195">
        <f t="shared" ref="AE176" si="798">IFERROR(AE175/AA175-1,"NA ")</f>
        <v>1.3129102844638973E-2</v>
      </c>
      <c r="AF176" s="195">
        <f t="shared" ref="AF176" si="799">IFERROR(AF175/AB175-1,"NA ")</f>
        <v>1.0706638115631772E-2</v>
      </c>
      <c r="AG176" s="195">
        <f t="shared" ref="AG176" si="800">IFERROR(AG175/AC175-1,"NA ")</f>
        <v>-6.4102564102563875E-3</v>
      </c>
      <c r="AH176" s="195">
        <f t="shared" ref="AH176" si="801">IFERROR(AH175/AD175-1,"NA ")</f>
        <v>3.2537960954446943E-2</v>
      </c>
      <c r="AI176" s="195">
        <f t="shared" ref="AI176" si="802">IFERROR(AI175/AE175-1,"NA ")</f>
        <v>3.2397408207343492E-2</v>
      </c>
      <c r="AJ176" s="195">
        <f t="shared" ref="AJ176:AK176" si="803">IFERROR(AJ175/AF175-1,"NA ")</f>
        <v>1.9067796610169552E-2</v>
      </c>
      <c r="AK176" s="195">
        <f t="shared" si="803"/>
        <v>3.4408602150537648E-2</v>
      </c>
      <c r="AL176" s="195">
        <f t="shared" ref="AL176" si="804">IFERROR(AL175/AH175-1,"NA ")</f>
        <v>1.4899212373121307E-2</v>
      </c>
      <c r="AM176" s="195">
        <f t="shared" ref="AM176" si="805">IFERROR(AM175/AI175-1,"NA ")</f>
        <v>1.4968297626144045E-2</v>
      </c>
      <c r="AN176" s="195">
        <f t="shared" ref="AN176" si="806">IFERROR(AN175/AJ175-1,"NA ")</f>
        <v>2.1606292289406026E-2</v>
      </c>
      <c r="AO176" s="96"/>
      <c r="AP176" s="76"/>
      <c r="AQ176" s="76"/>
    </row>
    <row r="177" spans="1:43" x14ac:dyDescent="0.2">
      <c r="E177" s="138" t="s">
        <v>114</v>
      </c>
      <c r="G177" s="231">
        <v>590</v>
      </c>
      <c r="H177" s="63"/>
      <c r="I177" s="196"/>
      <c r="J177" s="162"/>
      <c r="K177" s="95"/>
      <c r="L177" s="95"/>
      <c r="M177" s="95"/>
      <c r="N177" s="95"/>
      <c r="O177" s="95"/>
      <c r="P177" s="95"/>
      <c r="Q177" s="95"/>
      <c r="R177" s="95"/>
      <c r="S177" s="95"/>
      <c r="U177" s="265" t="s">
        <v>102</v>
      </c>
      <c r="V177" s="265" t="s">
        <v>102</v>
      </c>
      <c r="W177" s="265" t="s">
        <v>102</v>
      </c>
      <c r="X177" s="265" t="s">
        <v>102</v>
      </c>
      <c r="Y177" s="198">
        <f t="shared" ref="Y177" si="807">IFERROR(Y175/X175-1,"NA ")</f>
        <v>4.3383947939261702E-3</v>
      </c>
      <c r="Z177" s="198">
        <f t="shared" ref="Z177" si="808">IFERROR(Z175/Y175-1,"NA ")</f>
        <v>-1.5118790496760237E-2</v>
      </c>
      <c r="AA177" s="198">
        <f t="shared" ref="AA177" si="809">IFERROR(AA175/Z175-1,"NA ")</f>
        <v>2.1929824561404132E-3</v>
      </c>
      <c r="AB177" s="198">
        <f t="shared" ref="AB177:AK177" si="810">IFERROR(AB175/AA175-1,"NA ")</f>
        <v>2.1881838074398141E-2</v>
      </c>
      <c r="AC177" s="198">
        <f t="shared" si="810"/>
        <v>2.1413276231263545E-3</v>
      </c>
      <c r="AD177" s="198">
        <f t="shared" si="810"/>
        <v>-1.4957264957264904E-2</v>
      </c>
      <c r="AE177" s="198">
        <f t="shared" si="810"/>
        <v>4.3383947939261702E-3</v>
      </c>
      <c r="AF177" s="198">
        <f t="shared" si="810"/>
        <v>1.9438444924406051E-2</v>
      </c>
      <c r="AG177" s="198">
        <f t="shared" si="810"/>
        <v>-1.4830508474576232E-2</v>
      </c>
      <c r="AH177" s="198">
        <f t="shared" si="810"/>
        <v>2.3655913978494647E-2</v>
      </c>
      <c r="AI177" s="198">
        <f t="shared" si="810"/>
        <v>4.2016806722688926E-3</v>
      </c>
      <c r="AJ177" s="198">
        <f t="shared" si="810"/>
        <v>6.2761506276149959E-3</v>
      </c>
      <c r="AK177" s="198">
        <f t="shared" si="810"/>
        <v>0</v>
      </c>
      <c r="AL177" s="252">
        <f t="shared" ref="AL177:AN177" si="811">AVERAGE(AD177,AH177)</f>
        <v>4.3493245106148715E-3</v>
      </c>
      <c r="AM177" s="252">
        <f t="shared" si="811"/>
        <v>4.2700377330975314E-3</v>
      </c>
      <c r="AN177" s="252">
        <f t="shared" si="811"/>
        <v>1.2857297776010523E-2</v>
      </c>
      <c r="AO177" s="96"/>
      <c r="AP177" s="76"/>
      <c r="AQ177" s="76"/>
    </row>
    <row r="178" spans="1:43" x14ac:dyDescent="0.2">
      <c r="E178" s="219" t="s">
        <v>115</v>
      </c>
      <c r="G178" s="365">
        <f>(G176/G177)</f>
        <v>0.67796610169491522</v>
      </c>
      <c r="H178" s="63"/>
      <c r="I178" s="253"/>
      <c r="J178" s="254">
        <f t="shared" ref="J178:S178" si="812">J175-I175</f>
        <v>5</v>
      </c>
      <c r="K178" s="254">
        <f t="shared" si="812"/>
        <v>-8</v>
      </c>
      <c r="L178" s="254">
        <f t="shared" si="812"/>
        <v>12</v>
      </c>
      <c r="M178" s="254">
        <f t="shared" si="812"/>
        <v>-3</v>
      </c>
      <c r="N178" s="254">
        <f t="shared" si="812"/>
        <v>15</v>
      </c>
      <c r="O178" s="254">
        <f>O175-N175</f>
        <v>13.714660489509413</v>
      </c>
      <c r="P178" s="254">
        <f t="shared" si="812"/>
        <v>13.43101705519922</v>
      </c>
      <c r="Q178" s="254">
        <f t="shared" si="812"/>
        <v>13.817184432433692</v>
      </c>
      <c r="R178" s="254">
        <f t="shared" si="812"/>
        <v>14.214454858873523</v>
      </c>
      <c r="S178" s="254">
        <f t="shared" si="812"/>
        <v>14.623147568376453</v>
      </c>
      <c r="U178" s="253"/>
      <c r="V178" s="253"/>
      <c r="W178" s="253"/>
      <c r="X178" s="253"/>
      <c r="Y178" s="254">
        <f t="shared" ref="Y178" si="813">Y175-U175</f>
        <v>3</v>
      </c>
      <c r="Z178" s="254">
        <f t="shared" ref="Z178" si="814">Z175-V175</f>
        <v>-2</v>
      </c>
      <c r="AA178" s="254">
        <f t="shared" ref="AA178" si="815">AA175-W175</f>
        <v>-3</v>
      </c>
      <c r="AB178" s="254">
        <f t="shared" ref="AB178:AK178" si="816">AB175-X175</f>
        <v>6</v>
      </c>
      <c r="AC178" s="254">
        <f t="shared" si="816"/>
        <v>5</v>
      </c>
      <c r="AD178" s="254">
        <f t="shared" si="816"/>
        <v>5</v>
      </c>
      <c r="AE178" s="254">
        <f t="shared" si="816"/>
        <v>6</v>
      </c>
      <c r="AF178" s="254">
        <f t="shared" si="816"/>
        <v>5</v>
      </c>
      <c r="AG178" s="254">
        <f t="shared" si="816"/>
        <v>-3</v>
      </c>
      <c r="AH178" s="254">
        <f t="shared" si="816"/>
        <v>15</v>
      </c>
      <c r="AI178" s="254">
        <f t="shared" si="816"/>
        <v>15</v>
      </c>
      <c r="AJ178" s="254">
        <f t="shared" si="816"/>
        <v>9</v>
      </c>
      <c r="AK178" s="254">
        <f t="shared" si="816"/>
        <v>16</v>
      </c>
      <c r="AL178" s="254">
        <f>AL175-AH175</f>
        <v>7.0920250896057269</v>
      </c>
      <c r="AM178" s="254">
        <f>AM175-AI175</f>
        <v>7.1548462652968396</v>
      </c>
      <c r="AN178" s="254">
        <f>AN175-AJ175</f>
        <v>10.392626591204305</v>
      </c>
      <c r="AO178" s="117"/>
      <c r="AP178" s="76"/>
      <c r="AQ178" s="76"/>
    </row>
    <row r="179" spans="1:43" x14ac:dyDescent="0.2">
      <c r="A179" s="111"/>
      <c r="B179" s="111"/>
      <c r="C179" s="111"/>
      <c r="D179" s="111"/>
      <c r="E179" s="111"/>
      <c r="F179" s="111"/>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c r="AK179" s="96"/>
      <c r="AL179" s="96"/>
      <c r="AM179" s="96"/>
      <c r="AN179" s="96"/>
      <c r="AO179" s="114"/>
      <c r="AP179" s="114"/>
      <c r="AQ179" s="114"/>
    </row>
    <row r="180" spans="1:43" x14ac:dyDescent="0.2">
      <c r="A180" s="111"/>
      <c r="B180" s="111"/>
      <c r="C180" s="111"/>
      <c r="D180" s="111"/>
      <c r="E180" s="111"/>
      <c r="F180" s="111"/>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c r="AK180" s="96"/>
      <c r="AL180" s="96"/>
      <c r="AM180" s="96"/>
      <c r="AN180" s="96"/>
      <c r="AO180" s="114"/>
      <c r="AP180" s="114"/>
      <c r="AQ180" s="114"/>
    </row>
    <row r="181" spans="1:43" x14ac:dyDescent="0.2">
      <c r="A181" s="111"/>
      <c r="B181" s="111"/>
      <c r="C181" s="111"/>
      <c r="D181" s="111"/>
      <c r="E181" s="111"/>
      <c r="F181" s="111"/>
      <c r="I181" s="96"/>
      <c r="J181" s="96"/>
      <c r="K181" s="96"/>
      <c r="L181" s="96"/>
      <c r="M181" s="96"/>
      <c r="N181" s="96"/>
      <c r="O181" s="117"/>
      <c r="P181" s="96"/>
      <c r="Q181" s="96"/>
      <c r="R181" s="96"/>
      <c r="S181" s="96"/>
      <c r="T181" s="96"/>
      <c r="U181" s="96"/>
      <c r="V181" s="96"/>
      <c r="W181" s="96"/>
      <c r="X181" s="96"/>
      <c r="Y181" s="96"/>
      <c r="Z181" s="96"/>
      <c r="AA181" s="96"/>
      <c r="AB181" s="96"/>
      <c r="AC181" s="96"/>
      <c r="AD181" s="96"/>
      <c r="AE181" s="96"/>
      <c r="AF181" s="96"/>
      <c r="AG181" s="96"/>
      <c r="AH181" s="96"/>
      <c r="AI181" s="96"/>
      <c r="AJ181" s="96"/>
      <c r="AK181" s="96"/>
      <c r="AL181" s="96"/>
      <c r="AM181" s="96"/>
      <c r="AN181" s="96"/>
      <c r="AO181" s="114"/>
      <c r="AP181" s="114"/>
      <c r="AQ181" s="114"/>
    </row>
    <row r="182" spans="1:43" x14ac:dyDescent="0.2">
      <c r="A182" s="111" t="s">
        <v>116</v>
      </c>
      <c r="F182" s="71"/>
      <c r="G182" s="71"/>
      <c r="H182" s="71"/>
      <c r="AO182" s="23"/>
      <c r="AP182" s="23"/>
      <c r="AQ182" s="23"/>
    </row>
    <row r="183" spans="1:43" x14ac:dyDescent="0.2">
      <c r="A183" s="111"/>
      <c r="F183" s="71"/>
      <c r="G183" s="71"/>
      <c r="H183" s="71"/>
      <c r="AO183" s="23"/>
      <c r="AP183" s="23"/>
      <c r="AQ183" s="23"/>
    </row>
    <row r="184" spans="1:43" x14ac:dyDescent="0.2">
      <c r="B184" s="111" t="str">
        <f>'Company Data'!B80</f>
        <v>Net Income</v>
      </c>
      <c r="G184" s="71"/>
      <c r="H184" s="71"/>
      <c r="I184" s="188">
        <f>'Company Data'!U80</f>
        <v>1152</v>
      </c>
      <c r="J184" s="188">
        <f>'Company Data'!V80</f>
        <v>631</v>
      </c>
      <c r="K184" s="188">
        <f>'Company Data'!W80</f>
        <v>-39</v>
      </c>
      <c r="L184" s="188">
        <f>'Company Data'!X80</f>
        <v>274</v>
      </c>
      <c r="M184" s="188">
        <f>'Company Data'!Y80</f>
        <v>-241</v>
      </c>
      <c r="N184" s="188">
        <f>'Company Data'!Z80</f>
        <v>596</v>
      </c>
      <c r="O184" s="189">
        <f>SUM(AK184:AN184)</f>
        <v>3494.9851367844149</v>
      </c>
      <c r="P184" s="307">
        <f>P144</f>
        <v>5586.1087997537852</v>
      </c>
      <c r="Q184" s="307">
        <f>Q144</f>
        <v>7913.4339633381842</v>
      </c>
      <c r="R184" s="307">
        <f>R144</f>
        <v>10423.493575433424</v>
      </c>
      <c r="S184" s="307">
        <f>S144</f>
        <v>13254.013832580342</v>
      </c>
      <c r="T184" s="255"/>
      <c r="U184" s="188">
        <f>'Company Data'!C80</f>
        <v>130</v>
      </c>
      <c r="V184" s="188">
        <f>'Company Data'!D80</f>
        <v>7</v>
      </c>
      <c r="W184" s="188">
        <f>'Company Data'!E80</f>
        <v>-274</v>
      </c>
      <c r="X184" s="188">
        <f>'Company Data'!F80</f>
        <v>97</v>
      </c>
      <c r="Y184" s="188">
        <f>'Company Data'!G80</f>
        <v>82</v>
      </c>
      <c r="Z184" s="188">
        <f>'Company Data'!H80</f>
        <v>-7</v>
      </c>
      <c r="AA184" s="188">
        <f>'Company Data'!I80</f>
        <v>-41</v>
      </c>
      <c r="AB184" s="188">
        <f>'Company Data'!J80</f>
        <v>240</v>
      </c>
      <c r="AC184" s="188">
        <f>'Company Data'!K80</f>
        <v>108</v>
      </c>
      <c r="AD184" s="188">
        <f>'Company Data'!L80</f>
        <v>-126</v>
      </c>
      <c r="AE184" s="188">
        <f>'Company Data'!M80</f>
        <v>-437</v>
      </c>
      <c r="AF184" s="188">
        <f>'Company Data'!N80</f>
        <v>214</v>
      </c>
      <c r="AG184" s="188">
        <f>'Company Data'!O80</f>
        <v>-57</v>
      </c>
      <c r="AH184" s="188">
        <f>'Company Data'!P80</f>
        <v>92</v>
      </c>
      <c r="AI184" s="188">
        <f>'Company Data'!Q80</f>
        <v>79</v>
      </c>
      <c r="AJ184" s="188">
        <f>'Company Data'!R80</f>
        <v>482</v>
      </c>
      <c r="AK184" s="188">
        <f>'Company Data'!S80</f>
        <v>513</v>
      </c>
      <c r="AL184" s="307">
        <f>AL144</f>
        <v>897.81307804050812</v>
      </c>
      <c r="AM184" s="307">
        <f>AM144</f>
        <v>785.20073329596266</v>
      </c>
      <c r="AN184" s="307">
        <f>AN144</f>
        <v>1298.9713254479439</v>
      </c>
      <c r="AO184" s="115"/>
      <c r="AP184" s="115"/>
      <c r="AQ184" s="115"/>
    </row>
    <row r="185" spans="1:43" x14ac:dyDescent="0.2">
      <c r="C185" s="17" t="str">
        <f>'Company Data'!B81</f>
        <v>Depreciation of Property and Equipment &amp; Software</v>
      </c>
      <c r="I185" s="260">
        <f>'Company Data'!U81</f>
        <v>568</v>
      </c>
      <c r="J185" s="260">
        <f>'Company Data'!V81</f>
        <v>1083</v>
      </c>
      <c r="K185" s="260">
        <f>'Company Data'!W81</f>
        <v>2159</v>
      </c>
      <c r="L185" s="260">
        <f>'Company Data'!X81</f>
        <v>3253</v>
      </c>
      <c r="M185" s="260">
        <f>'Company Data'!Y81</f>
        <v>4746</v>
      </c>
      <c r="N185" s="260">
        <f>'Company Data'!Z81</f>
        <v>6281</v>
      </c>
      <c r="O185" s="261">
        <f>SUM(AK185:AN185)</f>
        <v>7754.4367006043294</v>
      </c>
      <c r="P185" s="261">
        <f>P186*O293</f>
        <v>8181.1007821097046</v>
      </c>
      <c r="Q185" s="261">
        <f>Q186*P293</f>
        <v>9667.4442530806245</v>
      </c>
      <c r="R185" s="261">
        <f>R186*Q293</f>
        <v>11600.842091090977</v>
      </c>
      <c r="S185" s="261">
        <f>S186*R293</f>
        <v>13883.315475186066</v>
      </c>
      <c r="T185" s="262"/>
      <c r="U185" s="260">
        <f>'Company Data'!C81</f>
        <v>457</v>
      </c>
      <c r="V185" s="260">
        <f>'Company Data'!D81</f>
        <v>485</v>
      </c>
      <c r="W185" s="260">
        <f>'Company Data'!E81</f>
        <v>555</v>
      </c>
      <c r="X185" s="260">
        <f>'Company Data'!F81</f>
        <v>662</v>
      </c>
      <c r="Y185" s="260">
        <f>'Company Data'!G81</f>
        <v>700</v>
      </c>
      <c r="Z185" s="260">
        <f>'Company Data'!H81</f>
        <v>757</v>
      </c>
      <c r="AA185" s="260">
        <f>'Company Data'!I81</f>
        <v>834</v>
      </c>
      <c r="AB185" s="260">
        <f>'Company Data'!J81</f>
        <v>962</v>
      </c>
      <c r="AC185" s="260">
        <f>'Company Data'!K81</f>
        <v>1010</v>
      </c>
      <c r="AD185" s="260">
        <f>'Company Data'!L81</f>
        <v>1109</v>
      </c>
      <c r="AE185" s="260">
        <f>'Company Data'!M81</f>
        <v>1247</v>
      </c>
      <c r="AF185" s="260">
        <f>'Company Data'!N81</f>
        <v>1380</v>
      </c>
      <c r="AG185" s="260">
        <f>'Company Data'!O81</f>
        <v>1426</v>
      </c>
      <c r="AH185" s="260">
        <f>'Company Data'!P81</f>
        <v>1504</v>
      </c>
      <c r="AI185" s="260">
        <f>'Company Data'!Q81</f>
        <v>1599</v>
      </c>
      <c r="AJ185" s="260">
        <f>'Company Data'!R81</f>
        <v>1752</v>
      </c>
      <c r="AK185" s="260">
        <f>'Company Data'!S81</f>
        <v>1827</v>
      </c>
      <c r="AL185" s="261">
        <f>AL186*AK293</f>
        <v>1922.7122759389124</v>
      </c>
      <c r="AM185" s="261">
        <f>AM186*AL293</f>
        <v>1954.9689435603805</v>
      </c>
      <c r="AN185" s="261">
        <f>AN186*AM293</f>
        <v>2049.7554811050368</v>
      </c>
      <c r="AO185" s="115"/>
      <c r="AP185" s="23"/>
      <c r="AQ185" s="23"/>
    </row>
    <row r="186" spans="1:43" x14ac:dyDescent="0.2">
      <c r="A186" s="37"/>
      <c r="E186" s="37"/>
      <c r="F186" s="111" t="s">
        <v>117</v>
      </c>
      <c r="G186" s="37"/>
      <c r="H186" s="37"/>
      <c r="I186" s="310"/>
      <c r="J186" s="308">
        <f>J185/AVERAGE(I293,J293)</f>
        <v>0.3147798285132975</v>
      </c>
      <c r="K186" s="308">
        <f>K185/AVERAGE(J293,K293)</f>
        <v>0.37531508039982614</v>
      </c>
      <c r="L186" s="308">
        <f>L185/AVERAGE(K293,L293)</f>
        <v>0.36126381253817536</v>
      </c>
      <c r="M186" s="308">
        <f>M185/AVERAGE(L293,M293)</f>
        <v>0.34002006018054165</v>
      </c>
      <c r="N186" s="308">
        <f>N185/AVERAGE(M293,N293)</f>
        <v>0.32372116995232575</v>
      </c>
      <c r="O186" s="311">
        <f>N186</f>
        <v>0.32372116995232575</v>
      </c>
      <c r="P186" s="311">
        <f>O186</f>
        <v>0.32372116995232575</v>
      </c>
      <c r="Q186" s="311">
        <f>P186</f>
        <v>0.32372116995232575</v>
      </c>
      <c r="R186" s="311">
        <f>Q186</f>
        <v>0.32372116995232575</v>
      </c>
      <c r="S186" s="311">
        <f>R186</f>
        <v>0.32372116995232575</v>
      </c>
      <c r="U186" s="308">
        <f>U185/AVERAGE(D293,U293)</f>
        <v>9.8216204599183329E-2</v>
      </c>
      <c r="V186" s="308">
        <f>V185/AVERAGE(E293,V293)</f>
        <v>9.5154012164018045E-2</v>
      </c>
      <c r="W186" s="308">
        <f>W185/AVERAGE(F293,W293)</f>
        <v>9.802190038855528E-2</v>
      </c>
      <c r="X186" s="308">
        <f>X185/AVERAGE(G293,X293)</f>
        <v>9.3767705382436256E-2</v>
      </c>
      <c r="Y186" s="308">
        <f t="shared" ref="Y186:AK186" si="817">Y185/AVERAGE(X293,Y293)</f>
        <v>9.4231675304570231E-2</v>
      </c>
      <c r="Z186" s="308">
        <f t="shared" si="817"/>
        <v>9.05827450041881E-2</v>
      </c>
      <c r="AA186" s="308">
        <f t="shared" si="817"/>
        <v>8.7623450304685851E-2</v>
      </c>
      <c r="AB186" s="308">
        <f t="shared" si="817"/>
        <v>9.1323333966204664E-2</v>
      </c>
      <c r="AC186" s="308">
        <f t="shared" si="817"/>
        <v>8.7008959338387315E-2</v>
      </c>
      <c r="AD186" s="308">
        <f t="shared" si="817"/>
        <v>8.4155410532706032E-2</v>
      </c>
      <c r="AE186" s="308">
        <f t="shared" si="817"/>
        <v>8.3716558692222484E-2</v>
      </c>
      <c r="AF186" s="308">
        <f t="shared" si="817"/>
        <v>8.4483761363984208E-2</v>
      </c>
      <c r="AG186" s="308">
        <f t="shared" si="817"/>
        <v>8.2183096562256863E-2</v>
      </c>
      <c r="AH186" s="308">
        <f t="shared" si="817"/>
        <v>8.0827623270186749E-2</v>
      </c>
      <c r="AI186" s="308">
        <f t="shared" si="817"/>
        <v>7.9720802692259757E-2</v>
      </c>
      <c r="AJ186" s="308">
        <f t="shared" si="817"/>
        <v>8.2497527899420817E-2</v>
      </c>
      <c r="AK186" s="308">
        <f t="shared" si="817"/>
        <v>8.0937403092189789E-2</v>
      </c>
      <c r="AL186" s="309">
        <f>AVERAGE(AD186,AH186)</f>
        <v>8.2491516901446391E-2</v>
      </c>
      <c r="AM186" s="309">
        <f>AVERAGE(AE186,AI186)</f>
        <v>8.1718680692241114E-2</v>
      </c>
      <c r="AN186" s="309">
        <f>AVERAGE(AF186,AJ186)</f>
        <v>8.3490644631702512E-2</v>
      </c>
      <c r="AO186" s="115"/>
    </row>
    <row r="187" spans="1:43" x14ac:dyDescent="0.2">
      <c r="C187" s="17" t="str">
        <f>'Company Data'!B82</f>
        <v>Gain/loss on Sale of Marketable Securities, Net</v>
      </c>
      <c r="I187" s="260">
        <f>'Company Data'!U82</f>
        <v>-2</v>
      </c>
      <c r="J187" s="260">
        <f>'Company Data'!V82</f>
        <v>-4</v>
      </c>
      <c r="K187" s="260">
        <f>'Company Data'!W82</f>
        <v>-9</v>
      </c>
      <c r="L187" s="260">
        <f>'Company Data'!X82</f>
        <v>1</v>
      </c>
      <c r="M187" s="260">
        <f>'Company Data'!Y82</f>
        <v>-3</v>
      </c>
      <c r="N187" s="260">
        <f>'Company Data'!Z82</f>
        <v>5</v>
      </c>
      <c r="O187" s="261">
        <f>SUM(AK187:AN187)</f>
        <v>2</v>
      </c>
      <c r="P187" s="260">
        <f>'Company Data'!AB82</f>
        <v>0</v>
      </c>
      <c r="Q187" s="260">
        <f>'Company Data'!AC82</f>
        <v>0</v>
      </c>
      <c r="R187" s="262">
        <f>'Company Data'!AD82</f>
        <v>0</v>
      </c>
      <c r="S187" s="260">
        <f>'Company Data'!AE82</f>
        <v>0</v>
      </c>
      <c r="T187" s="262"/>
      <c r="U187" s="260">
        <f>'Company Data'!C82</f>
        <v>-2</v>
      </c>
      <c r="V187" s="260">
        <f>'Company Data'!D82</f>
        <v>-2</v>
      </c>
      <c r="W187" s="260">
        <f>'Company Data'!E82</f>
        <v>-4</v>
      </c>
      <c r="X187" s="260">
        <f>'Company Data'!F82</f>
        <v>-1</v>
      </c>
      <c r="Y187" s="260" t="str">
        <f>'Company Data'!G82</f>
        <v>-</v>
      </c>
      <c r="Z187" s="260" t="str">
        <f>'Company Data'!H82</f>
        <v>NA</v>
      </c>
      <c r="AA187" s="260" t="str">
        <f>'Company Data'!I82</f>
        <v>NA</v>
      </c>
      <c r="AB187" s="260">
        <f>'Company Data'!J82</f>
        <v>0</v>
      </c>
      <c r="AC187" s="260" t="str">
        <f>'Company Data'!K82</f>
        <v>-</v>
      </c>
      <c r="AD187" s="260" t="str">
        <f>'Company Data'!L82</f>
        <v>NA</v>
      </c>
      <c r="AE187" s="260">
        <f>'Company Data'!M82</f>
        <v>-3</v>
      </c>
      <c r="AF187" s="260">
        <f>'Company Data'!N82</f>
        <v>1</v>
      </c>
      <c r="AG187" s="260">
        <f>'Company Data'!O82</f>
        <v>1</v>
      </c>
      <c r="AH187" s="260">
        <f>'Company Data'!P82</f>
        <v>1</v>
      </c>
      <c r="AI187" s="260">
        <f>'Company Data'!Q82</f>
        <v>2</v>
      </c>
      <c r="AJ187" s="260">
        <f>'Company Data'!R82</f>
        <v>1</v>
      </c>
      <c r="AK187" s="260">
        <f>'Company Data'!S82</f>
        <v>2</v>
      </c>
      <c r="AL187" s="260">
        <v>0</v>
      </c>
      <c r="AM187" s="260">
        <v>0</v>
      </c>
      <c r="AN187" s="260">
        <v>0</v>
      </c>
      <c r="AO187" s="115"/>
      <c r="AP187" s="84"/>
      <c r="AQ187" s="84"/>
    </row>
    <row r="188" spans="1:43" x14ac:dyDescent="0.2">
      <c r="C188" s="17" t="str">
        <f>'Company Data'!B83</f>
        <v>Stock based Compensation</v>
      </c>
      <c r="I188" s="260">
        <f>'Company Data'!U83</f>
        <v>424</v>
      </c>
      <c r="J188" s="260">
        <f>'Company Data'!V83</f>
        <v>557</v>
      </c>
      <c r="K188" s="260">
        <f>'Company Data'!W83</f>
        <v>833</v>
      </c>
      <c r="L188" s="260">
        <f>'Company Data'!X83</f>
        <v>1134</v>
      </c>
      <c r="M188" s="260">
        <f>'Company Data'!Y83</f>
        <v>1497</v>
      </c>
      <c r="N188" s="260">
        <f>'Company Data'!Z83</f>
        <v>2119</v>
      </c>
      <c r="O188" s="261">
        <f>SUM(AK188:AN188)+15</f>
        <v>2541.9530377427664</v>
      </c>
      <c r="P188" s="261">
        <f>P189*P79</f>
        <v>4045.6293243091905</v>
      </c>
      <c r="Q188" s="261">
        <f>Q189*Q79</f>
        <v>4969.7557028848878</v>
      </c>
      <c r="R188" s="261">
        <f>R189*R79</f>
        <v>6001.904546912172</v>
      </c>
      <c r="S188" s="261">
        <f>S189*S79</f>
        <v>7130.1426457401676</v>
      </c>
      <c r="T188" s="262"/>
      <c r="U188" s="260">
        <f>'Company Data'!C83</f>
        <v>160</v>
      </c>
      <c r="V188" s="260">
        <f>'Company Data'!D83</f>
        <v>221</v>
      </c>
      <c r="W188" s="260">
        <f>'Company Data'!E83</f>
        <v>216</v>
      </c>
      <c r="X188" s="260">
        <f>'Company Data'!F83</f>
        <v>235</v>
      </c>
      <c r="Y188" s="260">
        <f>'Company Data'!G83</f>
        <v>229</v>
      </c>
      <c r="Z188" s="260">
        <f>'Company Data'!H83</f>
        <v>297</v>
      </c>
      <c r="AA188" s="260">
        <f>'Company Data'!I83</f>
        <v>282</v>
      </c>
      <c r="AB188" s="260">
        <f>'Company Data'!J83</f>
        <v>326</v>
      </c>
      <c r="AC188" s="260">
        <f>'Company Data'!K83</f>
        <v>321</v>
      </c>
      <c r="AD188" s="260">
        <f>'Company Data'!L83</f>
        <v>390</v>
      </c>
      <c r="AE188" s="260">
        <f>'Company Data'!M83</f>
        <v>378</v>
      </c>
      <c r="AF188" s="260">
        <f>'Company Data'!N83</f>
        <v>408</v>
      </c>
      <c r="AG188" s="260">
        <f>'Company Data'!O83</f>
        <v>407</v>
      </c>
      <c r="AH188" s="260">
        <f>'Company Data'!P83</f>
        <v>562</v>
      </c>
      <c r="AI188" s="260">
        <f>'Company Data'!Q83</f>
        <v>544</v>
      </c>
      <c r="AJ188" s="260">
        <f>'Company Data'!R83</f>
        <v>606</v>
      </c>
      <c r="AK188" s="260">
        <f>'Company Data'!S83</f>
        <v>544</v>
      </c>
      <c r="AL188" s="261">
        <f>AL189*AL79</f>
        <v>658.49424780650463</v>
      </c>
      <c r="AM188" s="261">
        <f>AM189*AM79</f>
        <v>640.27786089599113</v>
      </c>
      <c r="AN188" s="261">
        <f>AN189*AN79</f>
        <v>684.18092904027094</v>
      </c>
      <c r="AO188" s="115"/>
      <c r="AP188" s="84"/>
      <c r="AQ188" s="84"/>
    </row>
    <row r="189" spans="1:43" x14ac:dyDescent="0.2">
      <c r="F189" s="111" t="s">
        <v>118</v>
      </c>
      <c r="I189" s="308">
        <f t="shared" ref="I189:N189" si="818">I188/I79</f>
        <v>1.2396210969477255E-2</v>
      </c>
      <c r="J189" s="308">
        <f t="shared" si="818"/>
        <v>1.1585581463069658E-2</v>
      </c>
      <c r="K189" s="308">
        <f t="shared" si="818"/>
        <v>1.3634949994271029E-2</v>
      </c>
      <c r="L189" s="308">
        <f t="shared" si="818"/>
        <v>1.5231289958631064E-2</v>
      </c>
      <c r="M189" s="308">
        <f t="shared" si="818"/>
        <v>1.6822492920393763E-2</v>
      </c>
      <c r="N189" s="308">
        <f t="shared" si="818"/>
        <v>1.9802627890024859E-2</v>
      </c>
      <c r="O189" s="314">
        <f>N189*1.1</f>
        <v>2.1782890679027347E-2</v>
      </c>
      <c r="P189" s="314">
        <f t="shared" ref="P189" si="819">O189*1.1</f>
        <v>2.3961179746930083E-2</v>
      </c>
      <c r="Q189" s="314">
        <f>P189</f>
        <v>2.3961179746930083E-2</v>
      </c>
      <c r="R189" s="314">
        <f t="shared" ref="R189:S189" si="820">Q189</f>
        <v>2.3961179746930083E-2</v>
      </c>
      <c r="S189" s="314">
        <f t="shared" si="820"/>
        <v>2.3961179746930083E-2</v>
      </c>
      <c r="T189" s="313"/>
      <c r="U189" s="308">
        <f t="shared" ref="U189:AK189" si="821">U188/U79</f>
        <v>1.2135001896094046E-2</v>
      </c>
      <c r="V189" s="308">
        <f t="shared" si="821"/>
        <v>1.7219884681315255E-2</v>
      </c>
      <c r="W189" s="308">
        <f t="shared" si="821"/>
        <v>1.5645371577574969E-2</v>
      </c>
      <c r="X189" s="308">
        <f t="shared" si="821"/>
        <v>1.1049463983449314E-2</v>
      </c>
      <c r="Y189" s="308">
        <f t="shared" si="821"/>
        <v>1.4250155569383945E-2</v>
      </c>
      <c r="Z189" s="308">
        <f t="shared" si="821"/>
        <v>1.891237901171676E-2</v>
      </c>
      <c r="AA189" s="308">
        <f t="shared" si="821"/>
        <v>1.6498946875731335E-2</v>
      </c>
      <c r="AB189" s="308">
        <f t="shared" si="821"/>
        <v>1.2740844960331418E-2</v>
      </c>
      <c r="AC189" s="308">
        <f t="shared" si="821"/>
        <v>1.6260574438984855E-2</v>
      </c>
      <c r="AD189" s="308">
        <f t="shared" si="821"/>
        <v>2.0165460186142709E-2</v>
      </c>
      <c r="AE189" s="308">
        <f t="shared" si="821"/>
        <v>1.8368239467418241E-2</v>
      </c>
      <c r="AF189" s="308">
        <f t="shared" si="821"/>
        <v>1.3911620294599018E-2</v>
      </c>
      <c r="AG189" s="308">
        <f t="shared" si="821"/>
        <v>1.7916098076330503E-2</v>
      </c>
      <c r="AH189" s="308">
        <f t="shared" si="821"/>
        <v>2.4239810222126373E-2</v>
      </c>
      <c r="AI189" s="308">
        <f t="shared" si="821"/>
        <v>2.1452795961826643E-2</v>
      </c>
      <c r="AJ189" s="308">
        <f t="shared" si="821"/>
        <v>1.6952471536072957E-2</v>
      </c>
      <c r="AK189" s="308">
        <f t="shared" si="821"/>
        <v>1.8676187860477891E-2</v>
      </c>
      <c r="AL189" s="312">
        <f>AVERAGE(AD189,AH189)</f>
        <v>2.2202635204134541E-2</v>
      </c>
      <c r="AM189" s="312">
        <f>AVERAGE(AE189,AI189)</f>
        <v>1.991051771462244E-2</v>
      </c>
      <c r="AN189" s="312">
        <f>AVERAGE(AF189,AJ189)</f>
        <v>1.5432045915335988E-2</v>
      </c>
      <c r="AO189" s="115"/>
    </row>
    <row r="190" spans="1:43" x14ac:dyDescent="0.2">
      <c r="C190" s="17" t="str">
        <f>'Company Data'!B84</f>
        <v>Excess Tax Charges (benefits) from Stock-based Compensation</v>
      </c>
      <c r="I190" s="315">
        <f>'Company Data'!U84</f>
        <v>-259</v>
      </c>
      <c r="J190" s="315">
        <f>'Company Data'!V84</f>
        <v>-62</v>
      </c>
      <c r="K190" s="315">
        <f>'Company Data'!W84</f>
        <v>-429</v>
      </c>
      <c r="L190" s="315">
        <f>'Company Data'!X84</f>
        <v>-78</v>
      </c>
      <c r="M190" s="315">
        <f>'Company Data'!Y84</f>
        <v>-6</v>
      </c>
      <c r="N190" s="315">
        <f>'Company Data'!Z84</f>
        <v>-119</v>
      </c>
      <c r="O190" s="317">
        <f t="shared" ref="O190:O195" si="822">SUM(AK190:AN190)</f>
        <v>-207</v>
      </c>
      <c r="P190" s="317">
        <f>'Company Data'!AB84</f>
        <v>0</v>
      </c>
      <c r="Q190" s="317">
        <f>'Company Data'!AC84</f>
        <v>0</v>
      </c>
      <c r="R190" s="318">
        <f>'Company Data'!AD84</f>
        <v>0</v>
      </c>
      <c r="S190" s="317">
        <f>'Company Data'!AE84</f>
        <v>0</v>
      </c>
      <c r="T190" s="316"/>
      <c r="U190" s="315">
        <f>'Company Data'!C84</f>
        <v>-40</v>
      </c>
      <c r="V190" s="315">
        <f>'Company Data'!D84</f>
        <v>-85</v>
      </c>
      <c r="W190" s="315">
        <f>'Company Data'!E84</f>
        <v>-65</v>
      </c>
      <c r="X190" s="315">
        <f>'Company Data'!F84</f>
        <v>-239</v>
      </c>
      <c r="Y190" s="315" t="str">
        <f>'Company Data'!G84</f>
        <v>-</v>
      </c>
      <c r="Z190" s="315" t="str">
        <f>'Company Data'!H84</f>
        <v>NA</v>
      </c>
      <c r="AA190" s="315" t="str">
        <f>'Company Data'!I84</f>
        <v>NA</v>
      </c>
      <c r="AB190" s="315" t="str">
        <f>'Company Data'!J84</f>
        <v>NA</v>
      </c>
      <c r="AC190" s="315">
        <f>'Company Data'!K84</f>
        <v>-121</v>
      </c>
      <c r="AD190" s="315">
        <f>'Company Data'!L84</f>
        <v>0</v>
      </c>
      <c r="AE190" s="315">
        <f>'Company Data'!M84</f>
        <v>0</v>
      </c>
      <c r="AF190" s="315">
        <f>'Company Data'!N84</f>
        <v>115</v>
      </c>
      <c r="AG190" s="315">
        <f>'Company Data'!O84</f>
        <v>-22</v>
      </c>
      <c r="AH190" s="315">
        <f>'Company Data'!P84</f>
        <v>-95</v>
      </c>
      <c r="AI190" s="315">
        <f>'Company Data'!Q84</f>
        <v>-95</v>
      </c>
      <c r="AJ190" s="315">
        <f>'Company Data'!R84</f>
        <v>93</v>
      </c>
      <c r="AK190" s="315">
        <f>'Company Data'!S84</f>
        <v>-207</v>
      </c>
      <c r="AL190" s="315">
        <v>0</v>
      </c>
      <c r="AM190" s="315">
        <v>0</v>
      </c>
      <c r="AN190" s="315">
        <v>0</v>
      </c>
      <c r="AO190" s="115"/>
      <c r="AP190" s="84"/>
      <c r="AQ190" s="84"/>
    </row>
    <row r="191" spans="1:43" x14ac:dyDescent="0.2">
      <c r="C191" s="17" t="str">
        <f>'Company Data'!B85</f>
        <v>Deferred Income Taxes</v>
      </c>
      <c r="I191" s="315">
        <f>'Company Data'!U85</f>
        <v>4</v>
      </c>
      <c r="J191" s="315">
        <f>'Company Data'!V85</f>
        <v>136</v>
      </c>
      <c r="K191" s="315">
        <f>'Company Data'!W85</f>
        <v>-265</v>
      </c>
      <c r="L191" s="315">
        <f>'Company Data'!X85</f>
        <v>-156</v>
      </c>
      <c r="M191" s="315">
        <f>'Company Data'!Y85</f>
        <v>-316</v>
      </c>
      <c r="N191" s="315">
        <f>'Company Data'!Z85</f>
        <v>81</v>
      </c>
      <c r="O191" s="317">
        <f t="shared" si="822"/>
        <v>11</v>
      </c>
      <c r="P191" s="315">
        <f>'Company Data'!AB85</f>
        <v>0</v>
      </c>
      <c r="Q191" s="315">
        <f>'Company Data'!AC85</f>
        <v>0</v>
      </c>
      <c r="R191" s="316">
        <f>'Company Data'!AD85</f>
        <v>0</v>
      </c>
      <c r="S191" s="315">
        <f>'Company Data'!AE85</f>
        <v>0</v>
      </c>
      <c r="T191" s="316"/>
      <c r="U191" s="315">
        <f>'Company Data'!C85</f>
        <v>-38</v>
      </c>
      <c r="V191" s="315">
        <f>'Company Data'!D85</f>
        <v>-43</v>
      </c>
      <c r="W191" s="315">
        <f>'Company Data'!E85</f>
        <v>-36</v>
      </c>
      <c r="X191" s="315">
        <f>'Company Data'!F85</f>
        <v>-148</v>
      </c>
      <c r="Y191" s="315">
        <f>'Company Data'!G85</f>
        <v>-80</v>
      </c>
      <c r="Z191" s="315">
        <f>'Company Data'!H85</f>
        <v>22</v>
      </c>
      <c r="AA191" s="315">
        <f>'Company Data'!I85</f>
        <v>11</v>
      </c>
      <c r="AB191" s="315">
        <f>'Company Data'!J85</f>
        <v>-109</v>
      </c>
      <c r="AC191" s="315">
        <f>'Company Data'!K85</f>
        <v>-185</v>
      </c>
      <c r="AD191" s="315">
        <f>'Company Data'!L85</f>
        <v>-49</v>
      </c>
      <c r="AE191" s="315">
        <f>'Company Data'!M85</f>
        <v>-269</v>
      </c>
      <c r="AF191" s="315">
        <f>'Company Data'!N85</f>
        <v>187</v>
      </c>
      <c r="AG191" s="315">
        <f>'Company Data'!O85</f>
        <v>-2</v>
      </c>
      <c r="AH191" s="315">
        <f>'Company Data'!P85</f>
        <v>-43</v>
      </c>
      <c r="AI191" s="315">
        <f>'Company Data'!Q85</f>
        <v>-63</v>
      </c>
      <c r="AJ191" s="315">
        <f>'Company Data'!R85</f>
        <v>189</v>
      </c>
      <c r="AK191" s="315">
        <f>'Company Data'!S85</f>
        <v>11</v>
      </c>
      <c r="AL191" s="315">
        <v>0</v>
      </c>
      <c r="AM191" s="315">
        <v>0</v>
      </c>
      <c r="AN191" s="315">
        <v>0</v>
      </c>
      <c r="AO191" s="115"/>
      <c r="AP191" s="84"/>
      <c r="AQ191" s="84"/>
    </row>
    <row r="192" spans="1:43" x14ac:dyDescent="0.2">
      <c r="C192" s="17" t="str">
        <f>'Company Data'!B86</f>
        <v>Other Gain/loss, Net</v>
      </c>
      <c r="I192" s="315">
        <f>'Company Data'!U86</f>
        <v>-79</v>
      </c>
      <c r="J192" s="315">
        <f>'Company Data'!V86</f>
        <v>-56</v>
      </c>
      <c r="K192" s="315">
        <f>'Company Data'!W86</f>
        <v>253</v>
      </c>
      <c r="L192" s="315">
        <f>'Company Data'!X86</f>
        <v>166</v>
      </c>
      <c r="M192" s="315">
        <f>'Company Data'!Y86</f>
        <v>62</v>
      </c>
      <c r="N192" s="315">
        <f>'Company Data'!Z86</f>
        <v>245</v>
      </c>
      <c r="O192" s="317">
        <f t="shared" si="822"/>
        <v>-807.59015086233103</v>
      </c>
      <c r="P192" s="317">
        <f t="shared" ref="P192:S192" si="823">O296-P296</f>
        <v>-794.29660423944915</v>
      </c>
      <c r="Q192" s="317">
        <f t="shared" si="823"/>
        <v>-1158.5501200949966</v>
      </c>
      <c r="R192" s="317">
        <f t="shared" si="823"/>
        <v>-1293.9747148509432</v>
      </c>
      <c r="S192" s="317">
        <f t="shared" si="823"/>
        <v>-1414.4389936228354</v>
      </c>
      <c r="T192" s="316"/>
      <c r="U192" s="315">
        <f>'Company Data'!C86</f>
        <v>15</v>
      </c>
      <c r="V192" s="315">
        <f>'Company Data'!D86</f>
        <v>-19</v>
      </c>
      <c r="W192" s="315">
        <f>'Company Data'!E86</f>
        <v>157</v>
      </c>
      <c r="X192" s="315">
        <f>'Company Data'!F86</f>
        <v>100</v>
      </c>
      <c r="Y192" s="315">
        <f>'Company Data'!G86</f>
        <v>68</v>
      </c>
      <c r="Z192" s="315">
        <f>'Company Data'!H86</f>
        <v>42</v>
      </c>
      <c r="AA192" s="315">
        <f>'Company Data'!I86</f>
        <v>5</v>
      </c>
      <c r="AB192" s="315">
        <f>'Company Data'!J86</f>
        <v>51</v>
      </c>
      <c r="AC192" s="315">
        <f>'Company Data'!K86</f>
        <v>-50</v>
      </c>
      <c r="AD192" s="315">
        <f>'Company Data'!L86</f>
        <v>-7</v>
      </c>
      <c r="AE192" s="315">
        <f>'Company Data'!M86</f>
        <v>41</v>
      </c>
      <c r="AF192" s="315">
        <f>'Company Data'!N86</f>
        <v>78</v>
      </c>
      <c r="AG192" s="315">
        <f>'Company Data'!O86</f>
        <v>91</v>
      </c>
      <c r="AH192" s="315">
        <f>'Company Data'!P86</f>
        <v>18</v>
      </c>
      <c r="AI192" s="315">
        <f>'Company Data'!Q86</f>
        <v>57</v>
      </c>
      <c r="AJ192" s="315">
        <f>'Company Data'!R86</f>
        <v>79</v>
      </c>
      <c r="AK192" s="315">
        <f>'Company Data'!S86</f>
        <v>-52</v>
      </c>
      <c r="AL192" s="317">
        <f>AK296-AL296</f>
        <v>-249.46479318131742</v>
      </c>
      <c r="AM192" s="317">
        <f>AL296-AM296</f>
        <v>-465.58882568072613</v>
      </c>
      <c r="AN192" s="317">
        <f>AM296-AN296</f>
        <v>-40.53653200028748</v>
      </c>
      <c r="AO192" s="115"/>
      <c r="AP192" s="84"/>
      <c r="AQ192" s="84"/>
    </row>
    <row r="193" spans="2:43" x14ac:dyDescent="0.2">
      <c r="C193" s="17" t="str">
        <f>'Company Data'!B87</f>
        <v>Other Operating Income/expense</v>
      </c>
      <c r="I193" s="315">
        <f>'Company Data'!U87</f>
        <v>106</v>
      </c>
      <c r="J193" s="315">
        <f>'Company Data'!V87</f>
        <v>154</v>
      </c>
      <c r="K193" s="315">
        <f>'Company Data'!W87</f>
        <v>154</v>
      </c>
      <c r="L193" s="315">
        <f>'Company Data'!X87</f>
        <v>114</v>
      </c>
      <c r="M193" s="315">
        <f>'Company Data'!Y87</f>
        <v>129</v>
      </c>
      <c r="N193" s="315">
        <f>'Company Data'!Z87</f>
        <v>155</v>
      </c>
      <c r="O193" s="317">
        <f t="shared" si="822"/>
        <v>43</v>
      </c>
      <c r="P193" s="315">
        <f>'Company Data'!AB87</f>
        <v>0</v>
      </c>
      <c r="Q193" s="315">
        <f>'Company Data'!AC87</f>
        <v>0</v>
      </c>
      <c r="R193" s="316">
        <f>'Company Data'!AD87</f>
        <v>0</v>
      </c>
      <c r="S193" s="315">
        <f>'Company Data'!AE87</f>
        <v>0</v>
      </c>
      <c r="T193" s="316"/>
      <c r="U193" s="315">
        <f>'Company Data'!C87</f>
        <v>46</v>
      </c>
      <c r="V193" s="315">
        <f>'Company Data'!D87</f>
        <v>33</v>
      </c>
      <c r="W193" s="315">
        <f>'Company Data'!E87</f>
        <v>39</v>
      </c>
      <c r="X193" s="315">
        <f>'Company Data'!F87</f>
        <v>36</v>
      </c>
      <c r="Y193" s="315">
        <f>'Company Data'!G87</f>
        <v>31</v>
      </c>
      <c r="Z193" s="315">
        <f>'Company Data'!H87</f>
        <v>32</v>
      </c>
      <c r="AA193" s="315">
        <f>'Company Data'!I87</f>
        <v>11</v>
      </c>
      <c r="AB193" s="315">
        <f>'Company Data'!J87</f>
        <v>40</v>
      </c>
      <c r="AC193" s="315">
        <f>'Company Data'!K87</f>
        <v>35</v>
      </c>
      <c r="AD193" s="315">
        <f>'Company Data'!L87</f>
        <v>27</v>
      </c>
      <c r="AE193" s="315">
        <f>'Company Data'!M87</f>
        <v>31</v>
      </c>
      <c r="AF193" s="315">
        <f>'Company Data'!N87</f>
        <v>36</v>
      </c>
      <c r="AG193" s="315">
        <f>'Company Data'!O87</f>
        <v>44</v>
      </c>
      <c r="AH193" s="315">
        <f>'Company Data'!P87</f>
        <v>43</v>
      </c>
      <c r="AI193" s="315">
        <f>'Company Data'!Q87</f>
        <v>33</v>
      </c>
      <c r="AJ193" s="315">
        <f>'Company Data'!R87</f>
        <v>35</v>
      </c>
      <c r="AK193" s="315">
        <f>'Company Data'!S87</f>
        <v>43</v>
      </c>
      <c r="AL193" s="315">
        <v>0</v>
      </c>
      <c r="AM193" s="315">
        <v>0</v>
      </c>
      <c r="AN193" s="315">
        <v>0</v>
      </c>
      <c r="AO193" s="115"/>
      <c r="AP193" s="84"/>
      <c r="AQ193" s="84"/>
    </row>
    <row r="194" spans="2:43" x14ac:dyDescent="0.2">
      <c r="C194" s="17" t="str">
        <f>'Company Data'!B88</f>
        <v>Accounts Receivable, Net and Other Current Assets</v>
      </c>
      <c r="I194" s="315">
        <f>'Company Data'!U88</f>
        <v>-295</v>
      </c>
      <c r="J194" s="315">
        <f>'Company Data'!V88</f>
        <v>-866</v>
      </c>
      <c r="K194" s="315">
        <f>'Company Data'!W88</f>
        <v>-861</v>
      </c>
      <c r="L194" s="315">
        <f>'Company Data'!X88</f>
        <v>-846</v>
      </c>
      <c r="M194" s="315">
        <f>'Company Data'!Y88</f>
        <v>-1039</v>
      </c>
      <c r="N194" s="315">
        <f>'Company Data'!Z88</f>
        <v>-1755</v>
      </c>
      <c r="O194" s="317">
        <f t="shared" si="822"/>
        <v>-1918.3870886836157</v>
      </c>
      <c r="P194" s="317">
        <f t="shared" ref="P194:S194" si="824">O280-P280</f>
        <v>-912.59030363105376</v>
      </c>
      <c r="Q194" s="317">
        <f t="shared" si="824"/>
        <v>-1899.3559047356975</v>
      </c>
      <c r="R194" s="317">
        <f t="shared" si="824"/>
        <v>-2121.3743562767104</v>
      </c>
      <c r="S194" s="317">
        <f t="shared" si="824"/>
        <v>-2318.8664934113222</v>
      </c>
      <c r="T194" s="316"/>
      <c r="U194" s="315">
        <f>'Company Data'!C88</f>
        <v>746</v>
      </c>
      <c r="V194" s="315">
        <f>'Company Data'!D88</f>
        <v>-166</v>
      </c>
      <c r="W194" s="315">
        <f>'Company Data'!E88</f>
        <v>-416</v>
      </c>
      <c r="X194" s="315">
        <f>'Company Data'!F88</f>
        <v>-1024</v>
      </c>
      <c r="Y194" s="315">
        <f>'Company Data'!G88</f>
        <v>729</v>
      </c>
      <c r="Z194" s="315">
        <f>'Company Data'!H88</f>
        <v>-211</v>
      </c>
      <c r="AA194" s="315">
        <f>'Company Data'!I88</f>
        <v>-125</v>
      </c>
      <c r="AB194" s="315">
        <f>'Company Data'!J88</f>
        <v>-1239</v>
      </c>
      <c r="AC194" s="315">
        <f>'Company Data'!K88</f>
        <v>727</v>
      </c>
      <c r="AD194" s="315">
        <f>'Company Data'!L88</f>
        <v>-299</v>
      </c>
      <c r="AE194" s="315">
        <f>'Company Data'!M88</f>
        <v>-362</v>
      </c>
      <c r="AF194" s="315">
        <f>'Company Data'!N88</f>
        <v>-1105</v>
      </c>
      <c r="AG194" s="315">
        <f>'Company Data'!O88</f>
        <v>441</v>
      </c>
      <c r="AH194" s="315">
        <f>'Company Data'!P88</f>
        <v>-430</v>
      </c>
      <c r="AI194" s="315">
        <f>'Company Data'!Q88</f>
        <v>-588</v>
      </c>
      <c r="AJ194" s="315">
        <f>'Company Data'!R88</f>
        <v>-1178</v>
      </c>
      <c r="AK194" s="315">
        <f>'Company Data'!S88</f>
        <v>412</v>
      </c>
      <c r="AL194" s="317">
        <f>AK280-AL280</f>
        <v>-606.76791044872789</v>
      </c>
      <c r="AM194" s="317">
        <f t="shared" ref="AM194:AN194" si="825">AL280-AM280</f>
        <v>-500.72594129443314</v>
      </c>
      <c r="AN194" s="317">
        <f t="shared" si="825"/>
        <v>-1222.8932369404547</v>
      </c>
      <c r="AO194" s="115"/>
      <c r="AP194" s="84"/>
      <c r="AQ194" s="84"/>
    </row>
    <row r="195" spans="2:43" x14ac:dyDescent="0.2">
      <c r="C195" s="17" t="str">
        <f>'Company Data'!B89</f>
        <v>Inventories</v>
      </c>
      <c r="I195" s="315">
        <f>'Company Data'!U89</f>
        <v>-1019</v>
      </c>
      <c r="J195" s="315">
        <f>'Company Data'!V89</f>
        <v>-1777</v>
      </c>
      <c r="K195" s="315">
        <f>'Company Data'!W89</f>
        <v>-999</v>
      </c>
      <c r="L195" s="315">
        <f>'Company Data'!X89</f>
        <v>-1410</v>
      </c>
      <c r="M195" s="315">
        <f>'Company Data'!Y89</f>
        <v>-1193</v>
      </c>
      <c r="N195" s="315">
        <f>'Company Data'!Z89</f>
        <v>-2187</v>
      </c>
      <c r="O195" s="317">
        <f t="shared" si="822"/>
        <v>-4207.8199516212335</v>
      </c>
      <c r="P195" s="317">
        <f t="shared" ref="P195:S195" si="826">O282-P282</f>
        <v>-2882.6021071967334</v>
      </c>
      <c r="Q195" s="317">
        <f t="shared" si="826"/>
        <v>-2762.5166345923426</v>
      </c>
      <c r="R195" s="317">
        <f t="shared" si="826"/>
        <v>-2861.9692802912105</v>
      </c>
      <c r="S195" s="317">
        <f t="shared" si="826"/>
        <v>-2857.8363529080452</v>
      </c>
      <c r="T195" s="316"/>
      <c r="U195" s="315">
        <f>'Company Data'!C89</f>
        <v>747</v>
      </c>
      <c r="V195" s="315">
        <f>'Company Data'!D89</f>
        <v>-125</v>
      </c>
      <c r="W195" s="315">
        <f>'Company Data'!E89</f>
        <v>-647</v>
      </c>
      <c r="X195" s="315">
        <f>'Company Data'!F89</f>
        <v>-974</v>
      </c>
      <c r="Y195" s="315">
        <f>'Company Data'!G89</f>
        <v>535</v>
      </c>
      <c r="Z195" s="315">
        <f>'Company Data'!H89</f>
        <v>-30</v>
      </c>
      <c r="AA195" s="315">
        <f>'Company Data'!I89</f>
        <v>-585</v>
      </c>
      <c r="AB195" s="315">
        <f>'Company Data'!J89</f>
        <v>-1330</v>
      </c>
      <c r="AC195" s="315">
        <f>'Company Data'!K89</f>
        <v>699</v>
      </c>
      <c r="AD195" s="315">
        <f>'Company Data'!L89</f>
        <v>92</v>
      </c>
      <c r="AE195" s="315">
        <f>'Company Data'!M89</f>
        <v>-845</v>
      </c>
      <c r="AF195" s="315">
        <f>'Company Data'!N89</f>
        <v>-1139</v>
      </c>
      <c r="AG195" s="315">
        <f>'Company Data'!O89</f>
        <v>721</v>
      </c>
      <c r="AH195" s="315">
        <f>'Company Data'!P89</f>
        <v>-28</v>
      </c>
      <c r="AI195" s="315">
        <f>'Company Data'!Q89</f>
        <v>-1537</v>
      </c>
      <c r="AJ195" s="315">
        <f>'Company Data'!R89</f>
        <v>-1343</v>
      </c>
      <c r="AK195" s="315">
        <f>'Company Data'!S89</f>
        <v>769</v>
      </c>
      <c r="AL195" s="317">
        <f>AK282-AL282</f>
        <v>-76.243429501029823</v>
      </c>
      <c r="AM195" s="317">
        <f>AL282-AM282</f>
        <v>-931.17792069959069</v>
      </c>
      <c r="AN195" s="317">
        <f>AM282-AN282</f>
        <v>-3969.398601420613</v>
      </c>
      <c r="AO195" s="115"/>
      <c r="AP195" s="84"/>
      <c r="AQ195" s="84"/>
    </row>
    <row r="196" spans="2:43" x14ac:dyDescent="0.2">
      <c r="C196" s="17" t="str">
        <f>'Company Data'!B90</f>
        <v>Accounts Payable</v>
      </c>
      <c r="G196" s="168"/>
      <c r="H196" s="168"/>
      <c r="I196" s="315">
        <f>'Company Data'!U90</f>
        <v>2373</v>
      </c>
      <c r="J196" s="315">
        <f>'Company Data'!V90</f>
        <v>2997</v>
      </c>
      <c r="K196" s="315">
        <f>'Company Data'!W90</f>
        <v>2070</v>
      </c>
      <c r="L196" s="315">
        <f>'Company Data'!X90</f>
        <v>1888</v>
      </c>
      <c r="M196" s="315">
        <f>'Company Data'!Y90</f>
        <v>1759</v>
      </c>
      <c r="N196" s="315">
        <f>'Company Data'!Z90</f>
        <v>4294</v>
      </c>
      <c r="O196" s="317">
        <f>SUM(AK196:AN196)</f>
        <v>4626.0397559487064</v>
      </c>
      <c r="P196" s="317">
        <f t="shared" ref="P196:S196" si="827">P310-O310</f>
        <v>6280.4782502981361</v>
      </c>
      <c r="Q196" s="317">
        <f t="shared" si="827"/>
        <v>7525.4344116679204</v>
      </c>
      <c r="R196" s="317">
        <f t="shared" si="827"/>
        <v>8848.5984411730751</v>
      </c>
      <c r="S196" s="317">
        <f t="shared" si="827"/>
        <v>10214.745142467582</v>
      </c>
      <c r="T196" s="316"/>
      <c r="U196" s="315">
        <f>'Company Data'!C90</f>
        <v>-4258</v>
      </c>
      <c r="V196" s="315">
        <f>'Company Data'!D90</f>
        <v>180</v>
      </c>
      <c r="W196" s="315">
        <f>'Company Data'!E90</f>
        <v>1222</v>
      </c>
      <c r="X196" s="315">
        <f>'Company Data'!F90</f>
        <v>4926</v>
      </c>
      <c r="Y196" s="315">
        <f>'Company Data'!G90</f>
        <v>-4187</v>
      </c>
      <c r="Z196" s="315">
        <f>'Company Data'!H90</f>
        <v>0</v>
      </c>
      <c r="AA196" s="315">
        <f>'Company Data'!I90</f>
        <v>947</v>
      </c>
      <c r="AB196" s="315">
        <f>'Company Data'!J90</f>
        <v>5128</v>
      </c>
      <c r="AC196" s="315">
        <f>'Company Data'!K90</f>
        <v>-4675</v>
      </c>
      <c r="AD196" s="315">
        <f>'Company Data'!L90</f>
        <v>-343</v>
      </c>
      <c r="AE196" s="315">
        <f>'Company Data'!M90</f>
        <v>1724</v>
      </c>
      <c r="AF196" s="315">
        <f>'Company Data'!N90</f>
        <v>5053</v>
      </c>
      <c r="AG196" s="315">
        <f>'Company Data'!O90</f>
        <v>-4249</v>
      </c>
      <c r="AH196" s="315">
        <f>'Company Data'!P90</f>
        <v>373</v>
      </c>
      <c r="AI196" s="315">
        <f>'Company Data'!Q90</f>
        <v>2030</v>
      </c>
      <c r="AJ196" s="315">
        <f>'Company Data'!R90</f>
        <v>6140</v>
      </c>
      <c r="AK196" s="315">
        <f>'Company Data'!S90</f>
        <v>-5770</v>
      </c>
      <c r="AL196" s="317">
        <f>AL310-AK310</f>
        <v>347.44631476888571</v>
      </c>
      <c r="AM196" s="317">
        <f>AM310-AL310</f>
        <v>2228.4891512068443</v>
      </c>
      <c r="AN196" s="317">
        <f>AN310-AM310</f>
        <v>7820.1042899729764</v>
      </c>
      <c r="AO196" s="115"/>
      <c r="AP196" s="84"/>
      <c r="AQ196" s="84"/>
    </row>
    <row r="197" spans="2:43" outlineLevel="1" x14ac:dyDescent="0.2">
      <c r="C197" s="17" t="str">
        <f>'Company Data'!B91</f>
        <v>Amortization of Previously Unearned Revenue</v>
      </c>
      <c r="G197" s="168"/>
      <c r="H197" s="168"/>
      <c r="I197" s="315">
        <f>'Company Data'!U91</f>
        <v>-905</v>
      </c>
      <c r="J197" s="315">
        <f>'Company Data'!V91</f>
        <v>-1021</v>
      </c>
      <c r="K197" s="315">
        <f>'Company Data'!W91</f>
        <v>-1521</v>
      </c>
      <c r="L197" s="315">
        <f>'Company Data'!X91</f>
        <v>-2292</v>
      </c>
      <c r="M197" s="315">
        <f>'Company Data'!Y91</f>
        <v>-3692</v>
      </c>
      <c r="N197" s="315">
        <f>'Company Data'!Z91</f>
        <v>-6109</v>
      </c>
      <c r="O197" s="317">
        <f t="shared" ref="O197:O200" si="828">SUM(AK197:AN197)</f>
        <v>-2110</v>
      </c>
      <c r="P197" s="315">
        <v>0</v>
      </c>
      <c r="Q197" s="315">
        <v>0</v>
      </c>
      <c r="R197" s="315">
        <v>0</v>
      </c>
      <c r="S197" s="315">
        <v>0</v>
      </c>
      <c r="T197" s="316"/>
      <c r="U197" s="315">
        <f>'Company Data'!C91</f>
        <v>-269</v>
      </c>
      <c r="V197" s="315">
        <f>'Company Data'!D91</f>
        <v>-333</v>
      </c>
      <c r="W197" s="315">
        <f>'Company Data'!E91</f>
        <v>-373</v>
      </c>
      <c r="X197" s="315">
        <f>'Company Data'!F91</f>
        <v>-546</v>
      </c>
      <c r="Y197" s="315">
        <f>'Company Data'!G91</f>
        <v>-460</v>
      </c>
      <c r="Z197" s="315">
        <f>'Company Data'!H91</f>
        <v>-461</v>
      </c>
      <c r="AA197" s="315">
        <f>'Company Data'!I91</f>
        <v>-550</v>
      </c>
      <c r="AB197" s="315">
        <f>'Company Data'!J91</f>
        <v>-821</v>
      </c>
      <c r="AC197" s="315">
        <f>'Company Data'!K91</f>
        <v>-732</v>
      </c>
      <c r="AD197" s="315">
        <f>'Company Data'!L91</f>
        <v>-810</v>
      </c>
      <c r="AE197" s="315">
        <f>'Company Data'!M91</f>
        <v>-811</v>
      </c>
      <c r="AF197" s="315">
        <f>'Company Data'!N91</f>
        <v>-1339</v>
      </c>
      <c r="AG197" s="315">
        <f>'Company Data'!O91</f>
        <v>-1163</v>
      </c>
      <c r="AH197" s="315">
        <f>'Company Data'!P91</f>
        <v>-1269</v>
      </c>
      <c r="AI197" s="315">
        <f>'Company Data'!Q91</f>
        <v>-1373</v>
      </c>
      <c r="AJ197" s="315">
        <f>'Company Data'!R91</f>
        <v>-2304</v>
      </c>
      <c r="AK197" s="315">
        <f>'Company Data'!S91</f>
        <v>-2110</v>
      </c>
      <c r="AL197" s="317"/>
      <c r="AM197" s="317"/>
      <c r="AN197" s="317"/>
      <c r="AO197" s="115"/>
      <c r="AP197" s="84"/>
      <c r="AQ197" s="84"/>
    </row>
    <row r="198" spans="2:43" outlineLevel="1" x14ac:dyDescent="0.2">
      <c r="C198" s="17" t="str">
        <f>'Company Data'!B92</f>
        <v>Additions to Unearned Revenue</v>
      </c>
      <c r="G198" s="168"/>
      <c r="H198" s="168"/>
      <c r="I198" s="315">
        <f>'Company Data'!U92</f>
        <v>687</v>
      </c>
      <c r="J198" s="315">
        <f>'Company Data'!V92</f>
        <v>1064</v>
      </c>
      <c r="K198" s="315">
        <f>'Company Data'!W92</f>
        <v>1796</v>
      </c>
      <c r="L198" s="315">
        <f>'Company Data'!X92</f>
        <v>2691</v>
      </c>
      <c r="M198" s="315">
        <f>'Company Data'!Y92</f>
        <v>4433</v>
      </c>
      <c r="N198" s="315">
        <f>'Company Data'!Z92</f>
        <v>7401</v>
      </c>
      <c r="O198" s="317">
        <f t="shared" si="828"/>
        <v>2814</v>
      </c>
      <c r="P198" s="315">
        <v>0</v>
      </c>
      <c r="Q198" s="315">
        <v>0</v>
      </c>
      <c r="R198" s="315">
        <v>0</v>
      </c>
      <c r="S198" s="315">
        <v>0</v>
      </c>
      <c r="T198" s="316"/>
      <c r="U198" s="315">
        <f>'Company Data'!C92</f>
        <v>397</v>
      </c>
      <c r="V198" s="315">
        <f>'Company Data'!D92</f>
        <v>382</v>
      </c>
      <c r="W198" s="315">
        <f>'Company Data'!E92</f>
        <v>472</v>
      </c>
      <c r="X198" s="315">
        <f>'Company Data'!F92</f>
        <v>545</v>
      </c>
      <c r="Y198" s="315">
        <f>'Company Data'!G92</f>
        <v>684</v>
      </c>
      <c r="Z198" s="315">
        <f>'Company Data'!H92</f>
        <v>516</v>
      </c>
      <c r="AA198" s="315">
        <f>'Company Data'!I92</f>
        <v>672</v>
      </c>
      <c r="AB198" s="315">
        <f>'Company Data'!J92</f>
        <v>819</v>
      </c>
      <c r="AC198" s="315">
        <f>'Company Data'!K92</f>
        <v>1092</v>
      </c>
      <c r="AD198" s="315">
        <f>'Company Data'!L92</f>
        <v>894</v>
      </c>
      <c r="AE198" s="315">
        <f>'Company Data'!M92</f>
        <v>1069</v>
      </c>
      <c r="AF198" s="315">
        <f>'Company Data'!N92</f>
        <v>1378</v>
      </c>
      <c r="AG198" s="315">
        <f>'Company Data'!O92</f>
        <v>1803</v>
      </c>
      <c r="AH198" s="315">
        <f>'Company Data'!P92</f>
        <v>1397</v>
      </c>
      <c r="AI198" s="315">
        <f>'Company Data'!Q92</f>
        <v>1779</v>
      </c>
      <c r="AJ198" s="315">
        <f>'Company Data'!R92</f>
        <v>2422</v>
      </c>
      <c r="AK198" s="315">
        <f>'Company Data'!S92</f>
        <v>2814</v>
      </c>
      <c r="AL198" s="317"/>
      <c r="AM198" s="317"/>
      <c r="AN198" s="317"/>
      <c r="AO198" s="115"/>
      <c r="AP198" s="84"/>
      <c r="AQ198" s="84"/>
    </row>
    <row r="199" spans="2:43" x14ac:dyDescent="0.2">
      <c r="C199" s="17" t="s">
        <v>119</v>
      </c>
      <c r="G199" s="17" t="s">
        <v>120</v>
      </c>
      <c r="I199" s="317">
        <f>I198+I197</f>
        <v>-218</v>
      </c>
      <c r="J199" s="317">
        <f t="shared" ref="J199:N199" si="829">J198+J197</f>
        <v>43</v>
      </c>
      <c r="K199" s="317">
        <f t="shared" si="829"/>
        <v>275</v>
      </c>
      <c r="L199" s="317">
        <f t="shared" si="829"/>
        <v>399</v>
      </c>
      <c r="M199" s="317">
        <f t="shared" si="829"/>
        <v>741</v>
      </c>
      <c r="N199" s="317">
        <f t="shared" si="829"/>
        <v>1292</v>
      </c>
      <c r="O199" s="317">
        <f t="shared" si="828"/>
        <v>819.71536253283648</v>
      </c>
      <c r="P199" s="317">
        <f t="shared" ref="P199:S199" si="830">P314-O314</f>
        <v>383.26460834381032</v>
      </c>
      <c r="Q199" s="317">
        <f t="shared" si="830"/>
        <v>1135.0435488761714</v>
      </c>
      <c r="R199" s="317">
        <f t="shared" si="830"/>
        <v>1267.720426613927</v>
      </c>
      <c r="S199" s="317">
        <f t="shared" si="830"/>
        <v>1385.7405278753613</v>
      </c>
      <c r="T199" s="316"/>
      <c r="U199" s="315"/>
      <c r="V199" s="315"/>
      <c r="W199" s="315"/>
      <c r="X199" s="315"/>
      <c r="Y199" s="315"/>
      <c r="Z199" s="315"/>
      <c r="AA199" s="315"/>
      <c r="AB199" s="315"/>
      <c r="AC199" s="315"/>
      <c r="AD199" s="315"/>
      <c r="AE199" s="315"/>
      <c r="AF199" s="315"/>
      <c r="AG199" s="315"/>
      <c r="AH199" s="315"/>
      <c r="AI199" s="315"/>
      <c r="AJ199" s="315"/>
      <c r="AK199" s="315"/>
      <c r="AL199" s="317">
        <f>AL314-AK314</f>
        <v>-362.67779904074223</v>
      </c>
      <c r="AM199" s="317">
        <f>AM314-AL314</f>
        <v>523.58355778329587</v>
      </c>
      <c r="AN199" s="317">
        <f>AN314-AM314</f>
        <v>658.80960379028284</v>
      </c>
      <c r="AO199" s="115"/>
      <c r="AP199" s="84"/>
      <c r="AQ199" s="84"/>
    </row>
    <row r="200" spans="2:43" x14ac:dyDescent="0.2">
      <c r="C200" s="17" t="str">
        <f>'Company Data'!B93</f>
        <v>Accrued Expenses and Other Current Liabilities</v>
      </c>
      <c r="G200" s="168"/>
      <c r="H200" s="168"/>
      <c r="I200" s="315">
        <f>'Company Data'!U93</f>
        <v>740</v>
      </c>
      <c r="J200" s="315">
        <f>'Company Data'!V93</f>
        <v>1067</v>
      </c>
      <c r="K200" s="315">
        <f>'Company Data'!W93</f>
        <v>1038</v>
      </c>
      <c r="L200" s="315">
        <f>'Company Data'!X93</f>
        <v>736</v>
      </c>
      <c r="M200" s="315">
        <f>'Company Data'!Y93</f>
        <v>706</v>
      </c>
      <c r="N200" s="315">
        <f>'Company Data'!Z93</f>
        <v>913</v>
      </c>
      <c r="O200" s="317">
        <f t="shared" si="828"/>
        <v>1306.7538117634631</v>
      </c>
      <c r="P200" s="317">
        <f t="shared" ref="P200:S200" si="831">P312-O312</f>
        <v>2416.9804267107575</v>
      </c>
      <c r="Q200" s="317">
        <f t="shared" si="831"/>
        <v>2747.8446811955964</v>
      </c>
      <c r="R200" s="317">
        <f t="shared" si="831"/>
        <v>2991.1645663074887</v>
      </c>
      <c r="S200" s="317">
        <f t="shared" si="831"/>
        <v>3158.1703206124366</v>
      </c>
      <c r="T200" s="316"/>
      <c r="U200" s="315">
        <f>'Company Data'!C93</f>
        <v>-529</v>
      </c>
      <c r="V200" s="315">
        <f>'Company Data'!D93</f>
        <v>59</v>
      </c>
      <c r="W200" s="315">
        <f>'Company Data'!E93</f>
        <v>97</v>
      </c>
      <c r="X200" s="315">
        <f>'Company Data'!F93</f>
        <v>1412</v>
      </c>
      <c r="Y200" s="315">
        <f>'Company Data'!G93</f>
        <v>-703</v>
      </c>
      <c r="Z200" s="315">
        <f>'Company Data'!H93</f>
        <v>-77</v>
      </c>
      <c r="AA200" s="315">
        <f>'Company Data'!I93</f>
        <v>-73</v>
      </c>
      <c r="AB200" s="315">
        <f>'Company Data'!J93</f>
        <v>1589</v>
      </c>
      <c r="AC200" s="315">
        <f>'Company Data'!K93</f>
        <v>-731</v>
      </c>
      <c r="AD200" s="315">
        <f>'Company Data'!L93</f>
        <v>-15</v>
      </c>
      <c r="AE200" s="315">
        <f>'Company Data'!M93</f>
        <v>4</v>
      </c>
      <c r="AF200" s="315">
        <f>'Company Data'!N93</f>
        <v>1448</v>
      </c>
      <c r="AG200" s="315">
        <f>'Company Data'!O93</f>
        <v>-940</v>
      </c>
      <c r="AH200" s="315">
        <f>'Company Data'!P93</f>
        <v>-128</v>
      </c>
      <c r="AI200" s="315">
        <f>'Company Data'!Q93</f>
        <v>143</v>
      </c>
      <c r="AJ200" s="315">
        <f>'Company Data'!R93</f>
        <v>1838</v>
      </c>
      <c r="AK200" s="315">
        <f>'Company Data'!S93</f>
        <v>-956</v>
      </c>
      <c r="AL200" s="317">
        <f>AL312-AK312</f>
        <v>949.78131821646093</v>
      </c>
      <c r="AM200" s="317">
        <f>AM312-AL312</f>
        <v>232.25583054657909</v>
      </c>
      <c r="AN200" s="317">
        <f>AN312-AM312</f>
        <v>1080.7166630004231</v>
      </c>
      <c r="AO200" s="115"/>
      <c r="AP200" s="84"/>
      <c r="AQ200" s="84"/>
    </row>
    <row r="201" spans="2:43" outlineLevel="1" x14ac:dyDescent="0.2">
      <c r="I201" s="157"/>
      <c r="J201" s="157"/>
      <c r="K201" s="157"/>
      <c r="L201" s="157"/>
      <c r="M201" s="157"/>
      <c r="N201" s="157"/>
      <c r="O201" s="161"/>
      <c r="P201" s="161"/>
      <c r="Q201" s="161"/>
      <c r="R201" s="161"/>
      <c r="S201" s="161"/>
      <c r="T201" s="161"/>
      <c r="U201" s="220"/>
      <c r="V201" s="220"/>
      <c r="W201" s="220"/>
      <c r="X201" s="220"/>
      <c r="Y201" s="220"/>
      <c r="Z201" s="220"/>
      <c r="AA201" s="220"/>
      <c r="AB201" s="220"/>
      <c r="AC201" s="220"/>
      <c r="AD201" s="220"/>
      <c r="AE201" s="220"/>
      <c r="AF201" s="220"/>
      <c r="AG201" s="220"/>
      <c r="AH201" s="220"/>
      <c r="AI201" s="220"/>
      <c r="AJ201" s="220"/>
      <c r="AK201" s="220"/>
      <c r="AL201" s="220"/>
      <c r="AM201" s="220"/>
      <c r="AN201" s="220"/>
      <c r="AO201" s="115"/>
      <c r="AP201" s="84"/>
      <c r="AQ201" s="84"/>
    </row>
    <row r="202" spans="2:43" outlineLevel="1" x14ac:dyDescent="0.2">
      <c r="I202" s="157"/>
      <c r="J202" s="157"/>
      <c r="K202" s="157"/>
      <c r="L202" s="157"/>
      <c r="M202" s="157"/>
      <c r="N202" s="157"/>
      <c r="O202" s="161"/>
      <c r="P202" s="161"/>
      <c r="Q202" s="161"/>
      <c r="R202" s="161"/>
      <c r="S202" s="161"/>
      <c r="T202" s="161"/>
      <c r="U202" s="220"/>
      <c r="V202" s="220"/>
      <c r="W202" s="220"/>
      <c r="X202" s="220"/>
      <c r="Y202" s="220"/>
      <c r="Z202" s="220"/>
      <c r="AA202" s="220"/>
      <c r="AB202" s="220"/>
      <c r="AC202" s="220"/>
      <c r="AD202" s="220"/>
      <c r="AE202" s="220"/>
      <c r="AF202" s="220"/>
      <c r="AG202" s="220"/>
      <c r="AH202" s="220"/>
      <c r="AI202" s="220"/>
      <c r="AJ202" s="220"/>
      <c r="AK202" s="220"/>
      <c r="AL202" s="220"/>
      <c r="AM202" s="220"/>
      <c r="AN202" s="220"/>
      <c r="AO202" s="115"/>
      <c r="AP202" s="84"/>
      <c r="AQ202" s="84"/>
    </row>
    <row r="203" spans="2:43" outlineLevel="1" x14ac:dyDescent="0.2">
      <c r="I203" s="157"/>
      <c r="J203" s="157"/>
      <c r="K203" s="157"/>
      <c r="L203" s="157"/>
      <c r="M203" s="157"/>
      <c r="N203" s="157"/>
      <c r="O203" s="161"/>
      <c r="P203" s="161"/>
      <c r="Q203" s="161"/>
      <c r="R203" s="161"/>
      <c r="S203" s="161"/>
      <c r="T203" s="161"/>
      <c r="U203" s="220"/>
      <c r="V203" s="220"/>
      <c r="W203" s="220"/>
      <c r="X203" s="220"/>
      <c r="Y203" s="220"/>
      <c r="Z203" s="220"/>
      <c r="AA203" s="220"/>
      <c r="AB203" s="220"/>
      <c r="AC203" s="220"/>
      <c r="AD203" s="220"/>
      <c r="AE203" s="220"/>
      <c r="AF203" s="220"/>
      <c r="AG203" s="220"/>
      <c r="AH203" s="220"/>
      <c r="AI203" s="220"/>
      <c r="AJ203" s="220"/>
      <c r="AK203" s="220"/>
      <c r="AL203" s="220"/>
      <c r="AM203" s="220"/>
      <c r="AN203" s="220"/>
      <c r="AO203" s="115"/>
      <c r="AP203" s="84"/>
      <c r="AQ203" s="84"/>
    </row>
    <row r="204" spans="2:43" outlineLevel="1" x14ac:dyDescent="0.2">
      <c r="I204" s="157"/>
      <c r="J204" s="157"/>
      <c r="K204" s="157"/>
      <c r="L204" s="157"/>
      <c r="M204" s="157"/>
      <c r="N204" s="157"/>
      <c r="O204" s="161"/>
      <c r="P204" s="161"/>
      <c r="Q204" s="161"/>
      <c r="R204" s="161"/>
      <c r="S204" s="161"/>
      <c r="T204" s="161"/>
      <c r="U204" s="220"/>
      <c r="V204" s="220"/>
      <c r="W204" s="220"/>
      <c r="X204" s="220"/>
      <c r="Y204" s="220"/>
      <c r="Z204" s="220"/>
      <c r="AA204" s="220"/>
      <c r="AB204" s="220"/>
      <c r="AC204" s="220"/>
      <c r="AD204" s="220"/>
      <c r="AE204" s="220"/>
      <c r="AF204" s="220"/>
      <c r="AG204" s="220"/>
      <c r="AH204" s="220"/>
      <c r="AI204" s="220"/>
      <c r="AJ204" s="220"/>
      <c r="AK204" s="220"/>
      <c r="AL204" s="220"/>
      <c r="AM204" s="220"/>
      <c r="AN204" s="220"/>
      <c r="AO204" s="115"/>
      <c r="AP204" s="84"/>
      <c r="AQ204" s="84"/>
    </row>
    <row r="205" spans="2:43" s="111" customFormat="1" x14ac:dyDescent="0.2">
      <c r="C205" s="111" t="s">
        <v>121</v>
      </c>
      <c r="G205" s="17" t="s">
        <v>294</v>
      </c>
      <c r="I205" s="191">
        <f>SUM(I194:I200)-I199</f>
        <v>1581</v>
      </c>
      <c r="J205" s="191">
        <f t="shared" ref="J205:N205" si="832">SUM(J194:J200)-J199</f>
        <v>1464</v>
      </c>
      <c r="K205" s="191">
        <f t="shared" si="832"/>
        <v>1523</v>
      </c>
      <c r="L205" s="191">
        <f t="shared" si="832"/>
        <v>767</v>
      </c>
      <c r="M205" s="191">
        <f t="shared" si="832"/>
        <v>974</v>
      </c>
      <c r="N205" s="191">
        <f t="shared" si="832"/>
        <v>2557</v>
      </c>
      <c r="O205" s="191">
        <f>SUM(O194:O200)</f>
        <v>1330.3018899401568</v>
      </c>
      <c r="P205" s="191">
        <f t="shared" ref="P205:S205" si="833">SUM(P194:P200)</f>
        <v>5285.5308745249167</v>
      </c>
      <c r="Q205" s="191">
        <f t="shared" si="833"/>
        <v>6746.450102411648</v>
      </c>
      <c r="R205" s="191">
        <f t="shared" si="833"/>
        <v>8124.13979752657</v>
      </c>
      <c r="S205" s="191">
        <f t="shared" si="833"/>
        <v>9581.9531446360124</v>
      </c>
      <c r="T205" s="191"/>
      <c r="U205" s="257">
        <f>SUM(U194:U200)</f>
        <v>-3166</v>
      </c>
      <c r="V205" s="257">
        <f>SUM(V194:V200)</f>
        <v>-3</v>
      </c>
      <c r="W205" s="257">
        <f>SUM(W194:W200)</f>
        <v>355</v>
      </c>
      <c r="X205" s="257">
        <f>SUM(X194:X200)</f>
        <v>4339</v>
      </c>
      <c r="Y205" s="221">
        <f t="shared" ref="Y205:AJ205" si="834">SUM(Y194:Y200)</f>
        <v>-3402</v>
      </c>
      <c r="Z205" s="221">
        <f t="shared" si="834"/>
        <v>-263</v>
      </c>
      <c r="AA205" s="221">
        <f t="shared" si="834"/>
        <v>286</v>
      </c>
      <c r="AB205" s="221">
        <f t="shared" si="834"/>
        <v>4146</v>
      </c>
      <c r="AC205" s="221">
        <f t="shared" si="834"/>
        <v>-3620</v>
      </c>
      <c r="AD205" s="221">
        <f t="shared" si="834"/>
        <v>-481</v>
      </c>
      <c r="AE205" s="221">
        <f t="shared" si="834"/>
        <v>779</v>
      </c>
      <c r="AF205" s="221">
        <f t="shared" si="834"/>
        <v>4296</v>
      </c>
      <c r="AG205" s="221">
        <f t="shared" si="834"/>
        <v>-3387</v>
      </c>
      <c r="AH205" s="221">
        <f t="shared" si="834"/>
        <v>-85</v>
      </c>
      <c r="AI205" s="221">
        <f t="shared" si="834"/>
        <v>454</v>
      </c>
      <c r="AJ205" s="221">
        <f t="shared" si="834"/>
        <v>5575</v>
      </c>
      <c r="AK205" s="221">
        <f>SUM(AK194:AK200)</f>
        <v>-4841</v>
      </c>
      <c r="AL205" s="221">
        <f>SUM(AL194:AL200)</f>
        <v>251.5384939948467</v>
      </c>
      <c r="AM205" s="221">
        <f>SUM(AM194:AM200)</f>
        <v>1552.4246775426955</v>
      </c>
      <c r="AN205" s="221">
        <f>SUM(AN194:AN200)</f>
        <v>4367.3387184026142</v>
      </c>
      <c r="AO205" s="115"/>
      <c r="AP205" s="84"/>
      <c r="AQ205" s="84"/>
    </row>
    <row r="206" spans="2:43" s="111" customFormat="1" x14ac:dyDescent="0.2">
      <c r="I206" s="191"/>
      <c r="J206" s="191"/>
      <c r="K206" s="191"/>
      <c r="L206" s="191"/>
      <c r="M206" s="191"/>
      <c r="N206" s="191"/>
      <c r="O206" s="191"/>
      <c r="P206" s="191"/>
      <c r="Q206" s="191"/>
      <c r="R206" s="191"/>
      <c r="S206" s="191"/>
      <c r="T206" s="191"/>
      <c r="U206" s="221"/>
      <c r="V206" s="221"/>
      <c r="W206" s="221"/>
      <c r="X206" s="221"/>
      <c r="Y206" s="221"/>
      <c r="Z206" s="221"/>
      <c r="AA206" s="221"/>
      <c r="AB206" s="221"/>
      <c r="AC206" s="221"/>
      <c r="AD206" s="221"/>
      <c r="AE206" s="221"/>
      <c r="AF206" s="221"/>
      <c r="AG206" s="221"/>
      <c r="AH206" s="221"/>
      <c r="AI206" s="221"/>
      <c r="AJ206" s="221"/>
      <c r="AK206" s="221"/>
      <c r="AL206" s="221"/>
      <c r="AM206" s="221"/>
      <c r="AN206" s="221"/>
      <c r="AO206" s="115"/>
      <c r="AP206" s="84"/>
      <c r="AQ206" s="84"/>
    </row>
    <row r="207" spans="2:43" s="111" customFormat="1" x14ac:dyDescent="0.2">
      <c r="B207" s="20" t="s">
        <v>122</v>
      </c>
      <c r="C207" s="20"/>
      <c r="D207" s="20"/>
      <c r="G207" s="168"/>
      <c r="H207" s="168"/>
      <c r="I207" s="319">
        <f t="shared" ref="I207:N207" si="835">SUM(I184:I204)-I199-I186-I189</f>
        <v>3495</v>
      </c>
      <c r="J207" s="319">
        <f t="shared" si="835"/>
        <v>3903.0000000000005</v>
      </c>
      <c r="K207" s="319">
        <f t="shared" si="835"/>
        <v>4180</v>
      </c>
      <c r="L207" s="319">
        <f t="shared" si="835"/>
        <v>5475</v>
      </c>
      <c r="M207" s="319">
        <f t="shared" si="835"/>
        <v>6842</v>
      </c>
      <c r="N207" s="319">
        <f t="shared" si="835"/>
        <v>11920</v>
      </c>
      <c r="O207" s="317">
        <f>SUM(AK207:AN207)</f>
        <v>14148.086614209336</v>
      </c>
      <c r="P207" s="319">
        <f t="shared" ref="P207:S207" si="836">SUM(P184:P204)-P186-P189</f>
        <v>22304.073176458151</v>
      </c>
      <c r="Q207" s="319">
        <f t="shared" si="836"/>
        <v>28138.533901620347</v>
      </c>
      <c r="R207" s="319">
        <f t="shared" si="836"/>
        <v>34856.4052961122</v>
      </c>
      <c r="S207" s="319">
        <f t="shared" si="836"/>
        <v>42434.986104519754</v>
      </c>
      <c r="T207" s="319"/>
      <c r="U207" s="319">
        <f t="shared" ref="U207" si="837">SUM(U184:U204)-U199-U186-U189</f>
        <v>-2438</v>
      </c>
      <c r="V207" s="319">
        <f t="shared" ref="V207" si="838">SUM(V184:V204)-V199-V186-V189</f>
        <v>594</v>
      </c>
      <c r="W207" s="319">
        <f t="shared" ref="W207" si="839">SUM(W184:W204)-W199-W186-W189</f>
        <v>943.00000000000011</v>
      </c>
      <c r="X207" s="319">
        <f t="shared" ref="X207:AH207" si="840">SUM(X184:X204)-X199-X186-X189</f>
        <v>5081</v>
      </c>
      <c r="Y207" s="319">
        <f t="shared" si="840"/>
        <v>-2371.9999999999995</v>
      </c>
      <c r="Z207" s="319">
        <f t="shared" si="840"/>
        <v>880</v>
      </c>
      <c r="AA207" s="319">
        <f t="shared" si="840"/>
        <v>1388.0000000000002</v>
      </c>
      <c r="AB207" s="319">
        <f t="shared" si="840"/>
        <v>5655.9999999999991</v>
      </c>
      <c r="AC207" s="319">
        <f t="shared" si="840"/>
        <v>-2502</v>
      </c>
      <c r="AD207" s="319">
        <f t="shared" si="840"/>
        <v>862.99999999999989</v>
      </c>
      <c r="AE207" s="319">
        <f t="shared" si="840"/>
        <v>1767</v>
      </c>
      <c r="AF207" s="319">
        <f t="shared" si="840"/>
        <v>6715</v>
      </c>
      <c r="AG207" s="319">
        <f t="shared" si="840"/>
        <v>-1499</v>
      </c>
      <c r="AH207" s="319">
        <f t="shared" si="840"/>
        <v>1997.0000000000002</v>
      </c>
      <c r="AI207" s="319">
        <f>SUM(AI184:AI204)-AI199-AI186-AI189</f>
        <v>2610</v>
      </c>
      <c r="AJ207" s="319">
        <f>SUM(AJ184:AJ204)-AJ199-AJ186-AJ189</f>
        <v>8812</v>
      </c>
      <c r="AK207" s="319">
        <f>SUM(AK184:AK204)-AK199-AK186-AK189</f>
        <v>-2160</v>
      </c>
      <c r="AL207" s="319">
        <f>SUM(AL184:AL204)-AL186-AL189</f>
        <v>3481.0933025994541</v>
      </c>
      <c r="AM207" s="319">
        <f>SUM(AM184:AM204)-AM186-AM189</f>
        <v>4467.2833896143038</v>
      </c>
      <c r="AN207" s="319">
        <f>SUM(AN184:AN204)-AN186-AN189</f>
        <v>8359.709921995578</v>
      </c>
      <c r="AO207" s="115"/>
      <c r="AP207" s="84"/>
      <c r="AQ207" s="84"/>
    </row>
    <row r="208" spans="2:43" s="111" customFormat="1" x14ac:dyDescent="0.2">
      <c r="C208" s="111" t="s">
        <v>123</v>
      </c>
      <c r="I208" s="115">
        <f t="shared" ref="I208:S208" si="841">I207-I205</f>
        <v>1914</v>
      </c>
      <c r="J208" s="115">
        <f t="shared" si="841"/>
        <v>2439.0000000000005</v>
      </c>
      <c r="K208" s="115">
        <f t="shared" si="841"/>
        <v>2657</v>
      </c>
      <c r="L208" s="115">
        <f t="shared" si="841"/>
        <v>4708</v>
      </c>
      <c r="M208" s="115">
        <f t="shared" si="841"/>
        <v>5868</v>
      </c>
      <c r="N208" s="115">
        <f t="shared" si="841"/>
        <v>9363</v>
      </c>
      <c r="O208" s="115">
        <f t="shared" si="841"/>
        <v>12817.784724269179</v>
      </c>
      <c r="P208" s="115">
        <f t="shared" si="841"/>
        <v>17018.542301933234</v>
      </c>
      <c r="Q208" s="115">
        <f t="shared" si="841"/>
        <v>21392.0837992087</v>
      </c>
      <c r="R208" s="115">
        <f t="shared" si="841"/>
        <v>26732.265498585628</v>
      </c>
      <c r="S208" s="115">
        <f t="shared" si="841"/>
        <v>32853.032959883742</v>
      </c>
      <c r="T208" s="115"/>
      <c r="U208" s="115">
        <f t="shared" ref="U208" si="842">U207-U205</f>
        <v>728</v>
      </c>
      <c r="V208" s="115">
        <f t="shared" ref="V208" si="843">V207-V205</f>
        <v>597</v>
      </c>
      <c r="W208" s="115">
        <f t="shared" ref="W208" si="844">W207-W205</f>
        <v>588.00000000000011</v>
      </c>
      <c r="X208" s="115">
        <f t="shared" ref="X208:AN208" si="845">X207-X205</f>
        <v>742</v>
      </c>
      <c r="Y208" s="115">
        <f t="shared" si="845"/>
        <v>1030.0000000000005</v>
      </c>
      <c r="Z208" s="115">
        <f t="shared" si="845"/>
        <v>1143</v>
      </c>
      <c r="AA208" s="115">
        <f t="shared" si="845"/>
        <v>1102.0000000000002</v>
      </c>
      <c r="AB208" s="115">
        <f t="shared" si="845"/>
        <v>1509.9999999999991</v>
      </c>
      <c r="AC208" s="115">
        <f t="shared" si="845"/>
        <v>1118</v>
      </c>
      <c r="AD208" s="115">
        <f t="shared" si="845"/>
        <v>1344</v>
      </c>
      <c r="AE208" s="115">
        <f t="shared" si="845"/>
        <v>988</v>
      </c>
      <c r="AF208" s="115">
        <f t="shared" si="845"/>
        <v>2419</v>
      </c>
      <c r="AG208" s="115">
        <f t="shared" si="845"/>
        <v>1888</v>
      </c>
      <c r="AH208" s="115">
        <f t="shared" si="845"/>
        <v>2082</v>
      </c>
      <c r="AI208" s="115">
        <f t="shared" si="845"/>
        <v>2156</v>
      </c>
      <c r="AJ208" s="115">
        <f t="shared" si="845"/>
        <v>3237</v>
      </c>
      <c r="AK208" s="115">
        <f t="shared" ref="AK208" si="846">AK207-AK205</f>
        <v>2681</v>
      </c>
      <c r="AL208" s="115">
        <f t="shared" si="845"/>
        <v>3229.5548086046074</v>
      </c>
      <c r="AM208" s="115">
        <f t="shared" si="845"/>
        <v>2914.8587120716084</v>
      </c>
      <c r="AN208" s="115">
        <f t="shared" si="845"/>
        <v>3992.3712035929639</v>
      </c>
      <c r="AO208" s="84"/>
      <c r="AP208" s="84"/>
      <c r="AQ208" s="84"/>
    </row>
    <row r="209" spans="1:45" x14ac:dyDescent="0.2">
      <c r="E209" s="138" t="s">
        <v>78</v>
      </c>
      <c r="G209" s="63"/>
      <c r="H209" s="63"/>
      <c r="I209" s="274" t="str">
        <f>IFERROR(I208/T208-1,"NA ")</f>
        <v xml:space="preserve">NA </v>
      </c>
      <c r="J209" s="274">
        <f>IFERROR(J207/I207-1,"NA")</f>
        <v>0.11673819742489289</v>
      </c>
      <c r="K209" s="274">
        <f t="shared" ref="K209:S209" si="847">IFERROR(K207/J207-1,"NA")</f>
        <v>7.0971047911862595E-2</v>
      </c>
      <c r="L209" s="274">
        <f t="shared" si="847"/>
        <v>0.30980861244019131</v>
      </c>
      <c r="M209" s="274">
        <f t="shared" si="847"/>
        <v>0.2496803652968036</v>
      </c>
      <c r="N209" s="274">
        <f t="shared" si="847"/>
        <v>0.74218064893306046</v>
      </c>
      <c r="O209" s="274">
        <f t="shared" si="847"/>
        <v>0.18692001797058189</v>
      </c>
      <c r="P209" s="274">
        <f t="shared" si="847"/>
        <v>0.57647276162824168</v>
      </c>
      <c r="Q209" s="274">
        <f t="shared" si="847"/>
        <v>0.26158723023382313</v>
      </c>
      <c r="R209" s="274">
        <f t="shared" si="847"/>
        <v>0.23874276527623239</v>
      </c>
      <c r="S209" s="274">
        <f t="shared" si="847"/>
        <v>0.2174229024486598</v>
      </c>
      <c r="T209" s="273"/>
      <c r="U209" s="321" t="s">
        <v>79</v>
      </c>
      <c r="V209" s="321" t="s">
        <v>79</v>
      </c>
      <c r="W209" s="321" t="s">
        <v>79</v>
      </c>
      <c r="X209" s="321" t="s">
        <v>79</v>
      </c>
      <c r="Y209" s="321" t="s">
        <v>79</v>
      </c>
      <c r="Z209" s="321" t="s">
        <v>79</v>
      </c>
      <c r="AA209" s="321" t="s">
        <v>79</v>
      </c>
      <c r="AB209" s="273">
        <f t="shared" ref="AB209:AN209" si="848">IFERROR(IF(X207&lt;0,-(AB207/X207-1),(AB207/X207-1)),"NA")</f>
        <v>0.11316669946860847</v>
      </c>
      <c r="AC209" s="273">
        <f t="shared" si="848"/>
        <v>-5.4806070826307174E-2</v>
      </c>
      <c r="AD209" s="273">
        <f t="shared" si="848"/>
        <v>-1.9318181818181901E-2</v>
      </c>
      <c r="AE209" s="273">
        <f t="shared" si="848"/>
        <v>0.2730547550432274</v>
      </c>
      <c r="AF209" s="273">
        <f t="shared" si="848"/>
        <v>0.18723479490806239</v>
      </c>
      <c r="AG209" s="273">
        <f t="shared" si="848"/>
        <v>0.40087929656274979</v>
      </c>
      <c r="AH209" s="273">
        <f t="shared" si="848"/>
        <v>1.3140208574739289</v>
      </c>
      <c r="AI209" s="273">
        <f t="shared" si="848"/>
        <v>0.47707979626485564</v>
      </c>
      <c r="AJ209" s="273">
        <f t="shared" si="848"/>
        <v>0.31228592702903946</v>
      </c>
      <c r="AK209" s="273">
        <f t="shared" si="848"/>
        <v>-0.44096064042695127</v>
      </c>
      <c r="AL209" s="273">
        <f t="shared" si="848"/>
        <v>0.74316139338981158</v>
      </c>
      <c r="AM209" s="273">
        <f t="shared" si="848"/>
        <v>0.71160283126984814</v>
      </c>
      <c r="AN209" s="273">
        <f t="shared" si="848"/>
        <v>-5.1326608942853125E-2</v>
      </c>
      <c r="AO209" s="118"/>
      <c r="AP209" s="118"/>
      <c r="AQ209" s="118"/>
    </row>
    <row r="210" spans="1:45" x14ac:dyDescent="0.2">
      <c r="E210" s="138" t="s">
        <v>80</v>
      </c>
      <c r="G210" s="63"/>
      <c r="H210" s="63"/>
      <c r="I210" s="293" t="str">
        <f>IFERROR(I209/T209,"NA ")</f>
        <v xml:space="preserve">NA </v>
      </c>
      <c r="J210" s="293">
        <f>IFERROR(J207-I207,"NA ")</f>
        <v>408.00000000000045</v>
      </c>
      <c r="K210" s="293">
        <f t="shared" ref="K210:S210" si="849">IFERROR(K207-J207,"NA ")</f>
        <v>276.99999999999955</v>
      </c>
      <c r="L210" s="293">
        <f t="shared" si="849"/>
        <v>1295</v>
      </c>
      <c r="M210" s="293">
        <f t="shared" si="849"/>
        <v>1367</v>
      </c>
      <c r="N210" s="293">
        <f t="shared" si="849"/>
        <v>5078</v>
      </c>
      <c r="O210" s="293">
        <f t="shared" si="849"/>
        <v>2228.0866142093364</v>
      </c>
      <c r="P210" s="293">
        <f t="shared" si="849"/>
        <v>8155.9865622488142</v>
      </c>
      <c r="Q210" s="293">
        <f t="shared" si="849"/>
        <v>5834.4607251621965</v>
      </c>
      <c r="R210" s="293">
        <f t="shared" si="849"/>
        <v>6717.8713944918527</v>
      </c>
      <c r="S210" s="293">
        <f t="shared" si="849"/>
        <v>7578.5808084075543</v>
      </c>
      <c r="T210" s="222"/>
      <c r="U210" s="321" t="s">
        <v>79</v>
      </c>
      <c r="V210" s="321" t="s">
        <v>79</v>
      </c>
      <c r="W210" s="321" t="s">
        <v>79</v>
      </c>
      <c r="X210" s="321" t="s">
        <v>79</v>
      </c>
      <c r="Y210" s="321" t="s">
        <v>79</v>
      </c>
      <c r="Z210" s="321" t="s">
        <v>79</v>
      </c>
      <c r="AA210" s="321" t="s">
        <v>79</v>
      </c>
      <c r="AB210" s="293">
        <f t="shared" ref="AB210:AN210" si="850">AB207-X207</f>
        <v>574.99999999999909</v>
      </c>
      <c r="AC210" s="293">
        <f t="shared" si="850"/>
        <v>-130.00000000000045</v>
      </c>
      <c r="AD210" s="293">
        <f t="shared" si="850"/>
        <v>-17.000000000000114</v>
      </c>
      <c r="AE210" s="293">
        <f t="shared" si="850"/>
        <v>378.99999999999977</v>
      </c>
      <c r="AF210" s="293">
        <f t="shared" si="850"/>
        <v>1059.0000000000009</v>
      </c>
      <c r="AG210" s="293">
        <f t="shared" si="850"/>
        <v>1003</v>
      </c>
      <c r="AH210" s="293">
        <f t="shared" si="850"/>
        <v>1134.0000000000005</v>
      </c>
      <c r="AI210" s="293">
        <f t="shared" si="850"/>
        <v>843</v>
      </c>
      <c r="AJ210" s="293">
        <f t="shared" si="850"/>
        <v>2097</v>
      </c>
      <c r="AK210" s="293">
        <f t="shared" si="850"/>
        <v>-661</v>
      </c>
      <c r="AL210" s="293">
        <f t="shared" si="850"/>
        <v>1484.0933025994539</v>
      </c>
      <c r="AM210" s="293">
        <f t="shared" si="850"/>
        <v>1857.2833896143038</v>
      </c>
      <c r="AN210" s="293">
        <f t="shared" si="850"/>
        <v>-452.29007800442196</v>
      </c>
      <c r="AO210" s="117"/>
      <c r="AP210" s="117"/>
      <c r="AQ210" s="117"/>
    </row>
    <row r="211" spans="1:45" x14ac:dyDescent="0.2">
      <c r="E211" s="138" t="s">
        <v>91</v>
      </c>
      <c r="I211" s="263">
        <f t="shared" ref="I211:S211" si="851">IFERROR(I207/I$79,"NA ")</f>
        <v>0.10218103145830897</v>
      </c>
      <c r="J211" s="274">
        <f t="shared" si="851"/>
        <v>8.1182270108367829E-2</v>
      </c>
      <c r="K211" s="263">
        <f t="shared" si="851"/>
        <v>6.8420277282176353E-2</v>
      </c>
      <c r="L211" s="263">
        <f t="shared" si="851"/>
        <v>7.3537312630956864E-2</v>
      </c>
      <c r="M211" s="263">
        <f t="shared" si="851"/>
        <v>7.6886771250056191E-2</v>
      </c>
      <c r="N211" s="263">
        <f t="shared" si="851"/>
        <v>0.111395622675364</v>
      </c>
      <c r="O211" s="263">
        <f t="shared" si="851"/>
        <v>0.10458432313839323</v>
      </c>
      <c r="P211" s="263">
        <f t="shared" si="851"/>
        <v>0.13210105613446241</v>
      </c>
      <c r="Q211" s="263">
        <f t="shared" si="851"/>
        <v>0.13566712509438372</v>
      </c>
      <c r="R211" s="263">
        <f t="shared" si="851"/>
        <v>0.13915592727339851</v>
      </c>
      <c r="S211" s="263">
        <f t="shared" si="851"/>
        <v>0.1426047668508218</v>
      </c>
      <c r="T211" s="320"/>
      <c r="U211" s="263">
        <f>IFERROR(U207/U$79,"NA ")</f>
        <v>-0.18490709139173303</v>
      </c>
      <c r="V211" s="263">
        <f>IFERROR(V207/V$79,"NA ")</f>
        <v>4.6283309957924262E-2</v>
      </c>
      <c r="W211" s="263">
        <f>IFERROR(W207/W$79,"NA ")</f>
        <v>6.8303636100246284E-2</v>
      </c>
      <c r="X211" s="263">
        <f>IFERROR(X207/X$79,"NA ")</f>
        <v>0.23890351702087642</v>
      </c>
      <c r="Y211" s="263">
        <f t="shared" ref="Y211:AN211" si="852">IFERROR(Y207/Y$79,"NA ")</f>
        <v>-0.14760423148724328</v>
      </c>
      <c r="Z211" s="263">
        <f t="shared" si="852"/>
        <v>5.6036678553234846E-2</v>
      </c>
      <c r="AA211" s="263">
        <f t="shared" si="852"/>
        <v>8.1207582494734393E-2</v>
      </c>
      <c r="AB211" s="263">
        <f t="shared" si="852"/>
        <v>0.22104975182709966</v>
      </c>
      <c r="AC211" s="263">
        <f t="shared" si="852"/>
        <v>-0.12674129983283522</v>
      </c>
      <c r="AD211" s="263">
        <f t="shared" si="852"/>
        <v>4.4622543950361936E-2</v>
      </c>
      <c r="AE211" s="263">
        <f t="shared" si="852"/>
        <v>8.5864230526264643E-2</v>
      </c>
      <c r="AF211" s="263">
        <f t="shared" si="852"/>
        <v>0.22896208401527551</v>
      </c>
      <c r="AG211" s="263">
        <f t="shared" si="852"/>
        <v>-6.598582559316811E-2</v>
      </c>
      <c r="AH211" s="263">
        <f t="shared" si="852"/>
        <v>8.6133275824886793E-2</v>
      </c>
      <c r="AI211" s="263">
        <f t="shared" si="852"/>
        <v>0.10292609827273444</v>
      </c>
      <c r="AJ211" s="263">
        <f t="shared" si="852"/>
        <v>0.24651019665985957</v>
      </c>
      <c r="AK211" s="263">
        <f t="shared" ref="AK211" si="853">IFERROR(AK207/AK$79,"NA ")</f>
        <v>-7.4155451798956329E-2</v>
      </c>
      <c r="AL211" s="263">
        <f t="shared" si="852"/>
        <v>0.11737299903017945</v>
      </c>
      <c r="AM211" s="263">
        <f t="shared" si="852"/>
        <v>0.13891769573398205</v>
      </c>
      <c r="AN211" s="263">
        <f t="shared" si="852"/>
        <v>0.188557473439211</v>
      </c>
      <c r="AO211" s="116"/>
      <c r="AP211" s="116"/>
      <c r="AQ211" s="116"/>
    </row>
    <row r="212" spans="1:45" x14ac:dyDescent="0.2">
      <c r="B212" s="71"/>
      <c r="C212" s="71"/>
      <c r="D212" s="71"/>
      <c r="E212" s="138" t="s">
        <v>96</v>
      </c>
      <c r="G212" s="71"/>
      <c r="H212" s="71"/>
      <c r="I212" s="321" t="str">
        <f>IFERROR((I208-#REF!)/(I$79-T$79),"NA ")</f>
        <v xml:space="preserve">NA </v>
      </c>
      <c r="J212" s="273">
        <f t="shared" ref="J212:S212" si="854">IFERROR((J207-I207)/(J$79-I$79),"NA ")</f>
        <v>2.9409644633460713E-2</v>
      </c>
      <c r="K212" s="273">
        <f t="shared" si="854"/>
        <v>2.128149969268589E-2</v>
      </c>
      <c r="L212" s="273">
        <f t="shared" si="854"/>
        <v>9.6938393592334762E-2</v>
      </c>
      <c r="M212" s="273">
        <f t="shared" si="854"/>
        <v>9.404237754540451E-2</v>
      </c>
      <c r="N212" s="273">
        <f t="shared" si="854"/>
        <v>0.28182928182928185</v>
      </c>
      <c r="O212" s="273">
        <f t="shared" si="854"/>
        <v>7.8805523176631934E-2</v>
      </c>
      <c r="P212" s="273">
        <f t="shared" si="854"/>
        <v>0.24301425814218436</v>
      </c>
      <c r="Q212" s="273">
        <f t="shared" si="854"/>
        <v>0.15127861881562346</v>
      </c>
      <c r="R212" s="273">
        <f t="shared" si="854"/>
        <v>0.15595437124369241</v>
      </c>
      <c r="S212" s="273">
        <f t="shared" si="854"/>
        <v>0.16095160867686006</v>
      </c>
      <c r="T212" s="323"/>
      <c r="U212" s="322" t="s">
        <v>79</v>
      </c>
      <c r="V212" s="322" t="s">
        <v>79</v>
      </c>
      <c r="W212" s="322" t="s">
        <v>79</v>
      </c>
      <c r="X212" s="322" t="s">
        <v>79</v>
      </c>
      <c r="Y212" s="322" t="s">
        <v>79</v>
      </c>
      <c r="Z212" s="322" t="s">
        <v>79</v>
      </c>
      <c r="AA212" s="322" t="s">
        <v>79</v>
      </c>
      <c r="AB212" s="273">
        <f>IFERROR((AB207-X207)/(AB$79-X$79),"NA ")</f>
        <v>0.13313266959944411</v>
      </c>
      <c r="AC212" s="273">
        <f t="shared" ref="AC212:AN212" si="855">IFERROR((AC207-Y207)/(AC$79-Y$79),"NA ")</f>
        <v>-3.5412694088804264E-2</v>
      </c>
      <c r="AD212" s="273">
        <f t="shared" si="855"/>
        <v>-4.6754675467547066E-3</v>
      </c>
      <c r="AE212" s="273">
        <f t="shared" si="855"/>
        <v>0.10868941783768275</v>
      </c>
      <c r="AF212" s="273">
        <f t="shared" si="855"/>
        <v>0.28307939053728975</v>
      </c>
      <c r="AG212" s="273">
        <f t="shared" si="855"/>
        <v>0.33702956989247312</v>
      </c>
      <c r="AH212" s="273">
        <f t="shared" si="855"/>
        <v>0.29492847854356319</v>
      </c>
      <c r="AI212" s="273">
        <f t="shared" si="855"/>
        <v>0.17639673571876963</v>
      </c>
      <c r="AJ212" s="273">
        <f t="shared" si="855"/>
        <v>0.32668639975073999</v>
      </c>
      <c r="AK212" s="273">
        <f t="shared" si="855"/>
        <v>-0.10310403993136796</v>
      </c>
      <c r="AL212" s="273">
        <f t="shared" si="855"/>
        <v>0.22926086915477095</v>
      </c>
      <c r="AM212" s="273">
        <f t="shared" si="855"/>
        <v>0.27313912526745771</v>
      </c>
      <c r="AN212" s="273">
        <f t="shared" si="855"/>
        <v>-5.2664889799884693E-2</v>
      </c>
      <c r="AO212" s="84"/>
      <c r="AP212" s="84"/>
      <c r="AQ212" s="84"/>
    </row>
    <row r="213" spans="1:45" x14ac:dyDescent="0.2">
      <c r="B213" s="71"/>
      <c r="C213" s="71"/>
      <c r="D213" s="71"/>
      <c r="G213" s="71"/>
      <c r="H213" s="71"/>
      <c r="I213" s="157"/>
      <c r="J213" s="157"/>
      <c r="K213" s="157"/>
      <c r="L213" s="157"/>
      <c r="M213" s="157"/>
      <c r="N213" s="157"/>
      <c r="O213" s="157"/>
      <c r="P213" s="157"/>
      <c r="Q213" s="157"/>
      <c r="R213" s="157"/>
      <c r="S213" s="157"/>
      <c r="T213" s="158"/>
      <c r="U213" s="157"/>
      <c r="V213" s="157"/>
      <c r="W213" s="157"/>
      <c r="X213" s="157"/>
      <c r="Y213" s="157"/>
      <c r="Z213" s="157"/>
      <c r="AA213" s="157"/>
      <c r="AB213" s="157"/>
      <c r="AC213" s="157"/>
      <c r="AD213" s="157"/>
      <c r="AE213" s="157"/>
      <c r="AF213" s="157"/>
      <c r="AG213" s="157"/>
      <c r="AH213" s="157"/>
      <c r="AI213" s="157"/>
      <c r="AJ213" s="157"/>
      <c r="AK213" s="157"/>
      <c r="AL213" s="157"/>
      <c r="AM213" s="157"/>
      <c r="AN213" s="157"/>
      <c r="AO213" s="84"/>
      <c r="AP213" s="84"/>
      <c r="AQ213" s="84"/>
    </row>
    <row r="214" spans="1:45" x14ac:dyDescent="0.2">
      <c r="C214" s="17" t="str">
        <f>'Company Data'!B97</f>
        <v>Purchases of Property and Equipment, Including Internal-use Software and Website Development, Net2</v>
      </c>
      <c r="G214" s="168"/>
      <c r="H214" s="168"/>
      <c r="I214" s="227">
        <f>'Company Data'!U97</f>
        <v>-979</v>
      </c>
      <c r="J214" s="227">
        <f>'Company Data'!V97</f>
        <v>-1811</v>
      </c>
      <c r="K214" s="227">
        <f>'Company Data'!W97</f>
        <v>-3785</v>
      </c>
      <c r="L214" s="227">
        <f>'Company Data'!X97</f>
        <v>-3444</v>
      </c>
      <c r="M214" s="227">
        <f>'Company Data'!Y97</f>
        <v>-4893</v>
      </c>
      <c r="N214" s="227">
        <f>'Company Data'!Z97</f>
        <v>-4589</v>
      </c>
      <c r="O214" s="228">
        <f>SUM(AK214:AN214)</f>
        <v>-5821</v>
      </c>
      <c r="P214" s="228">
        <f>O214+P215</f>
        <v>-6571</v>
      </c>
      <c r="Q214" s="228">
        <f t="shared" ref="Q214:S214" si="856">P214+Q215</f>
        <v>-7321</v>
      </c>
      <c r="R214" s="228">
        <f t="shared" si="856"/>
        <v>-8071</v>
      </c>
      <c r="S214" s="228">
        <f t="shared" si="856"/>
        <v>-8821</v>
      </c>
      <c r="T214" s="258"/>
      <c r="U214" s="227">
        <f>'Company Data'!C97</f>
        <v>-386</v>
      </c>
      <c r="V214" s="227">
        <f>'Company Data'!D97</f>
        <v>-657</v>
      </c>
      <c r="W214" s="227">
        <f>'Company Data'!E97</f>
        <v>-716</v>
      </c>
      <c r="X214" s="227">
        <f>'Company Data'!F97</f>
        <v>-2025</v>
      </c>
      <c r="Y214" s="227">
        <f>'Company Data'!G97</f>
        <v>-670</v>
      </c>
      <c r="Z214" s="227">
        <f>'Company Data'!H97</f>
        <v>-856</v>
      </c>
      <c r="AA214" s="227">
        <f>'Company Data'!I97</f>
        <v>-1039</v>
      </c>
      <c r="AB214" s="227">
        <f>'Company Data'!J97</f>
        <v>-879</v>
      </c>
      <c r="AC214" s="227">
        <f>'Company Data'!K97</f>
        <v>-1080</v>
      </c>
      <c r="AD214" s="227">
        <f>'Company Data'!L97</f>
        <v>-1290</v>
      </c>
      <c r="AE214" s="227">
        <f>'Company Data'!M97</f>
        <v>-1378</v>
      </c>
      <c r="AF214" s="227">
        <f>'Company Data'!N97</f>
        <v>-1145</v>
      </c>
      <c r="AG214" s="227">
        <f>'Company Data'!O97</f>
        <v>-871</v>
      </c>
      <c r="AH214" s="227">
        <f>'Company Data'!P97</f>
        <v>-1213</v>
      </c>
      <c r="AI214" s="227">
        <f>'Company Data'!Q97</f>
        <v>-1196</v>
      </c>
      <c r="AJ214" s="227">
        <f>'Company Data'!R97</f>
        <v>-1309</v>
      </c>
      <c r="AK214" s="227">
        <f>'Company Data'!S97</f>
        <v>-1179</v>
      </c>
      <c r="AL214" s="228">
        <f t="shared" ref="AL214:AN214" si="857">AH214+AL215</f>
        <v>-1521</v>
      </c>
      <c r="AM214" s="228">
        <f t="shared" si="857"/>
        <v>-1504</v>
      </c>
      <c r="AN214" s="228">
        <f t="shared" si="857"/>
        <v>-1617</v>
      </c>
      <c r="AO214" s="115"/>
      <c r="AP214" s="84"/>
      <c r="AQ214" s="84"/>
    </row>
    <row r="215" spans="1:45" x14ac:dyDescent="0.2">
      <c r="E215" s="138" t="s">
        <v>80</v>
      </c>
      <c r="G215" s="63"/>
      <c r="H215" s="63"/>
      <c r="I215" s="293">
        <f t="shared" ref="I215" si="858">IFERROR(I214-H214,"NA ")</f>
        <v>-979</v>
      </c>
      <c r="J215" s="293">
        <f>IFERROR(J214-I214,"NA ")</f>
        <v>-832</v>
      </c>
      <c r="K215" s="293">
        <f t="shared" ref="K215:O215" si="859">IFERROR(K214-J214,"NA ")</f>
        <v>-1974</v>
      </c>
      <c r="L215" s="293">
        <f t="shared" si="859"/>
        <v>341</v>
      </c>
      <c r="M215" s="293">
        <f t="shared" si="859"/>
        <v>-1449</v>
      </c>
      <c r="N215" s="293">
        <f t="shared" si="859"/>
        <v>304</v>
      </c>
      <c r="O215" s="293">
        <f t="shared" si="859"/>
        <v>-1232</v>
      </c>
      <c r="P215" s="280">
        <f t="shared" ref="P215:S215" si="860">-750</f>
        <v>-750</v>
      </c>
      <c r="Q215" s="280">
        <f t="shared" si="860"/>
        <v>-750</v>
      </c>
      <c r="R215" s="280">
        <f t="shared" si="860"/>
        <v>-750</v>
      </c>
      <c r="S215" s="280">
        <f t="shared" si="860"/>
        <v>-750</v>
      </c>
      <c r="T215" s="222"/>
      <c r="U215" s="321" t="s">
        <v>79</v>
      </c>
      <c r="V215" s="321" t="s">
        <v>79</v>
      </c>
      <c r="W215" s="321" t="s">
        <v>79</v>
      </c>
      <c r="X215" s="321" t="s">
        <v>79</v>
      </c>
      <c r="Y215" s="321" t="s">
        <v>79</v>
      </c>
      <c r="Z215" s="321" t="s">
        <v>79</v>
      </c>
      <c r="AA215" s="321" t="s">
        <v>79</v>
      </c>
      <c r="AB215" s="293">
        <f>AB214-X214</f>
        <v>1146</v>
      </c>
      <c r="AC215" s="293">
        <f t="shared" ref="AC215:AK215" si="861">AC214-Y214</f>
        <v>-410</v>
      </c>
      <c r="AD215" s="293">
        <f t="shared" si="861"/>
        <v>-434</v>
      </c>
      <c r="AE215" s="293">
        <f t="shared" si="861"/>
        <v>-339</v>
      </c>
      <c r="AF215" s="293">
        <f t="shared" si="861"/>
        <v>-266</v>
      </c>
      <c r="AG215" s="293">
        <f t="shared" si="861"/>
        <v>209</v>
      </c>
      <c r="AH215" s="293">
        <f t="shared" si="861"/>
        <v>77</v>
      </c>
      <c r="AI215" s="293">
        <f t="shared" si="861"/>
        <v>182</v>
      </c>
      <c r="AJ215" s="293">
        <f t="shared" si="861"/>
        <v>-164</v>
      </c>
      <c r="AK215" s="293">
        <f t="shared" si="861"/>
        <v>-308</v>
      </c>
      <c r="AL215" s="170">
        <f>AK215</f>
        <v>-308</v>
      </c>
      <c r="AM215" s="170">
        <f t="shared" ref="AM215:AN215" si="862">AL215</f>
        <v>-308</v>
      </c>
      <c r="AN215" s="170">
        <f t="shared" si="862"/>
        <v>-308</v>
      </c>
      <c r="AO215" s="117"/>
      <c r="AP215" s="117"/>
      <c r="AQ215" s="117"/>
    </row>
    <row r="216" spans="1:45" x14ac:dyDescent="0.2">
      <c r="A216" s="37"/>
      <c r="E216" s="37"/>
      <c r="F216" s="111" t="s">
        <v>124</v>
      </c>
      <c r="G216" s="168"/>
      <c r="H216" s="168"/>
      <c r="I216" s="151">
        <f t="shared" ref="I216:S216" si="863">-(I214+I218)/I79</f>
        <v>3.8913577359373175E-2</v>
      </c>
      <c r="J216" s="151">
        <f t="shared" si="863"/>
        <v>5.233271626765397E-2</v>
      </c>
      <c r="K216" s="151">
        <f t="shared" si="863"/>
        <v>7.4149247868004517E-2</v>
      </c>
      <c r="L216" s="151">
        <f t="shared" si="863"/>
        <v>5.0448611185730401E-2</v>
      </c>
      <c r="M216" s="151">
        <f t="shared" si="863"/>
        <v>6.5986425135973387E-2</v>
      </c>
      <c r="N216" s="151">
        <f t="shared" si="863"/>
        <v>5.0314935611087228E-2</v>
      </c>
      <c r="O216" s="151">
        <f t="shared" si="863"/>
        <v>4.3147791698256908E-2</v>
      </c>
      <c r="P216" s="151">
        <f t="shared" si="863"/>
        <v>3.8918274388364212E-2</v>
      </c>
      <c r="Q216" s="151">
        <f t="shared" si="863"/>
        <v>3.5297468812289089E-2</v>
      </c>
      <c r="R216" s="151">
        <f t="shared" si="863"/>
        <v>3.2221552379897031E-2</v>
      </c>
      <c r="S216" s="151">
        <f t="shared" si="863"/>
        <v>2.9643385420058337E-2</v>
      </c>
      <c r="U216" s="37"/>
      <c r="V216" s="37"/>
      <c r="W216" s="37"/>
      <c r="X216" s="37"/>
      <c r="Y216" s="37"/>
      <c r="Z216" s="151">
        <f t="shared" ref="Z216:AN216" si="864">-(Z214+Z218)/Z79</f>
        <v>6.3932755985736112E-2</v>
      </c>
      <c r="AA216" s="151">
        <f t="shared" si="864"/>
        <v>6.0847179967236133E-2</v>
      </c>
      <c r="AB216" s="151">
        <f t="shared" si="864"/>
        <v>3.6698323367334973E-2</v>
      </c>
      <c r="AC216" s="151">
        <f t="shared" si="864"/>
        <v>5.4708474747986423E-2</v>
      </c>
      <c r="AD216" s="151">
        <f t="shared" si="864"/>
        <v>6.6701137538779737E-2</v>
      </c>
      <c r="AE216" s="151">
        <f t="shared" si="864"/>
        <v>0.10875164002138102</v>
      </c>
      <c r="AF216" s="151">
        <f t="shared" si="864"/>
        <v>4.0848336061102018E-2</v>
      </c>
      <c r="AG216" s="151">
        <f t="shared" si="864"/>
        <v>5.4408592683893121E-2</v>
      </c>
      <c r="AH216" s="151">
        <f t="shared" si="864"/>
        <v>5.2706491265904681E-2</v>
      </c>
      <c r="AI216" s="151">
        <f t="shared" si="864"/>
        <v>5.1265872702894552E-2</v>
      </c>
      <c r="AJ216" s="151">
        <f t="shared" si="864"/>
        <v>4.5486334517581897E-2</v>
      </c>
      <c r="AK216" s="151">
        <f t="shared" si="864"/>
        <v>4.1025817083218896E-2</v>
      </c>
      <c r="AL216" s="151">
        <f t="shared" si="864"/>
        <v>5.1283983509316622E-2</v>
      </c>
      <c r="AM216" s="151">
        <f t="shared" si="864"/>
        <v>4.6769411331647748E-2</v>
      </c>
      <c r="AN216" s="151">
        <f t="shared" si="864"/>
        <v>3.6472250520197591E-2</v>
      </c>
    </row>
    <row r="217" spans="1:45" x14ac:dyDescent="0.2">
      <c r="A217" s="37"/>
      <c r="E217" s="37"/>
      <c r="F217" s="111"/>
      <c r="G217" s="259"/>
      <c r="H217" s="259"/>
      <c r="I217" s="151"/>
      <c r="J217" s="151"/>
      <c r="K217" s="151"/>
      <c r="L217" s="151"/>
      <c r="M217" s="151"/>
      <c r="N217" s="151"/>
      <c r="O217" s="151"/>
      <c r="P217" s="182"/>
      <c r="Q217" s="182"/>
      <c r="R217" s="182"/>
      <c r="S217" s="182"/>
      <c r="U217" s="37"/>
      <c r="V217" s="37"/>
      <c r="W217" s="37"/>
      <c r="X217" s="37"/>
      <c r="Y217" s="37"/>
      <c r="Z217" s="151"/>
      <c r="AA217" s="151"/>
      <c r="AB217" s="151"/>
      <c r="AC217" s="151"/>
      <c r="AD217" s="151"/>
      <c r="AE217" s="151"/>
      <c r="AF217" s="151"/>
      <c r="AG217" s="151"/>
      <c r="AH217" s="151"/>
      <c r="AI217" s="151"/>
      <c r="AJ217" s="151"/>
      <c r="AK217" s="151"/>
      <c r="AL217" s="149"/>
      <c r="AM217" s="149"/>
      <c r="AN217" s="149"/>
    </row>
    <row r="218" spans="1:45" x14ac:dyDescent="0.2">
      <c r="C218" s="17" t="str">
        <f>'Company Data'!B98</f>
        <v>Acquisitions, Net of Cash Acquired: Other</v>
      </c>
      <c r="I218" s="231">
        <f>'Company Data'!U98</f>
        <v>-352</v>
      </c>
      <c r="J218" s="231">
        <f>'Company Data'!V98</f>
        <v>-705</v>
      </c>
      <c r="K218" s="231">
        <f>'Company Data'!W98</f>
        <v>-745</v>
      </c>
      <c r="L218" s="231">
        <f>'Company Data'!X98</f>
        <v>-312</v>
      </c>
      <c r="M218" s="231">
        <f>'Company Data'!Y98</f>
        <v>-979</v>
      </c>
      <c r="N218" s="231">
        <f>'Company Data'!Z98</f>
        <v>-795</v>
      </c>
      <c r="O218" s="228">
        <f t="shared" ref="O218:O220" si="865">SUM(AK218:AN218)</f>
        <v>-16</v>
      </c>
      <c r="P218" s="231">
        <v>0</v>
      </c>
      <c r="Q218" s="231">
        <v>0</v>
      </c>
      <c r="R218" s="231">
        <v>0</v>
      </c>
      <c r="S218" s="231">
        <v>0</v>
      </c>
      <c r="T218" s="256"/>
      <c r="U218" s="231">
        <f>'Company Data'!C98</f>
        <v>-50</v>
      </c>
      <c r="V218" s="231">
        <f>'Company Data'!D98</f>
        <v>-623</v>
      </c>
      <c r="W218" s="231">
        <f>'Company Data'!E98</f>
        <v>-38</v>
      </c>
      <c r="X218" s="231">
        <f>'Company Data'!F98</f>
        <v>-35</v>
      </c>
      <c r="Y218" s="231">
        <f>'Company Data'!G98</f>
        <v>-103</v>
      </c>
      <c r="Z218" s="231">
        <f>'Company Data'!H98</f>
        <v>-148</v>
      </c>
      <c r="AA218" s="231">
        <f>'Company Data'!I98</f>
        <v>-1</v>
      </c>
      <c r="AB218" s="231">
        <f>'Company Data'!J98</f>
        <v>-60</v>
      </c>
      <c r="AC218" s="231">
        <f>'Company Data'!K98</f>
        <v>0</v>
      </c>
      <c r="AD218" s="231">
        <f>'Company Data'!L98</f>
        <v>0</v>
      </c>
      <c r="AE218" s="231">
        <f>'Company Data'!M98</f>
        <v>-860</v>
      </c>
      <c r="AF218" s="231">
        <f>'Company Data'!N98</f>
        <v>-53</v>
      </c>
      <c r="AG218" s="231">
        <f>'Company Data'!O98</f>
        <v>-365</v>
      </c>
      <c r="AH218" s="231">
        <f>'Company Data'!P98</f>
        <v>-9</v>
      </c>
      <c r="AI218" s="231">
        <f>'Company Data'!Q98</f>
        <v>-104</v>
      </c>
      <c r="AJ218" s="231">
        <f>'Company Data'!R98</f>
        <v>-317</v>
      </c>
      <c r="AK218" s="231">
        <f>'Company Data'!S98</f>
        <v>-16</v>
      </c>
      <c r="AL218" s="231">
        <v>0</v>
      </c>
      <c r="AM218" s="231">
        <v>0</v>
      </c>
      <c r="AN218" s="231">
        <v>0</v>
      </c>
      <c r="AO218" s="115"/>
      <c r="AP218" s="84"/>
      <c r="AQ218" s="84"/>
    </row>
    <row r="219" spans="1:45" x14ac:dyDescent="0.2">
      <c r="C219" s="17" t="str">
        <f>'Company Data'!B99</f>
        <v>Purchase of Marketable Securities and Other Investments</v>
      </c>
      <c r="I219" s="231">
        <f>'Company Data'!U99</f>
        <v>-6279</v>
      </c>
      <c r="J219" s="231">
        <f>'Company Data'!V99</f>
        <v>-6257</v>
      </c>
      <c r="K219" s="231">
        <f>'Company Data'!W99</f>
        <v>-3302</v>
      </c>
      <c r="L219" s="231">
        <f>'Company Data'!X99</f>
        <v>-2826</v>
      </c>
      <c r="M219" s="231">
        <f>'Company Data'!Y99</f>
        <v>-2542</v>
      </c>
      <c r="N219" s="231">
        <f>'Company Data'!Z99</f>
        <v>-4091</v>
      </c>
      <c r="O219" s="228">
        <f t="shared" si="865"/>
        <v>-636</v>
      </c>
      <c r="P219" s="231">
        <v>0</v>
      </c>
      <c r="Q219" s="231">
        <v>0</v>
      </c>
      <c r="R219" s="231">
        <v>0</v>
      </c>
      <c r="S219" s="231">
        <v>0</v>
      </c>
      <c r="T219" s="256"/>
      <c r="U219" s="231">
        <f>'Company Data'!C99</f>
        <v>-852</v>
      </c>
      <c r="V219" s="231">
        <f>'Company Data'!D99</f>
        <v>-565</v>
      </c>
      <c r="W219" s="231">
        <f>'Company Data'!E99</f>
        <v>-357</v>
      </c>
      <c r="X219" s="231">
        <f>'Company Data'!F99</f>
        <v>506</v>
      </c>
      <c r="Y219" s="231">
        <f>'Company Data'!G99</f>
        <v>-776</v>
      </c>
      <c r="Z219" s="231">
        <f>'Company Data'!H99</f>
        <v>-1112</v>
      </c>
      <c r="AA219" s="231">
        <f>'Company Data'!I99</f>
        <v>-518</v>
      </c>
      <c r="AB219" s="231">
        <f>'Company Data'!J99</f>
        <v>-420</v>
      </c>
      <c r="AC219" s="231">
        <f>'Company Data'!K99</f>
        <v>-437</v>
      </c>
      <c r="AD219" s="231">
        <f>'Company Data'!L99</f>
        <v>-336</v>
      </c>
      <c r="AE219" s="231">
        <f>'Company Data'!M99</f>
        <v>-147</v>
      </c>
      <c r="AF219" s="231">
        <f>'Company Data'!N99</f>
        <v>-1622</v>
      </c>
      <c r="AG219" s="231">
        <f>'Company Data'!O99</f>
        <v>-986</v>
      </c>
      <c r="AH219" s="231">
        <f>'Company Data'!P99</f>
        <v>-624</v>
      </c>
      <c r="AI219" s="231">
        <f>'Company Data'!Q99</f>
        <v>-1122</v>
      </c>
      <c r="AJ219" s="231">
        <f>'Company Data'!R99</f>
        <v>-1359</v>
      </c>
      <c r="AK219" s="231">
        <f>'Company Data'!S99</f>
        <v>-636</v>
      </c>
      <c r="AL219" s="231">
        <v>0</v>
      </c>
      <c r="AM219" s="231">
        <v>0</v>
      </c>
      <c r="AN219" s="231">
        <v>0</v>
      </c>
      <c r="AO219" s="115"/>
      <c r="AP219" s="84"/>
      <c r="AQ219" s="84"/>
      <c r="AR219" s="84"/>
      <c r="AS219" s="84"/>
    </row>
    <row r="220" spans="1:45" x14ac:dyDescent="0.2">
      <c r="C220" s="17" t="str">
        <f>'Company Data'!B100</f>
        <v>Sales and Maturities of Marketable Securities and Other Investments</v>
      </c>
      <c r="I220" s="231">
        <f>'Company Data'!U100</f>
        <v>4250</v>
      </c>
      <c r="J220" s="231">
        <f>'Company Data'!V100</f>
        <v>6843</v>
      </c>
      <c r="K220" s="231">
        <f>'Company Data'!W100</f>
        <v>4237</v>
      </c>
      <c r="L220" s="231">
        <f>'Company Data'!X100</f>
        <v>2306</v>
      </c>
      <c r="M220" s="231">
        <f>'Company Data'!Y100</f>
        <v>3349</v>
      </c>
      <c r="N220" s="231">
        <f>'Company Data'!Z100</f>
        <v>3025</v>
      </c>
      <c r="O220" s="228">
        <f t="shared" si="865"/>
        <v>1138</v>
      </c>
      <c r="P220" s="231">
        <v>0</v>
      </c>
      <c r="Q220" s="231">
        <v>0</v>
      </c>
      <c r="R220" s="231">
        <v>0</v>
      </c>
      <c r="S220" s="231">
        <v>0</v>
      </c>
      <c r="T220" s="256"/>
      <c r="U220" s="231">
        <f>'Company Data'!C100</f>
        <v>1738</v>
      </c>
      <c r="V220" s="231">
        <f>'Company Data'!D100</f>
        <v>1251</v>
      </c>
      <c r="W220" s="231">
        <f>'Company Data'!E100</f>
        <v>742</v>
      </c>
      <c r="X220" s="231">
        <f>'Company Data'!F100</f>
        <v>-1528</v>
      </c>
      <c r="Y220" s="231">
        <f>'Company Data'!G100</f>
        <v>599</v>
      </c>
      <c r="Z220" s="231">
        <f>'Company Data'!H100</f>
        <v>697</v>
      </c>
      <c r="AA220" s="231">
        <f>'Company Data'!I100</f>
        <v>495</v>
      </c>
      <c r="AB220" s="231">
        <f>'Company Data'!J100</f>
        <v>515</v>
      </c>
      <c r="AC220" s="231">
        <f>'Company Data'!K100</f>
        <v>593</v>
      </c>
      <c r="AD220" s="231">
        <f>'Company Data'!L100</f>
        <v>962</v>
      </c>
      <c r="AE220" s="231">
        <f>'Company Data'!M100</f>
        <v>1439</v>
      </c>
      <c r="AF220" s="231">
        <f>'Company Data'!N100</f>
        <v>355</v>
      </c>
      <c r="AG220" s="231">
        <f>'Company Data'!O100</f>
        <v>375</v>
      </c>
      <c r="AH220" s="231">
        <f>'Company Data'!P100</f>
        <v>470</v>
      </c>
      <c r="AI220" s="231">
        <f>'Company Data'!Q100</f>
        <v>1045</v>
      </c>
      <c r="AJ220" s="231">
        <f>'Company Data'!R100</f>
        <v>1135</v>
      </c>
      <c r="AK220" s="231">
        <f>'Company Data'!S100</f>
        <v>1138</v>
      </c>
      <c r="AL220" s="231">
        <v>0</v>
      </c>
      <c r="AM220" s="231">
        <v>0</v>
      </c>
      <c r="AN220" s="231">
        <v>0</v>
      </c>
      <c r="AO220" s="115"/>
      <c r="AP220" s="112"/>
      <c r="AQ220" s="112"/>
    </row>
    <row r="221" spans="1:45" x14ac:dyDescent="0.2">
      <c r="I221" s="206"/>
      <c r="J221" s="206"/>
      <c r="K221" s="206"/>
      <c r="L221" s="206"/>
      <c r="M221" s="206"/>
      <c r="N221" s="206"/>
      <c r="O221" s="206"/>
      <c r="P221" s="207"/>
      <c r="Q221" s="207"/>
      <c r="R221" s="207"/>
      <c r="S221" s="207"/>
      <c r="T221" s="223"/>
      <c r="U221" s="206"/>
      <c r="V221" s="206"/>
      <c r="W221" s="206"/>
      <c r="X221" s="206"/>
      <c r="Y221" s="206"/>
      <c r="Z221" s="206"/>
      <c r="AA221" s="206"/>
      <c r="AB221" s="206"/>
      <c r="AC221" s="206"/>
      <c r="AD221" s="206"/>
      <c r="AE221" s="206"/>
      <c r="AF221" s="206"/>
      <c r="AG221" s="206"/>
      <c r="AH221" s="206"/>
      <c r="AI221" s="206"/>
      <c r="AJ221" s="206"/>
      <c r="AK221" s="206"/>
      <c r="AL221" s="207"/>
      <c r="AM221" s="207"/>
      <c r="AN221" s="207"/>
      <c r="AP221" s="112"/>
      <c r="AQ221" s="112"/>
    </row>
    <row r="222" spans="1:45" s="111" customFormat="1" x14ac:dyDescent="0.2">
      <c r="B222" s="20" t="s">
        <v>125</v>
      </c>
      <c r="C222" s="20"/>
      <c r="D222" s="20"/>
      <c r="I222" s="257">
        <f t="shared" ref="I222:S222" si="866">SUM(I214,I218:I220)</f>
        <v>-3360</v>
      </c>
      <c r="J222" s="257">
        <f t="shared" si="866"/>
        <v>-1930</v>
      </c>
      <c r="K222" s="257">
        <f t="shared" si="866"/>
        <v>-3595</v>
      </c>
      <c r="L222" s="257">
        <f t="shared" si="866"/>
        <v>-4276</v>
      </c>
      <c r="M222" s="257">
        <f t="shared" si="866"/>
        <v>-5065</v>
      </c>
      <c r="N222" s="257">
        <f t="shared" si="866"/>
        <v>-6450</v>
      </c>
      <c r="O222" s="257">
        <f t="shared" ref="O222" si="867">SUM(AK222:AN222)</f>
        <v>-5335</v>
      </c>
      <c r="P222" s="257">
        <f t="shared" si="866"/>
        <v>-6571</v>
      </c>
      <c r="Q222" s="257">
        <f t="shared" si="866"/>
        <v>-7321</v>
      </c>
      <c r="R222" s="257">
        <f t="shared" si="866"/>
        <v>-8071</v>
      </c>
      <c r="S222" s="257">
        <f t="shared" si="866"/>
        <v>-8821</v>
      </c>
      <c r="T222" s="230"/>
      <c r="U222" s="257">
        <f t="shared" ref="U222" si="868">SUM(U214,U218:U220)</f>
        <v>450</v>
      </c>
      <c r="V222" s="257">
        <f t="shared" ref="V222" si="869">SUM(V214,V218:V220)</f>
        <v>-594</v>
      </c>
      <c r="W222" s="257">
        <f t="shared" ref="W222" si="870">SUM(W214,W218:W220)</f>
        <v>-369</v>
      </c>
      <c r="X222" s="257">
        <f t="shared" ref="X222:AN222" si="871">SUM(X214,X218:X220)</f>
        <v>-3082</v>
      </c>
      <c r="Y222" s="257">
        <f t="shared" si="871"/>
        <v>-950</v>
      </c>
      <c r="Z222" s="257">
        <f t="shared" si="871"/>
        <v>-1419</v>
      </c>
      <c r="AA222" s="257">
        <f t="shared" si="871"/>
        <v>-1063</v>
      </c>
      <c r="AB222" s="257">
        <f t="shared" si="871"/>
        <v>-844</v>
      </c>
      <c r="AC222" s="257">
        <f t="shared" si="871"/>
        <v>-924</v>
      </c>
      <c r="AD222" s="257">
        <f t="shared" si="871"/>
        <v>-664</v>
      </c>
      <c r="AE222" s="257">
        <f t="shared" si="871"/>
        <v>-946</v>
      </c>
      <c r="AF222" s="257">
        <f t="shared" si="871"/>
        <v>-2465</v>
      </c>
      <c r="AG222" s="257">
        <f t="shared" si="871"/>
        <v>-1847</v>
      </c>
      <c r="AH222" s="257">
        <f t="shared" si="871"/>
        <v>-1376</v>
      </c>
      <c r="AI222" s="257">
        <f t="shared" si="871"/>
        <v>-1377</v>
      </c>
      <c r="AJ222" s="257">
        <f t="shared" si="871"/>
        <v>-1850</v>
      </c>
      <c r="AK222" s="257">
        <f t="shared" ref="AK222" si="872">SUM(AK214,AK218:AK220)</f>
        <v>-693</v>
      </c>
      <c r="AL222" s="257">
        <f t="shared" si="871"/>
        <v>-1521</v>
      </c>
      <c r="AM222" s="257">
        <f t="shared" si="871"/>
        <v>-1504</v>
      </c>
      <c r="AN222" s="257">
        <f t="shared" si="871"/>
        <v>-1617</v>
      </c>
      <c r="AO222" s="115"/>
      <c r="AP222" s="131"/>
      <c r="AQ222" s="131"/>
    </row>
    <row r="223" spans="1:45" s="111" customFormat="1" x14ac:dyDescent="0.2">
      <c r="B223" s="20"/>
      <c r="C223" s="20"/>
      <c r="D223" s="20"/>
      <c r="I223" s="257"/>
      <c r="J223" s="257"/>
      <c r="K223" s="257"/>
      <c r="L223" s="257"/>
      <c r="M223" s="257"/>
      <c r="N223" s="257"/>
      <c r="O223" s="257"/>
      <c r="P223" s="257"/>
      <c r="Q223" s="257"/>
      <c r="R223" s="257"/>
      <c r="S223" s="257"/>
      <c r="T223" s="230"/>
      <c r="U223" s="257"/>
      <c r="V223" s="257"/>
      <c r="W223" s="257"/>
      <c r="X223" s="257"/>
      <c r="Y223" s="257"/>
      <c r="Z223" s="257"/>
      <c r="AA223" s="257"/>
      <c r="AB223" s="257"/>
      <c r="AC223" s="257"/>
      <c r="AD223" s="257"/>
      <c r="AE223" s="257"/>
      <c r="AF223" s="257"/>
      <c r="AG223" s="257"/>
      <c r="AH223" s="257"/>
      <c r="AI223" s="257"/>
      <c r="AJ223" s="257"/>
      <c r="AK223" s="257"/>
      <c r="AL223" s="257"/>
      <c r="AM223" s="257"/>
      <c r="AN223" s="257"/>
      <c r="AO223" s="132"/>
      <c r="AP223" s="131"/>
      <c r="AQ223" s="131"/>
    </row>
    <row r="224" spans="1:45" s="111" customFormat="1" x14ac:dyDescent="0.2">
      <c r="B224" s="20"/>
      <c r="C224" s="20"/>
      <c r="D224" s="20"/>
      <c r="I224" s="257"/>
      <c r="J224" s="257"/>
      <c r="K224" s="257"/>
      <c r="L224" s="257"/>
      <c r="M224" s="257"/>
      <c r="N224" s="257"/>
      <c r="O224" s="257"/>
      <c r="P224" s="257"/>
      <c r="Q224" s="257"/>
      <c r="R224" s="257"/>
      <c r="S224" s="257"/>
      <c r="T224" s="230"/>
      <c r="U224" s="257"/>
      <c r="V224" s="257"/>
      <c r="W224" s="257"/>
      <c r="X224" s="257"/>
      <c r="Y224" s="257"/>
      <c r="Z224" s="257"/>
      <c r="AA224" s="257"/>
      <c r="AB224" s="257"/>
      <c r="AC224" s="257"/>
      <c r="AD224" s="257"/>
      <c r="AE224" s="257"/>
      <c r="AF224" s="257"/>
      <c r="AG224" s="257"/>
      <c r="AH224" s="257"/>
      <c r="AI224" s="257"/>
      <c r="AJ224" s="257"/>
      <c r="AK224" s="257"/>
      <c r="AL224" s="257"/>
      <c r="AM224" s="257"/>
      <c r="AN224" s="257"/>
      <c r="AO224" s="132"/>
      <c r="AP224" s="131"/>
      <c r="AQ224" s="131"/>
    </row>
    <row r="225" spans="2:43" x14ac:dyDescent="0.2">
      <c r="C225" s="17" t="str">
        <f>'Company Data'!B104</f>
        <v xml:space="preserve">  Proceeds from Long-term Debt and Other</v>
      </c>
      <c r="I225" s="206">
        <f>'Company Data'!U104</f>
        <v>143</v>
      </c>
      <c r="J225" s="206">
        <f>'Company Data'!V104</f>
        <v>177</v>
      </c>
      <c r="K225" s="206">
        <f>'Company Data'!W104</f>
        <v>3378</v>
      </c>
      <c r="L225" s="206">
        <f>'Company Data'!X104</f>
        <v>394</v>
      </c>
      <c r="M225" s="206">
        <f>'Company Data'!Y104</f>
        <v>6359</v>
      </c>
      <c r="N225" s="206">
        <f>'Company Data'!Z104</f>
        <v>353</v>
      </c>
      <c r="O225" s="279">
        <f>SUM(AK225:AN225)</f>
        <v>1381.7507610195335</v>
      </c>
      <c r="P225" s="206">
        <f>P323-O323-P226</f>
        <v>1182.5021624083729</v>
      </c>
      <c r="Q225" s="206">
        <f>Q323-P323-Q226</f>
        <v>2137.5809487239421</v>
      </c>
      <c r="R225" s="206">
        <f>R323-Q323-R226</f>
        <v>1072.3459769595265</v>
      </c>
      <c r="S225" s="206">
        <f>S323-R323-S226</f>
        <v>1895.7119557140704</v>
      </c>
      <c r="T225" s="223"/>
      <c r="U225" s="206">
        <f>'Company Data'!C104</f>
        <v>68</v>
      </c>
      <c r="V225" s="206">
        <f>'Company Data'!D104</f>
        <v>122</v>
      </c>
      <c r="W225" s="206">
        <f>'Company Data'!E104</f>
        <v>110</v>
      </c>
      <c r="X225" s="206">
        <f>'Company Data'!F104</f>
        <v>3083</v>
      </c>
      <c r="Y225" s="206">
        <f>'Company Data'!G104</f>
        <v>25</v>
      </c>
      <c r="Z225" s="206">
        <f>'Company Data'!H104</f>
        <v>82</v>
      </c>
      <c r="AA225" s="206">
        <f>'Company Data'!I104</f>
        <v>25</v>
      </c>
      <c r="AB225" s="206">
        <f>'Company Data'!J104</f>
        <v>262</v>
      </c>
      <c r="AC225" s="206">
        <f>'Company Data'!K104</f>
        <v>65</v>
      </c>
      <c r="AD225" s="206">
        <f>'Company Data'!L104</f>
        <v>286</v>
      </c>
      <c r="AE225" s="206">
        <f>'Company Data'!M104</f>
        <v>28</v>
      </c>
      <c r="AF225" s="206">
        <f>'Company Data'!N104</f>
        <v>5980</v>
      </c>
      <c r="AG225" s="206">
        <f>'Company Data'!O104</f>
        <v>183</v>
      </c>
      <c r="AH225" s="206">
        <f>'Company Data'!P104</f>
        <v>43</v>
      </c>
      <c r="AI225" s="206">
        <f>'Company Data'!Q104</f>
        <v>34</v>
      </c>
      <c r="AJ225" s="206">
        <f>'Company Data'!R104</f>
        <v>93</v>
      </c>
      <c r="AK225" s="206">
        <f>'Company Data'!S104</f>
        <v>9</v>
      </c>
      <c r="AL225" s="206">
        <f t="shared" ref="AL225:AM225" si="873">AL323-AK323</f>
        <v>223.7571543308477</v>
      </c>
      <c r="AM225" s="206">
        <f t="shared" si="873"/>
        <v>253.78032973790323</v>
      </c>
      <c r="AN225" s="206">
        <f>AN323-AM323-AN226</f>
        <v>895.21327695078253</v>
      </c>
      <c r="AO225" s="207"/>
      <c r="AP225" s="84"/>
      <c r="AQ225" s="84"/>
    </row>
    <row r="226" spans="2:43" x14ac:dyDescent="0.2">
      <c r="C226" s="17" t="str">
        <f>'Company Data'!B105</f>
        <v xml:space="preserve">  Repayment of Long-term Debt and Other</v>
      </c>
      <c r="I226" s="337" t="str">
        <f>'Company Data'!U105</f>
        <v>NA</v>
      </c>
      <c r="J226" s="337" t="str">
        <f>'Company Data'!V105</f>
        <v>NA</v>
      </c>
      <c r="K226" s="337">
        <f>'Company Data'!W105</f>
        <v>-82</v>
      </c>
      <c r="L226" s="337">
        <f>'Company Data'!X105</f>
        <v>-231</v>
      </c>
      <c r="M226" s="337">
        <f>'Company Data'!Y105</f>
        <v>-513</v>
      </c>
      <c r="N226" s="337">
        <f>'Company Data'!Z105</f>
        <v>-1652</v>
      </c>
      <c r="O226" s="279">
        <f>SUM(AK226:AN226)</f>
        <v>-175</v>
      </c>
      <c r="P226" s="337">
        <v>0</v>
      </c>
      <c r="Q226" s="206">
        <v>-1000</v>
      </c>
      <c r="R226" s="206">
        <v>-37</v>
      </c>
      <c r="S226" s="206">
        <v>-1000</v>
      </c>
      <c r="T226" s="280"/>
      <c r="U226" s="337">
        <f>'Company Data'!C105</f>
        <v>-153</v>
      </c>
      <c r="V226" s="337">
        <f>'Company Data'!D105</f>
        <v>-140</v>
      </c>
      <c r="W226" s="337">
        <f>'Company Data'!E105</f>
        <v>-144</v>
      </c>
      <c r="X226" s="337" t="str">
        <f>'Company Data'!F105</f>
        <v>-</v>
      </c>
      <c r="Y226" s="337" t="str">
        <f>'Company Data'!G105</f>
        <v>-</v>
      </c>
      <c r="Z226" s="337" t="str">
        <f>'Company Data'!H105</f>
        <v>NA</v>
      </c>
      <c r="AA226" s="337" t="str">
        <f>'Company Data'!I105</f>
        <v>NA</v>
      </c>
      <c r="AB226" s="337" t="str">
        <f>'Company Data'!J105</f>
        <v>NA</v>
      </c>
      <c r="AC226" s="337">
        <f>'Company Data'!K105</f>
        <v>-70</v>
      </c>
      <c r="AD226" s="337">
        <f>'Company Data'!L105</f>
        <v>-177</v>
      </c>
      <c r="AE226" s="337">
        <f>'Company Data'!M105</f>
        <v>-84</v>
      </c>
      <c r="AF226" s="337">
        <f>'Company Data'!N105</f>
        <v>-182</v>
      </c>
      <c r="AG226" s="337">
        <f>'Company Data'!O105</f>
        <v>-316</v>
      </c>
      <c r="AH226" s="337">
        <f>'Company Data'!P105</f>
        <v>-215</v>
      </c>
      <c r="AI226" s="337">
        <f>'Company Data'!Q105</f>
        <v>-181</v>
      </c>
      <c r="AJ226" s="337">
        <f>'Company Data'!R105</f>
        <v>-940</v>
      </c>
      <c r="AK226" s="337">
        <f>'Company Data'!S105</f>
        <v>-175</v>
      </c>
      <c r="AL226" s="337">
        <v>0</v>
      </c>
      <c r="AM226" s="337">
        <v>0</v>
      </c>
      <c r="AN226" s="337">
        <v>0</v>
      </c>
      <c r="AO226" s="84"/>
      <c r="AP226" s="84"/>
      <c r="AQ226" s="84"/>
    </row>
    <row r="227" spans="2:43" x14ac:dyDescent="0.2">
      <c r="C227" s="17" t="str">
        <f>'Company Data'!B106</f>
        <v xml:space="preserve">  Principal Repayment of Capital Lease Obligations</v>
      </c>
      <c r="G227" s="111" t="s">
        <v>126</v>
      </c>
      <c r="H227" s="168"/>
      <c r="I227" s="231">
        <f>'Company Data'!U106</f>
        <v>-221</v>
      </c>
      <c r="J227" s="231">
        <f>'Company Data'!V106</f>
        <v>-444</v>
      </c>
      <c r="K227" s="231">
        <f>'Company Data'!W106</f>
        <v>-486</v>
      </c>
      <c r="L227" s="231">
        <f>'Company Data'!X106</f>
        <v>-775</v>
      </c>
      <c r="M227" s="231">
        <f>'Company Data'!Y106</f>
        <v>-1285</v>
      </c>
      <c r="N227" s="231">
        <f>'Company Data'!Z106</f>
        <v>-2462</v>
      </c>
      <c r="O227" s="232">
        <f>SUM(AK227:AN227)</f>
        <v>-4050.496551724138</v>
      </c>
      <c r="P227" s="303">
        <f>-P230*P72</f>
        <v>-6201.5319547754088</v>
      </c>
      <c r="Q227" s="303">
        <f>-Q230*Q72</f>
        <v>-8318.8613127838344</v>
      </c>
      <c r="R227" s="303">
        <f>-R230*R72</f>
        <v>-10580.580800676227</v>
      </c>
      <c r="S227" s="303">
        <f>-S230*S72</f>
        <v>-12889.535812158387</v>
      </c>
      <c r="T227" s="256"/>
      <c r="U227" s="231" t="str">
        <f>'Company Data'!C106</f>
        <v>-</v>
      </c>
      <c r="V227" s="231" t="str">
        <f>'Company Data'!D106</f>
        <v>NA</v>
      </c>
      <c r="W227" s="231" t="str">
        <f>'Company Data'!E106</f>
        <v>NA</v>
      </c>
      <c r="X227" s="231">
        <f>'Company Data'!F106</f>
        <v>-156</v>
      </c>
      <c r="Y227" s="231">
        <f>'Company Data'!G106</f>
        <v>-182</v>
      </c>
      <c r="Z227" s="231">
        <f>'Company Data'!H106</f>
        <v>-291</v>
      </c>
      <c r="AA227" s="231">
        <f>'Company Data'!I106</f>
        <v>-255</v>
      </c>
      <c r="AB227" s="231">
        <f>'Company Data'!J106</f>
        <v>-47</v>
      </c>
      <c r="AC227" s="231">
        <f>'Company Data'!K106</f>
        <v>-249</v>
      </c>
      <c r="AD227" s="231">
        <f>'Company Data'!L106</f>
        <v>-286</v>
      </c>
      <c r="AE227" s="231">
        <f>'Company Data'!M106</f>
        <v>-343</v>
      </c>
      <c r="AF227" s="231">
        <f>'Company Data'!N106</f>
        <v>-407</v>
      </c>
      <c r="AG227" s="231">
        <f>'Company Data'!O106</f>
        <v>-502</v>
      </c>
      <c r="AH227" s="231">
        <f>'Company Data'!P106</f>
        <v>-580</v>
      </c>
      <c r="AI227" s="231">
        <f>'Company Data'!Q106</f>
        <v>-656</v>
      </c>
      <c r="AJ227" s="231">
        <f>'Company Data'!R106</f>
        <v>-724</v>
      </c>
      <c r="AK227" s="231">
        <f>'Company Data'!S106</f>
        <v>-801</v>
      </c>
      <c r="AL227" s="231">
        <f>-AL230*AL72</f>
        <v>-1016.8706896551724</v>
      </c>
      <c r="AM227" s="231">
        <f>-AM230*AM72</f>
        <v>-1078.5310344827585</v>
      </c>
      <c r="AN227" s="231">
        <f>-AN230*AN72</f>
        <v>-1154.0948275862072</v>
      </c>
      <c r="AO227" s="84"/>
      <c r="AP227" s="84"/>
      <c r="AQ227" s="84"/>
    </row>
    <row r="228" spans="2:43" x14ac:dyDescent="0.2">
      <c r="E228" s="138" t="s">
        <v>80</v>
      </c>
      <c r="G228" s="63"/>
      <c r="H228" s="63"/>
      <c r="I228" s="293">
        <f t="shared" ref="I228" si="874">IFERROR(I227-H227,"NA ")</f>
        <v>-221</v>
      </c>
      <c r="J228" s="293">
        <f>IFERROR(J227-I227,"NA ")</f>
        <v>-223</v>
      </c>
      <c r="K228" s="293">
        <f t="shared" ref="K228" si="875">IFERROR(K227-J227,"NA ")</f>
        <v>-42</v>
      </c>
      <c r="L228" s="293">
        <f t="shared" ref="L228" si="876">IFERROR(L227-K227,"NA ")</f>
        <v>-289</v>
      </c>
      <c r="M228" s="293">
        <f t="shared" ref="M228" si="877">IFERROR(M227-L227,"NA ")</f>
        <v>-510</v>
      </c>
      <c r="N228" s="293">
        <f t="shared" ref="N228" si="878">IFERROR(N227-M227,"NA ")</f>
        <v>-1177</v>
      </c>
      <c r="O228" s="293">
        <f t="shared" ref="O228" si="879">IFERROR(O227-N227,"NA ")</f>
        <v>-1588.496551724138</v>
      </c>
      <c r="P228" s="293">
        <f t="shared" ref="P228" si="880">IFERROR(P227-O227,"NA ")</f>
        <v>-2151.0354030512708</v>
      </c>
      <c r="Q228" s="293">
        <f t="shared" ref="Q228" si="881">IFERROR(Q227-P227,"NA ")</f>
        <v>-2117.3293580084255</v>
      </c>
      <c r="R228" s="293">
        <f t="shared" ref="R228" si="882">IFERROR(R227-Q227,"NA ")</f>
        <v>-2261.7194878923929</v>
      </c>
      <c r="S228" s="293">
        <f t="shared" ref="S228" si="883">IFERROR(S227-R227,"NA ")</f>
        <v>-2308.9550114821595</v>
      </c>
      <c r="T228" s="222"/>
      <c r="U228" s="321" t="s">
        <v>79</v>
      </c>
      <c r="V228" s="321" t="s">
        <v>79</v>
      </c>
      <c r="W228" s="321" t="s">
        <v>79</v>
      </c>
      <c r="X228" s="321" t="s">
        <v>79</v>
      </c>
      <c r="Y228" s="321" t="s">
        <v>79</v>
      </c>
      <c r="Z228" s="321" t="s">
        <v>79</v>
      </c>
      <c r="AA228" s="321" t="s">
        <v>79</v>
      </c>
      <c r="AB228" s="293">
        <f>AB227-X227</f>
        <v>109</v>
      </c>
      <c r="AC228" s="293">
        <f t="shared" ref="AC228" si="884">AC227-Y227</f>
        <v>-67</v>
      </c>
      <c r="AD228" s="293">
        <f t="shared" ref="AD228" si="885">AD227-Z227</f>
        <v>5</v>
      </c>
      <c r="AE228" s="293">
        <f t="shared" ref="AE228" si="886">AE227-AA227</f>
        <v>-88</v>
      </c>
      <c r="AF228" s="293">
        <f t="shared" ref="AF228" si="887">AF227-AB227</f>
        <v>-360</v>
      </c>
      <c r="AG228" s="293">
        <f t="shared" ref="AG228" si="888">AG227-AC227</f>
        <v>-253</v>
      </c>
      <c r="AH228" s="293">
        <f t="shared" ref="AH228" si="889">AH227-AD227</f>
        <v>-294</v>
      </c>
      <c r="AI228" s="293">
        <f t="shared" ref="AI228" si="890">AI227-AE227</f>
        <v>-313</v>
      </c>
      <c r="AJ228" s="293">
        <f t="shared" ref="AJ228:AK228" si="891">AJ227-AF227</f>
        <v>-317</v>
      </c>
      <c r="AK228" s="293">
        <f t="shared" si="891"/>
        <v>-299</v>
      </c>
      <c r="AL228" s="293">
        <f t="shared" ref="AL228" si="892">AL227-AH227</f>
        <v>-436.87068965517244</v>
      </c>
      <c r="AM228" s="293">
        <f t="shared" ref="AM228" si="893">AM227-AI227</f>
        <v>-422.53103448275851</v>
      </c>
      <c r="AN228" s="293">
        <f t="shared" ref="AN228" si="894">AN227-AJ227</f>
        <v>-430.0948275862072</v>
      </c>
      <c r="AO228" s="117"/>
      <c r="AP228" s="117"/>
      <c r="AQ228" s="117"/>
    </row>
    <row r="229" spans="2:43" s="71" customFormat="1" x14ac:dyDescent="0.2">
      <c r="C229" s="17" t="str">
        <f>'Company Data'!B107</f>
        <v xml:space="preserve">  Principal Repayments of Finance Lease Obligations</v>
      </c>
      <c r="G229" s="17"/>
      <c r="H229" s="17"/>
      <c r="I229" s="231">
        <f>'Company Data'!U107</f>
        <v>0</v>
      </c>
      <c r="J229" s="231">
        <f>'Company Data'!V107</f>
        <v>0</v>
      </c>
      <c r="K229" s="231">
        <f>'Company Data'!W107</f>
        <v>-20</v>
      </c>
      <c r="L229" s="231">
        <f>'Company Data'!X107</f>
        <v>-5</v>
      </c>
      <c r="M229" s="231">
        <f>'Company Data'!Y107</f>
        <v>-135</v>
      </c>
      <c r="N229" s="231">
        <f>'Company Data'!Z107</f>
        <v>-121</v>
      </c>
      <c r="O229" s="228">
        <f>SUM(AK229:AN229)</f>
        <v>-29</v>
      </c>
      <c r="P229" s="231">
        <v>0</v>
      </c>
      <c r="Q229" s="231">
        <v>0</v>
      </c>
      <c r="R229" s="231">
        <v>0</v>
      </c>
      <c r="S229" s="231">
        <v>0</v>
      </c>
      <c r="T229" s="256"/>
      <c r="U229" s="231" t="str">
        <f>'Company Data'!C107</f>
        <v>-</v>
      </c>
      <c r="V229" s="231">
        <f>'Company Data'!D107</f>
        <v>0</v>
      </c>
      <c r="W229" s="231">
        <f>'Company Data'!E107</f>
        <v>0</v>
      </c>
      <c r="X229" s="231">
        <f>'Company Data'!F107</f>
        <v>0</v>
      </c>
      <c r="Y229" s="231">
        <f>'Company Data'!G107</f>
        <v>0</v>
      </c>
      <c r="Z229" s="231">
        <f>'Company Data'!H107</f>
        <v>0</v>
      </c>
      <c r="AA229" s="231">
        <f>'Company Data'!I107</f>
        <v>0</v>
      </c>
      <c r="AB229" s="231">
        <f>'Company Data'!J107</f>
        <v>0</v>
      </c>
      <c r="AC229" s="231">
        <f>'Company Data'!K107</f>
        <v>-42</v>
      </c>
      <c r="AD229" s="231">
        <f>'Company Data'!L107</f>
        <v>-12</v>
      </c>
      <c r="AE229" s="231">
        <f>'Company Data'!M107</f>
        <v>-14</v>
      </c>
      <c r="AF229" s="231">
        <f>'Company Data'!N107</f>
        <v>-67</v>
      </c>
      <c r="AG229" s="231">
        <f>'Company Data'!O107</f>
        <v>-39</v>
      </c>
      <c r="AH229" s="231">
        <f>'Company Data'!P107</f>
        <v>-35</v>
      </c>
      <c r="AI229" s="231">
        <f>'Company Data'!Q107</f>
        <v>-21</v>
      </c>
      <c r="AJ229" s="231">
        <f>'Company Data'!R107</f>
        <v>-26</v>
      </c>
      <c r="AK229" s="231">
        <f>'Company Data'!S107</f>
        <v>-29</v>
      </c>
      <c r="AL229" s="231">
        <v>0</v>
      </c>
      <c r="AM229" s="231">
        <v>0</v>
      </c>
      <c r="AN229" s="231">
        <v>0</v>
      </c>
      <c r="AO229" s="98"/>
      <c r="AP229" s="98"/>
      <c r="AQ229" s="98"/>
    </row>
    <row r="230" spans="2:43" x14ac:dyDescent="0.2">
      <c r="F230" s="111" t="s">
        <v>127</v>
      </c>
      <c r="I230" s="150"/>
      <c r="J230" s="150"/>
      <c r="K230" s="150"/>
      <c r="L230" s="150">
        <f>-(L227+L229)/L72</f>
        <v>0.25096525096525096</v>
      </c>
      <c r="M230" s="150">
        <f>-(M227+M229)/M72</f>
        <v>0.30577088716623602</v>
      </c>
      <c r="N230" s="150">
        <f>-(N227+N229)/N72</f>
        <v>0.32779187817258881</v>
      </c>
      <c r="O230" s="150">
        <f>-(O227+O229)/O72</f>
        <v>0.33641744570433302</v>
      </c>
      <c r="P230" s="302">
        <f>O230*1.02</f>
        <v>0.34314579461841971</v>
      </c>
      <c r="Q230" s="302">
        <f>P230*0.95</f>
        <v>0.3259885048874987</v>
      </c>
      <c r="R230" s="302">
        <f>Q230*0.95</f>
        <v>0.30968907964312375</v>
      </c>
      <c r="S230" s="302">
        <f>R230*0.95</f>
        <v>0.29420462566096756</v>
      </c>
      <c r="AC230" s="150">
        <f t="shared" ref="AC230:AK230" si="895">-(AC227+AC229)/AC72</f>
        <v>0.27714285714285714</v>
      </c>
      <c r="AD230" s="150">
        <f t="shared" si="895"/>
        <v>0.29651741293532341</v>
      </c>
      <c r="AE230" s="150">
        <f t="shared" si="895"/>
        <v>0.30538922155688625</v>
      </c>
      <c r="AF230" s="150">
        <f t="shared" si="895"/>
        <v>0.33380281690140845</v>
      </c>
      <c r="AG230" s="150">
        <f t="shared" si="895"/>
        <v>0.34546615581098339</v>
      </c>
      <c r="AH230" s="150">
        <f t="shared" si="895"/>
        <v>0.33717105263157893</v>
      </c>
      <c r="AI230" s="150">
        <f t="shared" si="895"/>
        <v>0.32470023980815349</v>
      </c>
      <c r="AJ230" s="150">
        <f t="shared" si="895"/>
        <v>0.31185031185031187</v>
      </c>
      <c r="AK230" s="150">
        <f t="shared" si="895"/>
        <v>0.32346063912704598</v>
      </c>
      <c r="AL230" s="149">
        <f t="shared" ref="AL230:AN230" si="896">AH230*1.05</f>
        <v>0.35402960526315791</v>
      </c>
      <c r="AM230" s="149">
        <f t="shared" si="896"/>
        <v>0.34093525179856116</v>
      </c>
      <c r="AN230" s="149">
        <f t="shared" si="896"/>
        <v>0.32744282744282749</v>
      </c>
    </row>
    <row r="231" spans="2:43" x14ac:dyDescent="0.2">
      <c r="C231" s="17" t="str">
        <f>'Company Data'!B108</f>
        <v xml:space="preserve">  Common Stock-repurchased</v>
      </c>
      <c r="G231" s="111" t="s">
        <v>128</v>
      </c>
      <c r="H231" s="168"/>
      <c r="I231" s="231">
        <f>'Company Data'!U108</f>
        <v>0</v>
      </c>
      <c r="J231" s="231">
        <f>'Company Data'!V108</f>
        <v>-277</v>
      </c>
      <c r="K231" s="231">
        <f>'Company Data'!W108</f>
        <v>-960</v>
      </c>
      <c r="L231" s="231">
        <f>'Company Data'!X108</f>
        <v>0</v>
      </c>
      <c r="M231" s="231">
        <f>'Company Data'!Y108</f>
        <v>0</v>
      </c>
      <c r="N231" s="231">
        <f>'Company Data'!Z108</f>
        <v>0</v>
      </c>
      <c r="O231" s="228">
        <f>SUM(AK231:AN231)</f>
        <v>-300</v>
      </c>
      <c r="P231" s="233">
        <f>O231</f>
        <v>-300</v>
      </c>
      <c r="Q231" s="233">
        <f>P231</f>
        <v>-300</v>
      </c>
      <c r="R231" s="233">
        <f>Q231</f>
        <v>-300</v>
      </c>
      <c r="S231" s="233">
        <f>R231</f>
        <v>-300</v>
      </c>
      <c r="T231" s="256"/>
      <c r="U231" s="231">
        <f>'Company Data'!C108</f>
        <v>-960</v>
      </c>
      <c r="V231" s="231">
        <f>'Company Data'!D108</f>
        <v>0</v>
      </c>
      <c r="W231" s="231">
        <f>'Company Data'!E108</f>
        <v>0</v>
      </c>
      <c r="X231" s="231">
        <f>'Company Data'!F108</f>
        <v>0</v>
      </c>
      <c r="Y231" s="231">
        <f>'Company Data'!G108</f>
        <v>0</v>
      </c>
      <c r="Z231" s="231">
        <f>'Company Data'!H108</f>
        <v>0</v>
      </c>
      <c r="AA231" s="231">
        <f>'Company Data'!I108</f>
        <v>0</v>
      </c>
      <c r="AB231" s="231">
        <f>'Company Data'!J108</f>
        <v>0</v>
      </c>
      <c r="AC231" s="231">
        <f>'Company Data'!K108</f>
        <v>0</v>
      </c>
      <c r="AD231" s="231">
        <f>'Company Data'!L108</f>
        <v>0</v>
      </c>
      <c r="AE231" s="231">
        <f>'Company Data'!M108</f>
        <v>0</v>
      </c>
      <c r="AF231" s="231">
        <f>'Company Data'!N108</f>
        <v>0</v>
      </c>
      <c r="AG231" s="231">
        <f>'Company Data'!O108</f>
        <v>0</v>
      </c>
      <c r="AH231" s="231">
        <f>'Company Data'!P108</f>
        <v>0</v>
      </c>
      <c r="AI231" s="231">
        <f>'Company Data'!Q108</f>
        <v>0</v>
      </c>
      <c r="AJ231" s="231">
        <f>'Company Data'!R108</f>
        <v>0</v>
      </c>
      <c r="AK231" s="231">
        <f>'Company Data'!S108</f>
        <v>0</v>
      </c>
      <c r="AL231" s="231">
        <v>-100</v>
      </c>
      <c r="AM231" s="231">
        <v>-100</v>
      </c>
      <c r="AN231" s="231">
        <v>-100</v>
      </c>
      <c r="AO231" s="119"/>
      <c r="AP231" s="119"/>
      <c r="AQ231" s="119"/>
    </row>
    <row r="232" spans="2:43" x14ac:dyDescent="0.2">
      <c r="C232" s="17" t="str">
        <f>'Company Data'!B109</f>
        <v xml:space="preserve">  Excess Tax Benefits from Stock-based Compensation</v>
      </c>
      <c r="I232" s="231">
        <f>'Company Data'!U109</f>
        <v>259</v>
      </c>
      <c r="J232" s="231">
        <f>'Company Data'!V109</f>
        <v>62</v>
      </c>
      <c r="K232" s="231">
        <f>'Company Data'!W109</f>
        <v>429</v>
      </c>
      <c r="L232" s="231">
        <f>'Company Data'!X109</f>
        <v>78</v>
      </c>
      <c r="M232" s="231">
        <f>'Company Data'!Y109</f>
        <v>6</v>
      </c>
      <c r="N232" s="231">
        <f>'Company Data'!Z109</f>
        <v>119</v>
      </c>
      <c r="O232" s="228">
        <f t="shared" ref="O232" si="897">SUM(AK232:AN232)</f>
        <v>207</v>
      </c>
      <c r="P232" s="231">
        <v>0</v>
      </c>
      <c r="Q232" s="231">
        <v>0</v>
      </c>
      <c r="R232" s="231">
        <v>0</v>
      </c>
      <c r="S232" s="231">
        <v>0</v>
      </c>
      <c r="T232" s="256"/>
      <c r="U232" s="231">
        <f>'Company Data'!C109</f>
        <v>40</v>
      </c>
      <c r="V232" s="231">
        <f>'Company Data'!D109</f>
        <v>85</v>
      </c>
      <c r="W232" s="231">
        <f>'Company Data'!E109</f>
        <v>65</v>
      </c>
      <c r="X232" s="231">
        <f>'Company Data'!F109</f>
        <v>239</v>
      </c>
      <c r="Y232" s="231" t="s">
        <v>102</v>
      </c>
      <c r="Z232" s="231">
        <f>'Company Data'!H109</f>
        <v>0</v>
      </c>
      <c r="AA232" s="231">
        <f>'Company Data'!I109</f>
        <v>0</v>
      </c>
      <c r="AB232" s="231">
        <f>'Company Data'!J109</f>
        <v>-236</v>
      </c>
      <c r="AC232" s="231">
        <f>'Company Data'!K109</f>
        <v>121</v>
      </c>
      <c r="AD232" s="231">
        <f>'Company Data'!L109</f>
        <v>-67</v>
      </c>
      <c r="AE232" s="231">
        <f>'Company Data'!M109</f>
        <v>0</v>
      </c>
      <c r="AF232" s="231">
        <f>'Company Data'!N109</f>
        <v>-115</v>
      </c>
      <c r="AG232" s="231">
        <f>'Company Data'!O109</f>
        <v>22</v>
      </c>
      <c r="AH232" s="231">
        <f>'Company Data'!P109</f>
        <v>95</v>
      </c>
      <c r="AI232" s="231">
        <f>'Company Data'!Q109</f>
        <v>95</v>
      </c>
      <c r="AJ232" s="231">
        <f>'Company Data'!R109</f>
        <v>-93</v>
      </c>
      <c r="AK232" s="231">
        <f>'Company Data'!S109</f>
        <v>207</v>
      </c>
      <c r="AL232" s="231">
        <v>0</v>
      </c>
      <c r="AM232" s="231">
        <v>0</v>
      </c>
      <c r="AN232" s="231">
        <v>0</v>
      </c>
      <c r="AO232" s="108"/>
      <c r="AP232" s="108"/>
      <c r="AQ232" s="108"/>
    </row>
    <row r="233" spans="2:43" hidden="1" outlineLevel="1" x14ac:dyDescent="0.2">
      <c r="I233" s="157"/>
      <c r="J233" s="157"/>
      <c r="K233" s="157"/>
      <c r="L233" s="157"/>
      <c r="M233" s="157"/>
      <c r="N233" s="157"/>
      <c r="O233" s="157"/>
      <c r="P233" s="157"/>
      <c r="Q233" s="157"/>
      <c r="R233" s="157"/>
      <c r="S233" s="157"/>
      <c r="T233" s="161"/>
      <c r="U233" s="157"/>
      <c r="V233" s="157"/>
      <c r="W233" s="157"/>
      <c r="X233" s="157"/>
      <c r="Y233" s="157"/>
      <c r="Z233" s="157"/>
      <c r="AA233" s="157"/>
      <c r="AB233" s="157"/>
      <c r="AC233" s="157"/>
      <c r="AD233" s="157"/>
      <c r="AE233" s="157"/>
      <c r="AF233" s="157"/>
      <c r="AG233" s="157"/>
      <c r="AH233" s="157"/>
      <c r="AI233" s="157"/>
      <c r="AJ233" s="157"/>
      <c r="AK233" s="157"/>
      <c r="AL233" s="157"/>
      <c r="AM233" s="157"/>
      <c r="AN233" s="157"/>
      <c r="AO233" s="108"/>
      <c r="AP233" s="108"/>
      <c r="AQ233" s="108"/>
    </row>
    <row r="234" spans="2:43" hidden="1" outlineLevel="1" x14ac:dyDescent="0.2">
      <c r="I234" s="157"/>
      <c r="J234" s="157"/>
      <c r="K234" s="157"/>
      <c r="L234" s="157"/>
      <c r="M234" s="157"/>
      <c r="N234" s="157"/>
      <c r="O234" s="157"/>
      <c r="P234" s="157"/>
      <c r="Q234" s="157"/>
      <c r="R234" s="157"/>
      <c r="S234" s="157"/>
      <c r="T234" s="161"/>
      <c r="U234" s="157"/>
      <c r="V234" s="157"/>
      <c r="W234" s="157"/>
      <c r="X234" s="157"/>
      <c r="Y234" s="157"/>
      <c r="Z234" s="157"/>
      <c r="AA234" s="157"/>
      <c r="AB234" s="157"/>
      <c r="AC234" s="157"/>
      <c r="AD234" s="157"/>
      <c r="AE234" s="157"/>
      <c r="AF234" s="157"/>
      <c r="AG234" s="157"/>
      <c r="AH234" s="157"/>
      <c r="AI234" s="157"/>
      <c r="AJ234" s="157"/>
      <c r="AK234" s="157"/>
      <c r="AL234" s="157"/>
      <c r="AM234" s="157"/>
      <c r="AN234" s="157"/>
      <c r="AO234" s="108"/>
      <c r="AP234" s="108"/>
      <c r="AQ234" s="108"/>
    </row>
    <row r="235" spans="2:43" hidden="1" outlineLevel="1" x14ac:dyDescent="0.2">
      <c r="I235" s="157"/>
      <c r="J235" s="157"/>
      <c r="K235" s="157"/>
      <c r="L235" s="157"/>
      <c r="M235" s="157"/>
      <c r="N235" s="157"/>
      <c r="O235" s="157"/>
      <c r="P235" s="157"/>
      <c r="Q235" s="157"/>
      <c r="R235" s="157"/>
      <c r="S235" s="157"/>
      <c r="T235" s="161"/>
      <c r="U235" s="157"/>
      <c r="V235" s="157"/>
      <c r="W235" s="157"/>
      <c r="X235" s="157"/>
      <c r="Y235" s="157"/>
      <c r="Z235" s="157"/>
      <c r="AA235" s="157"/>
      <c r="AB235" s="157"/>
      <c r="AC235" s="157"/>
      <c r="AD235" s="157"/>
      <c r="AE235" s="157"/>
      <c r="AF235" s="157"/>
      <c r="AG235" s="157"/>
      <c r="AH235" s="157"/>
      <c r="AI235" s="157"/>
      <c r="AJ235" s="157"/>
      <c r="AK235" s="157"/>
      <c r="AL235" s="157"/>
      <c r="AM235" s="157"/>
      <c r="AN235" s="157"/>
      <c r="AO235" s="108"/>
      <c r="AP235" s="108"/>
      <c r="AQ235" s="108"/>
    </row>
    <row r="236" spans="2:43" hidden="1" outlineLevel="1" x14ac:dyDescent="0.2">
      <c r="I236" s="157"/>
      <c r="J236" s="157"/>
      <c r="K236" s="157"/>
      <c r="L236" s="157"/>
      <c r="M236" s="157"/>
      <c r="N236" s="157"/>
      <c r="O236" s="157"/>
      <c r="P236" s="157"/>
      <c r="Q236" s="157"/>
      <c r="R236" s="157"/>
      <c r="S236" s="157"/>
      <c r="T236" s="161"/>
      <c r="U236" s="157"/>
      <c r="V236" s="157"/>
      <c r="W236" s="157"/>
      <c r="X236" s="157"/>
      <c r="Y236" s="157"/>
      <c r="Z236" s="157"/>
      <c r="AA236" s="157"/>
      <c r="AB236" s="157"/>
      <c r="AC236" s="157"/>
      <c r="AD236" s="157"/>
      <c r="AE236" s="157"/>
      <c r="AF236" s="157"/>
      <c r="AG236" s="157"/>
      <c r="AH236" s="157"/>
      <c r="AI236" s="157"/>
      <c r="AJ236" s="157"/>
      <c r="AK236" s="157"/>
      <c r="AL236" s="157"/>
      <c r="AM236" s="157"/>
      <c r="AN236" s="157"/>
      <c r="AO236" s="108"/>
      <c r="AP236" s="108"/>
      <c r="AQ236" s="108"/>
    </row>
    <row r="237" spans="2:43" outlineLevel="1" x14ac:dyDescent="0.2">
      <c r="I237" s="157"/>
      <c r="J237" s="157"/>
      <c r="K237" s="157"/>
      <c r="L237" s="157"/>
      <c r="M237" s="157"/>
      <c r="N237" s="157"/>
      <c r="O237" s="157"/>
      <c r="P237" s="157"/>
      <c r="Q237" s="157"/>
      <c r="R237" s="157"/>
      <c r="S237" s="157"/>
      <c r="T237" s="161"/>
      <c r="U237" s="157"/>
      <c r="V237" s="157"/>
      <c r="W237" s="157"/>
      <c r="X237" s="157"/>
      <c r="Y237" s="157"/>
      <c r="Z237" s="157"/>
      <c r="AA237" s="157"/>
      <c r="AB237" s="157"/>
      <c r="AC237" s="157"/>
      <c r="AD237" s="157"/>
      <c r="AE237" s="157"/>
      <c r="AF237" s="157"/>
      <c r="AG237" s="157"/>
      <c r="AH237" s="157"/>
      <c r="AI237" s="157"/>
      <c r="AJ237" s="157"/>
      <c r="AK237" s="157"/>
      <c r="AL237" s="157"/>
      <c r="AM237" s="157"/>
      <c r="AN237" s="157"/>
      <c r="AO237" s="108"/>
      <c r="AP237" s="108"/>
      <c r="AQ237" s="108"/>
    </row>
    <row r="238" spans="2:43" s="111" customFormat="1" x14ac:dyDescent="0.2">
      <c r="B238" s="20" t="s">
        <v>129</v>
      </c>
      <c r="C238" s="20"/>
      <c r="D238" s="20"/>
      <c r="G238" s="111" t="s">
        <v>130</v>
      </c>
      <c r="H238" s="324"/>
      <c r="I238" s="282">
        <f>'Company Data'!U110</f>
        <v>181</v>
      </c>
      <c r="J238" s="282">
        <f>'Company Data'!V110</f>
        <v>-482</v>
      </c>
      <c r="K238" s="282">
        <f>'Company Data'!W110</f>
        <v>2259</v>
      </c>
      <c r="L238" s="282">
        <f>'Company Data'!X110</f>
        <v>-539</v>
      </c>
      <c r="M238" s="282">
        <f>'Company Data'!Y110</f>
        <v>4432</v>
      </c>
      <c r="N238" s="282">
        <f>'Company Data'!Z110</f>
        <v>-3763</v>
      </c>
      <c r="O238" s="191">
        <f>SUM(O225:O232)-O230-O228</f>
        <v>-2965.7457907046046</v>
      </c>
      <c r="P238" s="191">
        <f>SUM(P225:P232)-P230-P228</f>
        <v>-5319.029792367036</v>
      </c>
      <c r="Q238" s="191">
        <f>SUM(Q225:Q232)-Q230-Q228</f>
        <v>-7481.2803640598931</v>
      </c>
      <c r="R238" s="191">
        <f>SUM(R225:R232)-R230-R228</f>
        <v>-9845.2348237167007</v>
      </c>
      <c r="S238" s="191">
        <f>SUM(S225:S232)-S230-S228</f>
        <v>-12293.823856444316</v>
      </c>
      <c r="T238" s="191"/>
      <c r="U238" s="282">
        <f>'Company Data'!C110</f>
        <v>-1005</v>
      </c>
      <c r="V238" s="282">
        <f>'Company Data'!D110</f>
        <v>67</v>
      </c>
      <c r="W238" s="282">
        <f>'Company Data'!E110</f>
        <v>31</v>
      </c>
      <c r="X238" s="282">
        <f>'Company Data'!F110</f>
        <v>3166</v>
      </c>
      <c r="Y238" s="282">
        <f>'Company Data'!G110</f>
        <v>-157</v>
      </c>
      <c r="Z238" s="282">
        <f>'Company Data'!H110</f>
        <v>-209</v>
      </c>
      <c r="AA238" s="282">
        <f>'Company Data'!I110</f>
        <v>-230</v>
      </c>
      <c r="AB238" s="282">
        <f>'Company Data'!J110</f>
        <v>-21</v>
      </c>
      <c r="AC238" s="282">
        <f>'Company Data'!K110</f>
        <v>-175</v>
      </c>
      <c r="AD238" s="282">
        <f>'Company Data'!L110</f>
        <v>-256</v>
      </c>
      <c r="AE238" s="282">
        <f>'Company Data'!M110</f>
        <v>-413</v>
      </c>
      <c r="AF238" s="282">
        <f>'Company Data'!N110</f>
        <v>5209</v>
      </c>
      <c r="AG238" s="282">
        <f>'Company Data'!O110</f>
        <v>-652</v>
      </c>
      <c r="AH238" s="282">
        <f>'Company Data'!P110</f>
        <v>-692</v>
      </c>
      <c r="AI238" s="282">
        <f>'Company Data'!Q110</f>
        <v>-729</v>
      </c>
      <c r="AJ238" s="282">
        <f>'Company Data'!R110</f>
        <v>-1690</v>
      </c>
      <c r="AK238" s="282">
        <f>'Company Data'!S110</f>
        <v>-789</v>
      </c>
      <c r="AL238" s="191">
        <f t="shared" ref="AL238:AN238" si="898">SUM(AL225:AL232)-AL230-AL228</f>
        <v>-893.11353532432474</v>
      </c>
      <c r="AM238" s="191">
        <f t="shared" si="898"/>
        <v>-924.75070474485528</v>
      </c>
      <c r="AN238" s="191">
        <f t="shared" si="898"/>
        <v>-358.88155063542467</v>
      </c>
      <c r="AO238" s="115"/>
      <c r="AP238" s="133"/>
      <c r="AQ238" s="133"/>
    </row>
    <row r="239" spans="2:43" x14ac:dyDescent="0.2">
      <c r="C239" s="111" t="str">
        <f>'Company Data'!B113</f>
        <v xml:space="preserve">  Foreign Exchange Rate Effect on Cash and Cash Equivalents</v>
      </c>
      <c r="G239" s="111"/>
      <c r="H239" s="111"/>
      <c r="I239" s="337">
        <f>'Company Data'!U113</f>
        <v>17</v>
      </c>
      <c r="J239" s="337">
        <f>'Company Data'!V113</f>
        <v>1</v>
      </c>
      <c r="K239" s="337">
        <f>'Company Data'!W113</f>
        <v>-29</v>
      </c>
      <c r="L239" s="337">
        <f>'Company Data'!X113</f>
        <v>-86</v>
      </c>
      <c r="M239" s="337">
        <f>'Company Data'!Y113</f>
        <v>-310</v>
      </c>
      <c r="N239" s="337">
        <f>'Company Data'!Z113</f>
        <v>-374</v>
      </c>
      <c r="O239" s="228">
        <f t="shared" ref="O239" si="899">SUM(AK239:AN239)</f>
        <v>222</v>
      </c>
      <c r="P239" s="337">
        <v>0</v>
      </c>
      <c r="Q239" s="337">
        <v>0</v>
      </c>
      <c r="R239" s="337">
        <v>0</v>
      </c>
      <c r="S239" s="337">
        <v>0</v>
      </c>
      <c r="T239" s="161"/>
      <c r="U239" s="280">
        <f>'Company Data'!C113</f>
        <v>12</v>
      </c>
      <c r="V239" s="280">
        <f>'Company Data'!D113</f>
        <v>-20</v>
      </c>
      <c r="W239" s="280">
        <f>'Company Data'!E113</f>
        <v>40</v>
      </c>
      <c r="X239" s="280">
        <f>'Company Data'!F113</f>
        <v>-61</v>
      </c>
      <c r="Y239" s="280">
        <f>'Company Data'!G113</f>
        <v>-124</v>
      </c>
      <c r="Z239" s="280">
        <f>'Company Data'!H113</f>
        <v>-29</v>
      </c>
      <c r="AA239" s="280">
        <f>'Company Data'!I113</f>
        <v>72</v>
      </c>
      <c r="AB239" s="280">
        <f>'Company Data'!J113</f>
        <v>-5</v>
      </c>
      <c r="AC239" s="280">
        <f>'Company Data'!K113</f>
        <v>17</v>
      </c>
      <c r="AD239" s="280">
        <f>'Company Data'!L113</f>
        <v>40</v>
      </c>
      <c r="AE239" s="280">
        <f>'Company Data'!M113</f>
        <v>-207</v>
      </c>
      <c r="AF239" s="280">
        <f>'Company Data'!N113</f>
        <v>-160</v>
      </c>
      <c r="AG239" s="280">
        <f>'Company Data'!O113</f>
        <v>-322</v>
      </c>
      <c r="AH239" s="280">
        <f>'Company Data'!P113</f>
        <v>103</v>
      </c>
      <c r="AI239" s="280">
        <f>'Company Data'!Q113</f>
        <v>-64</v>
      </c>
      <c r="AJ239" s="280">
        <f>'Company Data'!R113</f>
        <v>-91</v>
      </c>
      <c r="AK239" s="280">
        <f>'Company Data'!S113</f>
        <v>222</v>
      </c>
      <c r="AL239" s="337">
        <v>0</v>
      </c>
      <c r="AM239" s="337">
        <v>0</v>
      </c>
      <c r="AN239" s="337">
        <v>0</v>
      </c>
      <c r="AO239" s="84"/>
      <c r="AP239" s="84"/>
      <c r="AQ239" s="84"/>
    </row>
    <row r="240" spans="2:43" x14ac:dyDescent="0.2">
      <c r="E240" s="111"/>
      <c r="G240" s="111"/>
      <c r="H240" s="111"/>
      <c r="I240" s="145"/>
      <c r="J240" s="145"/>
      <c r="K240" s="145"/>
      <c r="L240" s="145"/>
      <c r="M240" s="145"/>
      <c r="N240" s="145"/>
      <c r="O240" s="145"/>
      <c r="P240" s="159"/>
      <c r="Q240" s="159"/>
      <c r="R240" s="159"/>
      <c r="S240" s="159"/>
      <c r="T240" s="161"/>
      <c r="U240" s="157"/>
      <c r="V240" s="157"/>
      <c r="W240" s="157"/>
      <c r="X240" s="157"/>
      <c r="Y240" s="157"/>
      <c r="Z240" s="157"/>
      <c r="AA240" s="157"/>
      <c r="AB240" s="157"/>
      <c r="AC240" s="157"/>
      <c r="AD240" s="157"/>
      <c r="AE240" s="157"/>
      <c r="AF240" s="157"/>
      <c r="AG240" s="157"/>
      <c r="AH240" s="157"/>
      <c r="AI240" s="157"/>
      <c r="AJ240" s="157"/>
      <c r="AK240" s="157"/>
      <c r="AL240" s="159"/>
      <c r="AM240" s="159"/>
      <c r="AN240" s="159"/>
      <c r="AO240" s="84"/>
      <c r="AP240" s="84"/>
      <c r="AQ240" s="84"/>
    </row>
    <row r="241" spans="2:44" x14ac:dyDescent="0.2">
      <c r="E241" s="111"/>
      <c r="G241" s="111"/>
      <c r="H241" s="111"/>
      <c r="I241" s="145"/>
      <c r="J241" s="145"/>
      <c r="K241" s="145"/>
      <c r="L241" s="145"/>
      <c r="M241" s="145"/>
      <c r="N241" s="145"/>
      <c r="O241" s="145"/>
      <c r="P241" s="159"/>
      <c r="Q241" s="159"/>
      <c r="R241" s="159"/>
      <c r="S241" s="159"/>
      <c r="T241" s="161"/>
      <c r="U241" s="157"/>
      <c r="V241" s="157"/>
      <c r="W241" s="157"/>
      <c r="X241" s="157"/>
      <c r="Y241" s="157"/>
      <c r="Z241" s="157"/>
      <c r="AA241" s="157"/>
      <c r="AB241" s="157"/>
      <c r="AC241" s="157"/>
      <c r="AD241" s="157"/>
      <c r="AE241" s="157"/>
      <c r="AF241" s="157"/>
      <c r="AG241" s="157"/>
      <c r="AH241" s="157"/>
      <c r="AI241" s="157"/>
      <c r="AJ241" s="157"/>
      <c r="AK241" s="157"/>
      <c r="AL241" s="159"/>
      <c r="AM241" s="159"/>
      <c r="AN241" s="159"/>
      <c r="AO241" s="84"/>
      <c r="AP241" s="84"/>
      <c r="AQ241" s="84"/>
    </row>
    <row r="242" spans="2:44" s="111" customFormat="1" x14ac:dyDescent="0.2">
      <c r="B242" s="111" t="s">
        <v>131</v>
      </c>
      <c r="I242" s="191">
        <f t="shared" ref="I242:S242" si="900">I207+I222+I238+I239</f>
        <v>333</v>
      </c>
      <c r="J242" s="191">
        <f t="shared" si="900"/>
        <v>1492.0000000000005</v>
      </c>
      <c r="K242" s="191">
        <f t="shared" si="900"/>
        <v>2815</v>
      </c>
      <c r="L242" s="191">
        <f t="shared" si="900"/>
        <v>574</v>
      </c>
      <c r="M242" s="191">
        <f t="shared" si="900"/>
        <v>5899</v>
      </c>
      <c r="N242" s="191">
        <f t="shared" si="900"/>
        <v>1333</v>
      </c>
      <c r="O242" s="191">
        <f t="shared" si="900"/>
        <v>6069.3408235047318</v>
      </c>
      <c r="P242" s="191">
        <f t="shared" si="900"/>
        <v>10414.043384091114</v>
      </c>
      <c r="Q242" s="191">
        <f t="shared" si="900"/>
        <v>13336.253537560453</v>
      </c>
      <c r="R242" s="191">
        <f t="shared" si="900"/>
        <v>16940.170472395497</v>
      </c>
      <c r="S242" s="191">
        <f t="shared" si="900"/>
        <v>21320.162248075438</v>
      </c>
      <c r="T242" s="191"/>
      <c r="U242" s="191">
        <f t="shared" ref="U242" si="901">U207+U222+U238+U239</f>
        <v>-2981</v>
      </c>
      <c r="V242" s="191">
        <f t="shared" ref="V242" si="902">V207+V222+V238+V239</f>
        <v>47</v>
      </c>
      <c r="W242" s="191">
        <f t="shared" ref="W242" si="903">W207+W222+W238+W239</f>
        <v>645.00000000000011</v>
      </c>
      <c r="X242" s="191">
        <f t="shared" ref="X242:AN242" si="904">X207+X222+X238+X239</f>
        <v>5104</v>
      </c>
      <c r="Y242" s="191">
        <f t="shared" si="904"/>
        <v>-3602.9999999999995</v>
      </c>
      <c r="Z242" s="191">
        <f t="shared" si="904"/>
        <v>-777</v>
      </c>
      <c r="AA242" s="191">
        <f t="shared" si="904"/>
        <v>167.00000000000023</v>
      </c>
      <c r="AB242" s="191">
        <f t="shared" si="904"/>
        <v>4785.9999999999991</v>
      </c>
      <c r="AC242" s="191">
        <f t="shared" si="904"/>
        <v>-3584</v>
      </c>
      <c r="AD242" s="191">
        <f t="shared" si="904"/>
        <v>-17.000000000000114</v>
      </c>
      <c r="AE242" s="191">
        <f t="shared" si="904"/>
        <v>201</v>
      </c>
      <c r="AF242" s="191">
        <f t="shared" si="904"/>
        <v>9299</v>
      </c>
      <c r="AG242" s="191">
        <f t="shared" si="904"/>
        <v>-4320</v>
      </c>
      <c r="AH242" s="191">
        <f t="shared" si="904"/>
        <v>32.000000000000227</v>
      </c>
      <c r="AI242" s="191">
        <f t="shared" si="904"/>
        <v>440</v>
      </c>
      <c r="AJ242" s="191">
        <f t="shared" si="904"/>
        <v>5181</v>
      </c>
      <c r="AK242" s="191">
        <f t="shared" ref="AK242" si="905">AK207+AK222+AK238+AK239</f>
        <v>-3420</v>
      </c>
      <c r="AL242" s="191">
        <f t="shared" si="904"/>
        <v>1066.9797672751292</v>
      </c>
      <c r="AM242" s="191">
        <f t="shared" si="904"/>
        <v>2038.5326848694485</v>
      </c>
      <c r="AN242" s="191">
        <f t="shared" si="904"/>
        <v>6383.8283713601531</v>
      </c>
      <c r="AO242" s="135"/>
      <c r="AP242" s="135"/>
      <c r="AQ242" s="135"/>
      <c r="AR242" s="176"/>
    </row>
    <row r="243" spans="2:44" x14ac:dyDescent="0.2">
      <c r="C243" s="17" t="s">
        <v>132</v>
      </c>
      <c r="I243" s="170"/>
      <c r="J243" s="170">
        <f t="shared" ref="J243:S243" si="906">I277</f>
        <v>3777</v>
      </c>
      <c r="K243" s="170">
        <f t="shared" si="906"/>
        <v>5269</v>
      </c>
      <c r="L243" s="170">
        <f t="shared" si="906"/>
        <v>8084</v>
      </c>
      <c r="M243" s="170">
        <f t="shared" si="906"/>
        <v>8658</v>
      </c>
      <c r="N243" s="170">
        <f t="shared" si="906"/>
        <v>14557</v>
      </c>
      <c r="O243" s="170">
        <f t="shared" si="906"/>
        <v>15890</v>
      </c>
      <c r="P243" s="170">
        <f t="shared" si="906"/>
        <v>21959.340823504732</v>
      </c>
      <c r="Q243" s="170">
        <f t="shared" si="906"/>
        <v>32373.384207595846</v>
      </c>
      <c r="R243" s="170">
        <f t="shared" si="906"/>
        <v>45709.637745156302</v>
      </c>
      <c r="S243" s="170">
        <f t="shared" si="906"/>
        <v>62649.808217551799</v>
      </c>
      <c r="T243" s="170"/>
      <c r="U243" s="170"/>
      <c r="V243" s="170">
        <f t="shared" ref="V243:AK243" si="907">U277</f>
        <v>2288</v>
      </c>
      <c r="W243" s="170">
        <f t="shared" si="907"/>
        <v>2335</v>
      </c>
      <c r="X243" s="170">
        <f t="shared" si="907"/>
        <v>2980</v>
      </c>
      <c r="Y243" s="170">
        <f t="shared" si="907"/>
        <v>8084</v>
      </c>
      <c r="Z243" s="170">
        <f t="shared" si="907"/>
        <v>4481</v>
      </c>
      <c r="AA243" s="170">
        <f t="shared" si="907"/>
        <v>3704</v>
      </c>
      <c r="AB243" s="170">
        <f t="shared" si="907"/>
        <v>3872</v>
      </c>
      <c r="AC243" s="170">
        <f t="shared" si="907"/>
        <v>8658</v>
      </c>
      <c r="AD243" s="170">
        <f t="shared" si="907"/>
        <v>5074</v>
      </c>
      <c r="AE243" s="170">
        <f t="shared" si="907"/>
        <v>5057</v>
      </c>
      <c r="AF243" s="170">
        <f t="shared" si="907"/>
        <v>5258</v>
      </c>
      <c r="AG243" s="170">
        <f t="shared" si="907"/>
        <v>14557</v>
      </c>
      <c r="AH243" s="170">
        <f t="shared" si="907"/>
        <v>10237</v>
      </c>
      <c r="AI243" s="170">
        <f t="shared" si="907"/>
        <v>10269</v>
      </c>
      <c r="AJ243" s="170">
        <f t="shared" si="907"/>
        <v>10709</v>
      </c>
      <c r="AK243" s="170">
        <f t="shared" si="907"/>
        <v>15890</v>
      </c>
      <c r="AL243" s="170">
        <f>AK246</f>
        <v>12470</v>
      </c>
      <c r="AM243" s="170">
        <f t="shared" ref="AM243:AN243" si="908">AL246</f>
        <v>13536.97976727513</v>
      </c>
      <c r="AN243" s="170">
        <f t="shared" si="908"/>
        <v>15575.51245214458</v>
      </c>
      <c r="AO243" s="84"/>
      <c r="AP243" s="84"/>
      <c r="AQ243" s="84"/>
    </row>
    <row r="244" spans="2:44" x14ac:dyDescent="0.2">
      <c r="C244" s="17" t="s">
        <v>133</v>
      </c>
      <c r="I244" s="157"/>
      <c r="J244" s="161">
        <f t="shared" ref="J244:S244" si="909">J243+J242</f>
        <v>5269</v>
      </c>
      <c r="K244" s="161">
        <f t="shared" si="909"/>
        <v>8084</v>
      </c>
      <c r="L244" s="161">
        <f t="shared" si="909"/>
        <v>8658</v>
      </c>
      <c r="M244" s="161">
        <f t="shared" si="909"/>
        <v>14557</v>
      </c>
      <c r="N244" s="161">
        <f t="shared" si="909"/>
        <v>15890</v>
      </c>
      <c r="O244" s="161">
        <f t="shared" si="909"/>
        <v>21959.340823504732</v>
      </c>
      <c r="P244" s="161">
        <f t="shared" si="909"/>
        <v>32373.384207595846</v>
      </c>
      <c r="Q244" s="161">
        <f t="shared" si="909"/>
        <v>45709.637745156302</v>
      </c>
      <c r="R244" s="161">
        <f t="shared" si="909"/>
        <v>62649.808217551799</v>
      </c>
      <c r="S244" s="161">
        <f t="shared" si="909"/>
        <v>83969.970465627237</v>
      </c>
      <c r="T244" s="157"/>
      <c r="U244" s="157"/>
      <c r="V244" s="161">
        <f t="shared" ref="V244" si="910">V243+V242</f>
        <v>2335</v>
      </c>
      <c r="W244" s="161">
        <f t="shared" ref="W244" si="911">W243+W242</f>
        <v>2980</v>
      </c>
      <c r="X244" s="161">
        <f t="shared" ref="X244" si="912">X243+X242</f>
        <v>8084</v>
      </c>
      <c r="Y244" s="161">
        <f t="shared" ref="Y244:AA244" si="913">Y243+Y242</f>
        <v>4481</v>
      </c>
      <c r="Z244" s="161">
        <f t="shared" si="913"/>
        <v>3704</v>
      </c>
      <c r="AA244" s="161">
        <f t="shared" si="913"/>
        <v>3871</v>
      </c>
      <c r="AB244" s="161">
        <f t="shared" ref="AB244:AJ244" si="914">AB243+AB242</f>
        <v>8658</v>
      </c>
      <c r="AC244" s="161">
        <f t="shared" si="914"/>
        <v>5074</v>
      </c>
      <c r="AD244" s="161">
        <f t="shared" si="914"/>
        <v>5057</v>
      </c>
      <c r="AE244" s="161">
        <f t="shared" si="914"/>
        <v>5258</v>
      </c>
      <c r="AF244" s="161">
        <f t="shared" si="914"/>
        <v>14557</v>
      </c>
      <c r="AG244" s="161">
        <f t="shared" si="914"/>
        <v>10237</v>
      </c>
      <c r="AH244" s="161">
        <f t="shared" si="914"/>
        <v>10269</v>
      </c>
      <c r="AI244" s="161">
        <f t="shared" si="914"/>
        <v>10709</v>
      </c>
      <c r="AJ244" s="161">
        <f t="shared" si="914"/>
        <v>15890</v>
      </c>
      <c r="AK244" s="161">
        <f t="shared" ref="AK244" si="915">AK243+AK242</f>
        <v>12470</v>
      </c>
      <c r="AL244" s="161">
        <f t="shared" ref="AL244:AN244" si="916">AL243+AL242</f>
        <v>13536.97976727513</v>
      </c>
      <c r="AM244" s="161">
        <f t="shared" si="916"/>
        <v>15575.51245214458</v>
      </c>
      <c r="AN244" s="161">
        <f t="shared" si="916"/>
        <v>21959.340823504732</v>
      </c>
      <c r="AO244" s="84"/>
      <c r="AP244" s="84"/>
      <c r="AQ244" s="84"/>
    </row>
    <row r="245" spans="2:44" x14ac:dyDescent="0.2">
      <c r="D245" s="17" t="s">
        <v>134</v>
      </c>
      <c r="I245" s="157"/>
      <c r="J245" s="157"/>
      <c r="K245" s="157"/>
      <c r="L245" s="157"/>
      <c r="M245" s="157"/>
      <c r="N245" s="157"/>
      <c r="O245" s="157"/>
      <c r="P245" s="157"/>
      <c r="Q245" s="157"/>
      <c r="R245" s="157"/>
      <c r="S245" s="157"/>
      <c r="T245" s="164"/>
      <c r="U245" s="157"/>
      <c r="V245" s="157"/>
      <c r="W245" s="157"/>
      <c r="X245" s="157"/>
      <c r="Y245" s="157"/>
      <c r="Z245" s="157"/>
      <c r="AA245" s="157"/>
      <c r="AB245" s="157"/>
      <c r="AC245" s="157"/>
      <c r="AD245" s="157"/>
      <c r="AE245" s="157"/>
      <c r="AF245" s="157"/>
      <c r="AG245" s="157"/>
      <c r="AH245" s="157"/>
      <c r="AI245" s="157"/>
      <c r="AJ245" s="157"/>
      <c r="AK245" s="157"/>
      <c r="AL245" s="157"/>
      <c r="AM245" s="157"/>
      <c r="AN245" s="157"/>
      <c r="AO245" s="122"/>
      <c r="AP245" s="122"/>
      <c r="AQ245" s="122"/>
    </row>
    <row r="246" spans="2:44" x14ac:dyDescent="0.2">
      <c r="D246" s="130" t="s">
        <v>135</v>
      </c>
      <c r="I246" s="300"/>
      <c r="J246" s="277">
        <f t="shared" ref="J246:S246" si="917">J243+J242</f>
        <v>5269</v>
      </c>
      <c r="K246" s="277">
        <f t="shared" si="917"/>
        <v>8084</v>
      </c>
      <c r="L246" s="277">
        <f t="shared" si="917"/>
        <v>8658</v>
      </c>
      <c r="M246" s="277">
        <f t="shared" si="917"/>
        <v>14557</v>
      </c>
      <c r="N246" s="277">
        <f t="shared" si="917"/>
        <v>15890</v>
      </c>
      <c r="O246" s="277">
        <f t="shared" si="917"/>
        <v>21959.340823504732</v>
      </c>
      <c r="P246" s="277">
        <f t="shared" si="917"/>
        <v>32373.384207595846</v>
      </c>
      <c r="Q246" s="277">
        <f t="shared" si="917"/>
        <v>45709.637745156302</v>
      </c>
      <c r="R246" s="277">
        <f t="shared" si="917"/>
        <v>62649.808217551799</v>
      </c>
      <c r="S246" s="277">
        <f t="shared" si="917"/>
        <v>83969.970465627237</v>
      </c>
      <c r="T246" s="301"/>
      <c r="U246" s="300"/>
      <c r="V246" s="277">
        <f t="shared" ref="V246" si="918">V243+V242</f>
        <v>2335</v>
      </c>
      <c r="W246" s="277">
        <f t="shared" ref="W246" si="919">W243+W242</f>
        <v>2980</v>
      </c>
      <c r="X246" s="277">
        <f t="shared" ref="X246" si="920">X243+X242</f>
        <v>8084</v>
      </c>
      <c r="Y246" s="277">
        <f t="shared" ref="Y246:AJ246" si="921">Y243+Y242</f>
        <v>4481</v>
      </c>
      <c r="Z246" s="277">
        <f t="shared" si="921"/>
        <v>3704</v>
      </c>
      <c r="AA246" s="277">
        <f t="shared" si="921"/>
        <v>3871</v>
      </c>
      <c r="AB246" s="277">
        <f t="shared" si="921"/>
        <v>8658</v>
      </c>
      <c r="AC246" s="277">
        <f t="shared" si="921"/>
        <v>5074</v>
      </c>
      <c r="AD246" s="277">
        <f t="shared" si="921"/>
        <v>5057</v>
      </c>
      <c r="AE246" s="277">
        <f t="shared" si="921"/>
        <v>5258</v>
      </c>
      <c r="AF246" s="277">
        <f t="shared" si="921"/>
        <v>14557</v>
      </c>
      <c r="AG246" s="277">
        <f t="shared" si="921"/>
        <v>10237</v>
      </c>
      <c r="AH246" s="277">
        <f t="shared" si="921"/>
        <v>10269</v>
      </c>
      <c r="AI246" s="277">
        <f t="shared" si="921"/>
        <v>10709</v>
      </c>
      <c r="AJ246" s="277">
        <f t="shared" si="921"/>
        <v>15890</v>
      </c>
      <c r="AK246" s="277">
        <f t="shared" ref="AK246" si="922">AK243+AK242</f>
        <v>12470</v>
      </c>
      <c r="AL246" s="277">
        <f t="shared" ref="AL246:AN246" si="923">AL243+AL242</f>
        <v>13536.97976727513</v>
      </c>
      <c r="AM246" s="277">
        <f t="shared" si="923"/>
        <v>15575.51245214458</v>
      </c>
      <c r="AN246" s="277">
        <f t="shared" si="923"/>
        <v>21959.340823504732</v>
      </c>
      <c r="AO246" s="123"/>
      <c r="AP246" s="123"/>
      <c r="AQ246" s="123"/>
    </row>
    <row r="247" spans="2:44" x14ac:dyDescent="0.2">
      <c r="D247" s="17" t="s">
        <v>136</v>
      </c>
      <c r="G247" s="63"/>
      <c r="H247" s="63"/>
      <c r="I247" s="170"/>
      <c r="J247" s="170">
        <f t="shared" ref="J247:S247" si="924">J277</f>
        <v>5269</v>
      </c>
      <c r="K247" s="170">
        <f t="shared" si="924"/>
        <v>8084</v>
      </c>
      <c r="L247" s="170">
        <f t="shared" si="924"/>
        <v>8658</v>
      </c>
      <c r="M247" s="170">
        <f t="shared" si="924"/>
        <v>14557</v>
      </c>
      <c r="N247" s="170">
        <f t="shared" si="924"/>
        <v>15890</v>
      </c>
      <c r="O247" s="170">
        <f t="shared" si="924"/>
        <v>21959.340823504732</v>
      </c>
      <c r="P247" s="170">
        <f t="shared" si="924"/>
        <v>32373.384207595846</v>
      </c>
      <c r="Q247" s="170">
        <f t="shared" si="924"/>
        <v>45709.637745156302</v>
      </c>
      <c r="R247" s="170">
        <f t="shared" si="924"/>
        <v>62649.808217551799</v>
      </c>
      <c r="S247" s="170">
        <f t="shared" si="924"/>
        <v>83969.970465627237</v>
      </c>
      <c r="T247" s="170"/>
      <c r="U247" s="170"/>
      <c r="V247" s="170">
        <f t="shared" ref="V247" si="925">V277</f>
        <v>2335</v>
      </c>
      <c r="W247" s="170">
        <f t="shared" ref="W247" si="926">W277</f>
        <v>2980</v>
      </c>
      <c r="X247" s="170">
        <f t="shared" ref="X247" si="927">X277</f>
        <v>8084</v>
      </c>
      <c r="Y247" s="170">
        <f t="shared" ref="Y247:AJ247" si="928">Y277</f>
        <v>4481</v>
      </c>
      <c r="Z247" s="170">
        <f t="shared" si="928"/>
        <v>3704</v>
      </c>
      <c r="AA247" s="170">
        <f t="shared" si="928"/>
        <v>3872</v>
      </c>
      <c r="AB247" s="170">
        <f t="shared" si="928"/>
        <v>8658</v>
      </c>
      <c r="AC247" s="170">
        <f t="shared" si="928"/>
        <v>5074</v>
      </c>
      <c r="AD247" s="170">
        <f t="shared" si="928"/>
        <v>5057</v>
      </c>
      <c r="AE247" s="170">
        <f t="shared" si="928"/>
        <v>5258</v>
      </c>
      <c r="AF247" s="170">
        <f t="shared" si="928"/>
        <v>14557</v>
      </c>
      <c r="AG247" s="170">
        <f t="shared" si="928"/>
        <v>10237</v>
      </c>
      <c r="AH247" s="170">
        <f t="shared" si="928"/>
        <v>10269</v>
      </c>
      <c r="AI247" s="170">
        <f t="shared" si="928"/>
        <v>10709</v>
      </c>
      <c r="AJ247" s="170">
        <f t="shared" si="928"/>
        <v>15890</v>
      </c>
      <c r="AK247" s="170">
        <f t="shared" ref="AK247" si="929">AK277</f>
        <v>12470</v>
      </c>
      <c r="AL247" s="170">
        <f t="shared" ref="AL247:AN247" si="930">AL277</f>
        <v>13536.97976727513</v>
      </c>
      <c r="AM247" s="170">
        <f t="shared" si="930"/>
        <v>15575.51245214458</v>
      </c>
      <c r="AN247" s="170">
        <f t="shared" si="930"/>
        <v>21959.340823504732</v>
      </c>
      <c r="AO247" s="124"/>
      <c r="AP247" s="124"/>
      <c r="AQ247" s="124"/>
    </row>
    <row r="248" spans="2:44" x14ac:dyDescent="0.2">
      <c r="I248" s="300"/>
      <c r="J248" s="277">
        <f t="shared" ref="J248:N248" si="931">J247-J246</f>
        <v>0</v>
      </c>
      <c r="K248" s="277">
        <f t="shared" si="931"/>
        <v>0</v>
      </c>
      <c r="L248" s="277">
        <f t="shared" si="931"/>
        <v>0</v>
      </c>
      <c r="M248" s="277">
        <f t="shared" si="931"/>
        <v>0</v>
      </c>
      <c r="N248" s="277">
        <f t="shared" si="931"/>
        <v>0</v>
      </c>
      <c r="O248" s="277">
        <f t="shared" ref="O248:P248" si="932">O247-O246</f>
        <v>0</v>
      </c>
      <c r="P248" s="277">
        <f t="shared" si="932"/>
        <v>0</v>
      </c>
      <c r="Q248" s="277">
        <f t="shared" ref="Q248:S248" si="933">Q247-Q246</f>
        <v>0</v>
      </c>
      <c r="R248" s="277">
        <f t="shared" si="933"/>
        <v>0</v>
      </c>
      <c r="S248" s="277">
        <f t="shared" si="933"/>
        <v>0</v>
      </c>
      <c r="T248" s="301"/>
      <c r="U248" s="300"/>
      <c r="V248" s="277">
        <f t="shared" ref="V248" si="934">V247-V246</f>
        <v>0</v>
      </c>
      <c r="W248" s="277">
        <f t="shared" ref="W248" si="935">W247-W246</f>
        <v>0</v>
      </c>
      <c r="X248" s="277">
        <f t="shared" ref="X248" si="936">X247-X246</f>
        <v>0</v>
      </c>
      <c r="Y248" s="277">
        <f t="shared" ref="Y248:Z248" si="937">Y247-Y246</f>
        <v>0</v>
      </c>
      <c r="Z248" s="277">
        <f t="shared" si="937"/>
        <v>0</v>
      </c>
      <c r="AA248" s="277">
        <f t="shared" ref="AA248" si="938">AA247-AA246</f>
        <v>1</v>
      </c>
      <c r="AB248" s="277">
        <f t="shared" ref="AB248" si="939">AB247-AB246</f>
        <v>0</v>
      </c>
      <c r="AC248" s="277">
        <f t="shared" ref="AC248:AJ248" si="940">AC247-AC246</f>
        <v>0</v>
      </c>
      <c r="AD248" s="277">
        <f t="shared" si="940"/>
        <v>0</v>
      </c>
      <c r="AE248" s="277">
        <f t="shared" si="940"/>
        <v>0</v>
      </c>
      <c r="AF248" s="277">
        <f t="shared" si="940"/>
        <v>0</v>
      </c>
      <c r="AG248" s="277">
        <f t="shared" si="940"/>
        <v>0</v>
      </c>
      <c r="AH248" s="277">
        <f t="shared" si="940"/>
        <v>0</v>
      </c>
      <c r="AI248" s="277">
        <f t="shared" si="940"/>
        <v>0</v>
      </c>
      <c r="AJ248" s="277">
        <f t="shared" si="940"/>
        <v>0</v>
      </c>
      <c r="AK248" s="277">
        <f t="shared" ref="AK248" si="941">AK247-AK246</f>
        <v>0</v>
      </c>
      <c r="AL248" s="277">
        <f t="shared" ref="AL248:AN248" si="942">AL247-AL246</f>
        <v>0</v>
      </c>
      <c r="AM248" s="277">
        <f t="shared" si="942"/>
        <v>0</v>
      </c>
      <c r="AN248" s="277">
        <f t="shared" si="942"/>
        <v>0</v>
      </c>
      <c r="AO248" s="125"/>
      <c r="AP248" s="125"/>
      <c r="AQ248" s="125"/>
    </row>
    <row r="249" spans="2:44" x14ac:dyDescent="0.2">
      <c r="I249" s="165"/>
      <c r="J249" s="166"/>
      <c r="K249" s="166"/>
      <c r="L249" s="166"/>
      <c r="M249" s="166"/>
      <c r="N249" s="166"/>
      <c r="O249" s="166"/>
      <c r="P249" s="166"/>
      <c r="Q249" s="166"/>
      <c r="R249" s="166"/>
      <c r="S249" s="166"/>
      <c r="T249" s="167"/>
      <c r="U249" s="165"/>
      <c r="V249" s="165"/>
      <c r="W249" s="165"/>
      <c r="X249" s="165"/>
      <c r="Y249" s="166"/>
      <c r="Z249" s="166"/>
      <c r="AA249" s="166"/>
      <c r="AB249" s="166"/>
      <c r="AC249" s="166"/>
      <c r="AD249" s="166"/>
      <c r="AE249" s="166"/>
      <c r="AF249" s="166"/>
      <c r="AG249" s="166"/>
      <c r="AH249" s="166"/>
      <c r="AI249" s="166"/>
      <c r="AJ249" s="166"/>
      <c r="AK249" s="166"/>
      <c r="AL249" s="166"/>
      <c r="AM249" s="166"/>
      <c r="AN249" s="166"/>
      <c r="AO249" s="125"/>
      <c r="AP249" s="125"/>
      <c r="AQ249" s="125"/>
    </row>
    <row r="250" spans="2:44" x14ac:dyDescent="0.2">
      <c r="I250" s="165"/>
      <c r="J250" s="166"/>
      <c r="K250" s="166"/>
      <c r="L250" s="166"/>
      <c r="M250" s="166"/>
      <c r="N250" s="166"/>
      <c r="O250" s="166"/>
      <c r="P250" s="166"/>
      <c r="Q250" s="166"/>
      <c r="R250" s="166"/>
      <c r="S250" s="166"/>
      <c r="T250" s="167"/>
      <c r="U250" s="165"/>
      <c r="V250" s="165"/>
      <c r="W250" s="165"/>
      <c r="X250" s="165"/>
      <c r="Y250" s="166"/>
      <c r="Z250" s="166"/>
      <c r="AA250" s="166"/>
      <c r="AB250" s="166"/>
      <c r="AC250" s="166"/>
      <c r="AD250" s="166"/>
      <c r="AE250" s="166"/>
      <c r="AF250" s="166"/>
      <c r="AG250" s="166"/>
      <c r="AH250" s="166"/>
      <c r="AI250" s="166"/>
      <c r="AJ250" s="166"/>
      <c r="AK250" s="166"/>
      <c r="AL250" s="166"/>
      <c r="AM250" s="166"/>
      <c r="AN250" s="166"/>
      <c r="AO250" s="125"/>
      <c r="AP250" s="125"/>
      <c r="AQ250" s="125"/>
    </row>
    <row r="251" spans="2:44" x14ac:dyDescent="0.2">
      <c r="I251" s="165"/>
      <c r="J251" s="166"/>
      <c r="K251" s="166"/>
      <c r="L251" s="166"/>
      <c r="M251" s="166"/>
      <c r="N251" s="166"/>
      <c r="O251" s="166"/>
      <c r="P251" s="166"/>
      <c r="Q251" s="166"/>
      <c r="R251" s="166"/>
      <c r="S251" s="166"/>
      <c r="T251" s="167"/>
      <c r="U251" s="165"/>
      <c r="V251" s="165"/>
      <c r="W251" s="165"/>
      <c r="X251" s="165"/>
      <c r="Y251" s="166"/>
      <c r="Z251" s="166"/>
      <c r="AA251" s="166"/>
      <c r="AB251" s="166"/>
      <c r="AC251" s="166"/>
      <c r="AD251" s="166"/>
      <c r="AE251" s="166"/>
      <c r="AF251" s="166"/>
      <c r="AG251" s="166"/>
      <c r="AH251" s="166"/>
      <c r="AI251" s="166"/>
      <c r="AJ251" s="166"/>
      <c r="AK251" s="166"/>
      <c r="AL251" s="166"/>
      <c r="AM251" s="166"/>
      <c r="AN251" s="166"/>
      <c r="AO251" s="125"/>
      <c r="AP251" s="125"/>
      <c r="AQ251" s="125"/>
    </row>
    <row r="252" spans="2:44" x14ac:dyDescent="0.2">
      <c r="B252" s="130" t="s">
        <v>137</v>
      </c>
      <c r="C252" s="130"/>
      <c r="D252" s="130"/>
      <c r="I252" s="191">
        <f t="shared" ref="I252:S252" si="943">I207+I214+I227+I229</f>
        <v>2295</v>
      </c>
      <c r="J252" s="191">
        <f t="shared" si="943"/>
        <v>1648.0000000000005</v>
      </c>
      <c r="K252" s="191">
        <f t="shared" si="943"/>
        <v>-111</v>
      </c>
      <c r="L252" s="191">
        <f t="shared" si="943"/>
        <v>1251</v>
      </c>
      <c r="M252" s="191">
        <f t="shared" si="943"/>
        <v>529</v>
      </c>
      <c r="N252" s="191">
        <f t="shared" si="943"/>
        <v>4748</v>
      </c>
      <c r="O252" s="191">
        <f>O207+O214+O227+O229</f>
        <v>4247.5900624851984</v>
      </c>
      <c r="P252" s="191">
        <f t="shared" si="943"/>
        <v>9531.5412216827426</v>
      </c>
      <c r="Q252" s="191">
        <f t="shared" si="943"/>
        <v>12498.672588836513</v>
      </c>
      <c r="R252" s="191">
        <f t="shared" si="943"/>
        <v>16204.824495435972</v>
      </c>
      <c r="S252" s="191">
        <f t="shared" si="943"/>
        <v>20724.450292361369</v>
      </c>
      <c r="T252" s="192"/>
      <c r="U252" s="191" t="str">
        <f>IFERROR(U207+U214+U227+U229,"NA")</f>
        <v>NA</v>
      </c>
      <c r="V252" s="191" t="str">
        <f t="shared" ref="V252:W252" si="944">IFERROR(V207+V214+V227+V229,"NA")</f>
        <v>NA</v>
      </c>
      <c r="W252" s="191" t="str">
        <f t="shared" si="944"/>
        <v>NA</v>
      </c>
      <c r="X252" s="191">
        <f t="shared" ref="X252:AN252" si="945">X207+X214+X227+X229</f>
        <v>2900</v>
      </c>
      <c r="Y252" s="191">
        <f t="shared" si="945"/>
        <v>-3223.9999999999995</v>
      </c>
      <c r="Z252" s="191">
        <f t="shared" si="945"/>
        <v>-267</v>
      </c>
      <c r="AA252" s="191">
        <f t="shared" si="945"/>
        <v>94.000000000000227</v>
      </c>
      <c r="AB252" s="191">
        <f t="shared" si="945"/>
        <v>4729.9999999999991</v>
      </c>
      <c r="AC252" s="191">
        <f t="shared" si="945"/>
        <v>-3873</v>
      </c>
      <c r="AD252" s="191">
        <f t="shared" si="945"/>
        <v>-725.00000000000011</v>
      </c>
      <c r="AE252" s="191">
        <f t="shared" si="945"/>
        <v>32</v>
      </c>
      <c r="AF252" s="191">
        <f t="shared" si="945"/>
        <v>5096</v>
      </c>
      <c r="AG252" s="191">
        <f t="shared" si="945"/>
        <v>-2911</v>
      </c>
      <c r="AH252" s="191">
        <f t="shared" si="945"/>
        <v>169.00000000000023</v>
      </c>
      <c r="AI252" s="191">
        <f t="shared" si="945"/>
        <v>737</v>
      </c>
      <c r="AJ252" s="191">
        <f t="shared" si="945"/>
        <v>6753</v>
      </c>
      <c r="AK252" s="191">
        <f t="shared" si="945"/>
        <v>-4169</v>
      </c>
      <c r="AL252" s="191">
        <f t="shared" si="945"/>
        <v>943.22261294428165</v>
      </c>
      <c r="AM252" s="191">
        <f t="shared" si="945"/>
        <v>1884.7523551315453</v>
      </c>
      <c r="AN252" s="191">
        <f t="shared" si="945"/>
        <v>5588.6150944093706</v>
      </c>
      <c r="AO252" s="119"/>
      <c r="AP252" s="119"/>
      <c r="AQ252" s="119"/>
    </row>
    <row r="253" spans="2:44" x14ac:dyDescent="0.2">
      <c r="E253" s="138" t="s">
        <v>78</v>
      </c>
      <c r="G253" s="174"/>
      <c r="H253" s="174"/>
      <c r="I253" s="321" t="s">
        <v>79</v>
      </c>
      <c r="J253" s="274">
        <f t="shared" ref="J253" si="946">IFERROR(J252/I252-1,"NA")</f>
        <v>-0.28191721132897585</v>
      </c>
      <c r="K253" s="274">
        <f t="shared" ref="K253" si="947">IFERROR(K252/J252-1,"NA")</f>
        <v>-1.0673543689320388</v>
      </c>
      <c r="L253" s="274">
        <f t="shared" ref="L253" si="948">IFERROR(L252/K252-1,"NA")</f>
        <v>-12.27027027027027</v>
      </c>
      <c r="M253" s="274">
        <f t="shared" ref="M253" si="949">IFERROR(M252/L252-1,"NA")</f>
        <v>-0.5771382893685052</v>
      </c>
      <c r="N253" s="274">
        <f t="shared" ref="N253" si="950">IFERROR(N252/M252-1,"NA")</f>
        <v>7.975425330812854</v>
      </c>
      <c r="O253" s="274">
        <f t="shared" ref="O253" si="951">IFERROR(O252/N252-1,"NA")</f>
        <v>-0.10539383688180326</v>
      </c>
      <c r="P253" s="274">
        <f t="shared" ref="P253" si="952">IFERROR(P252/O252-1,"NA")</f>
        <v>1.2439880217880508</v>
      </c>
      <c r="Q253" s="274">
        <f t="shared" ref="Q253" si="953">IFERROR(Q252/P252-1,"NA")</f>
        <v>0.31129607459536746</v>
      </c>
      <c r="R253" s="274">
        <f t="shared" ref="R253" si="954">IFERROR(R252/Q252-1,"NA")</f>
        <v>0.2965236412312855</v>
      </c>
      <c r="S253" s="274">
        <f t="shared" ref="S253" si="955">IFERROR(S252/R252-1,"NA")</f>
        <v>0.27890618612983631</v>
      </c>
      <c r="T253" s="263"/>
      <c r="U253" s="325" t="s">
        <v>102</v>
      </c>
      <c r="V253" s="325" t="s">
        <v>102</v>
      </c>
      <c r="W253" s="325" t="s">
        <v>102</v>
      </c>
      <c r="X253" s="263" t="str">
        <f t="shared" ref="X253:AB253" si="956">IFERROR(X252/T252-1,"NA ")</f>
        <v xml:space="preserve">NA </v>
      </c>
      <c r="Y253" s="263" t="str">
        <f t="shared" si="956"/>
        <v xml:space="preserve">NA </v>
      </c>
      <c r="Z253" s="263" t="str">
        <f t="shared" si="956"/>
        <v xml:space="preserve">NA </v>
      </c>
      <c r="AA253" s="263" t="str">
        <f t="shared" si="956"/>
        <v xml:space="preserve">NA </v>
      </c>
      <c r="AB253" s="263">
        <f t="shared" si="956"/>
        <v>0.63103448275862029</v>
      </c>
      <c r="AC253" s="263">
        <f t="shared" ref="AC253" si="957">IFERROR(AC252/Y252-1,"NA ")</f>
        <v>0.20130272952853612</v>
      </c>
      <c r="AD253" s="263">
        <f t="shared" ref="AD253" si="958">IFERROR(AD252/Z252-1,"NA ")</f>
        <v>1.7153558052434463</v>
      </c>
      <c r="AE253" s="263">
        <f t="shared" ref="AE253" si="959">IFERROR(AE252/AA252-1,"NA ")</f>
        <v>-0.65957446808510722</v>
      </c>
      <c r="AF253" s="263">
        <f t="shared" ref="AF253" si="960">IFERROR(AF252/AB252-1,"NA ")</f>
        <v>7.7378435517970523E-2</v>
      </c>
      <c r="AG253" s="263">
        <f t="shared" ref="AG253" si="961">IFERROR(AG252/AC252-1,"NA ")</f>
        <v>-0.24838626387813068</v>
      </c>
      <c r="AH253" s="263">
        <f t="shared" ref="AH253" si="962">IFERROR(AH252/AD252-1,"NA ")</f>
        <v>-1.2331034482758623</v>
      </c>
      <c r="AI253" s="263">
        <f t="shared" ref="AI253" si="963">IFERROR(AI252/AE252-1,"NA ")</f>
        <v>22.03125</v>
      </c>
      <c r="AJ253" s="263">
        <f t="shared" ref="AJ253" si="964">IFERROR(AJ252/AF252-1,"NA ")</f>
        <v>0.32515698587127151</v>
      </c>
      <c r="AK253" s="263">
        <f t="shared" ref="AK253" si="965">IFERROR(AK252/AG252-1,"NA ")</f>
        <v>0.43215389900377876</v>
      </c>
      <c r="AL253" s="263">
        <f t="shared" ref="AL253" si="966">IFERROR(AL252/AH252-1,"NA ")</f>
        <v>4.5811988931614227</v>
      </c>
      <c r="AM253" s="263">
        <f t="shared" ref="AM253" si="967">IFERROR(AM252/AI252-1,"NA ")</f>
        <v>1.5573301969220426</v>
      </c>
      <c r="AN253" s="263">
        <f t="shared" ref="AN253" si="968">IFERROR(AN252/AJ252-1,"NA ")</f>
        <v>-0.1724248342352479</v>
      </c>
      <c r="AO253" s="117"/>
      <c r="AP253" s="117"/>
      <c r="AQ253" s="117"/>
    </row>
    <row r="254" spans="2:44" x14ac:dyDescent="0.2">
      <c r="E254" s="138" t="s">
        <v>80</v>
      </c>
      <c r="G254" s="174"/>
      <c r="H254" s="174"/>
      <c r="I254" s="315" t="s">
        <v>79</v>
      </c>
      <c r="J254" s="328">
        <f>IFERROR(J252-I252,"NA ")</f>
        <v>-646.99999999999955</v>
      </c>
      <c r="K254" s="328">
        <f t="shared" ref="K254:S254" si="969">IFERROR(K252-J252,"NA ")</f>
        <v>-1759.0000000000005</v>
      </c>
      <c r="L254" s="328">
        <f t="shared" si="969"/>
        <v>1362</v>
      </c>
      <c r="M254" s="328">
        <f t="shared" si="969"/>
        <v>-722</v>
      </c>
      <c r="N254" s="328">
        <f t="shared" si="969"/>
        <v>4219</v>
      </c>
      <c r="O254" s="328">
        <f t="shared" si="969"/>
        <v>-500.40993751480164</v>
      </c>
      <c r="P254" s="328">
        <f t="shared" si="969"/>
        <v>5283.9511591975443</v>
      </c>
      <c r="Q254" s="328">
        <f t="shared" si="969"/>
        <v>2967.13136715377</v>
      </c>
      <c r="R254" s="328">
        <f t="shared" si="969"/>
        <v>3706.1519065994598</v>
      </c>
      <c r="S254" s="328">
        <f t="shared" si="969"/>
        <v>4519.6257969253966</v>
      </c>
      <c r="T254" s="327"/>
      <c r="U254" s="325" t="s">
        <v>102</v>
      </c>
      <c r="V254" s="325" t="s">
        <v>102</v>
      </c>
      <c r="W254" s="325" t="s">
        <v>102</v>
      </c>
      <c r="X254" s="326">
        <f t="shared" ref="X254:AB254" si="970">IFERROR(X252-T252,"NA ")</f>
        <v>2900</v>
      </c>
      <c r="Y254" s="326" t="str">
        <f t="shared" si="970"/>
        <v xml:space="preserve">NA </v>
      </c>
      <c r="Z254" s="326" t="str">
        <f t="shared" si="970"/>
        <v xml:space="preserve">NA </v>
      </c>
      <c r="AA254" s="326" t="str">
        <f t="shared" si="970"/>
        <v xml:space="preserve">NA </v>
      </c>
      <c r="AB254" s="326">
        <f t="shared" si="970"/>
        <v>1829.9999999999991</v>
      </c>
      <c r="AC254" s="326">
        <f t="shared" ref="AC254" si="971">IFERROR(AC252-Y252,"NA ")</f>
        <v>-649.00000000000045</v>
      </c>
      <c r="AD254" s="326">
        <f t="shared" ref="AD254" si="972">IFERROR(AD252-Z252,"NA ")</f>
        <v>-458.00000000000011</v>
      </c>
      <c r="AE254" s="326">
        <f t="shared" ref="AE254" si="973">IFERROR(AE252-AA252,"NA ")</f>
        <v>-62.000000000000227</v>
      </c>
      <c r="AF254" s="326">
        <f t="shared" ref="AF254" si="974">IFERROR(AF252-AB252,"NA ")</f>
        <v>366.00000000000091</v>
      </c>
      <c r="AG254" s="326">
        <f t="shared" ref="AG254" si="975">IFERROR(AG252-AC252,"NA ")</f>
        <v>962</v>
      </c>
      <c r="AH254" s="326">
        <f t="shared" ref="AH254" si="976">IFERROR(AH252-AD252,"NA ")</f>
        <v>894.00000000000034</v>
      </c>
      <c r="AI254" s="326">
        <f t="shared" ref="AI254" si="977">IFERROR(AI252-AE252,"NA ")</f>
        <v>705</v>
      </c>
      <c r="AJ254" s="326">
        <f t="shared" ref="AJ254" si="978">IFERROR(AJ252-AF252,"NA ")</f>
        <v>1657</v>
      </c>
      <c r="AK254" s="326">
        <f t="shared" ref="AK254" si="979">IFERROR(AK252-AG252,"NA ")</f>
        <v>-1258</v>
      </c>
      <c r="AL254" s="326">
        <f t="shared" ref="AL254" si="980">IFERROR(AL252-AH252,"NA ")</f>
        <v>774.22261294428142</v>
      </c>
      <c r="AM254" s="326">
        <f t="shared" ref="AM254" si="981">IFERROR(AM252-AI252,"NA ")</f>
        <v>1147.7523551315453</v>
      </c>
      <c r="AN254" s="326">
        <f t="shared" ref="AN254" si="982">IFERROR(AN252-AJ252,"NA ")</f>
        <v>-1164.3849055906294</v>
      </c>
      <c r="AO254" s="117"/>
      <c r="AP254" s="117"/>
      <c r="AQ254" s="117"/>
    </row>
    <row r="255" spans="2:44" x14ac:dyDescent="0.2">
      <c r="E255" s="138" t="s">
        <v>91</v>
      </c>
      <c r="F255" s="177"/>
      <c r="G255" s="177"/>
      <c r="H255" s="177"/>
      <c r="I255" s="263">
        <f t="shared" ref="I255:S255" si="983">IFERROR(I252/I$79,"NA ")</f>
        <v>6.7097415506958247E-2</v>
      </c>
      <c r="J255" s="274">
        <f t="shared" si="983"/>
        <v>3.4278345154647762E-2</v>
      </c>
      <c r="K255" s="274">
        <f t="shared" si="983"/>
        <v>-1.816902100076932E-3</v>
      </c>
      <c r="L255" s="274">
        <f t="shared" si="983"/>
        <v>1.6802772255950144E-2</v>
      </c>
      <c r="M255" s="274">
        <f t="shared" si="983"/>
        <v>5.9446217467523715E-3</v>
      </c>
      <c r="N255" s="274">
        <f t="shared" si="983"/>
        <v>4.4371343662972171E-2</v>
      </c>
      <c r="O255" s="274">
        <f t="shared" si="983"/>
        <v>3.1398686180520365E-2</v>
      </c>
      <c r="P255" s="274">
        <f t="shared" si="983"/>
        <v>5.6452767708028186E-2</v>
      </c>
      <c r="Q255" s="274">
        <f t="shared" si="983"/>
        <v>6.0261099016455308E-2</v>
      </c>
      <c r="R255" s="274">
        <f t="shared" si="983"/>
        <v>6.4693916650567299E-2</v>
      </c>
      <c r="S255" s="274">
        <f t="shared" si="983"/>
        <v>6.9645490039146218E-2</v>
      </c>
      <c r="T255" s="292"/>
      <c r="U255" s="325" t="s">
        <v>102</v>
      </c>
      <c r="V255" s="325" t="s">
        <v>102</v>
      </c>
      <c r="W255" s="325" t="s">
        <v>102</v>
      </c>
      <c r="X255" s="263">
        <f t="shared" ref="X255" si="984">IFERROR(X252/X$79,"NA ")</f>
        <v>0.13635508745533195</v>
      </c>
      <c r="Y255" s="263">
        <f t="shared" ref="Y255:Z255" si="985">IFERROR(Y252/Y$79,"NA ")</f>
        <v>-0.20062227753578094</v>
      </c>
      <c r="Z255" s="263">
        <f t="shared" si="985"/>
        <v>-1.7002037697401936E-2</v>
      </c>
      <c r="AA255" s="263">
        <f t="shared" ref="AA255" si="986">IFERROR(AA252/AA$79,"NA ")</f>
        <v>5.499648958577125E-3</v>
      </c>
      <c r="AB255" s="263">
        <f t="shared" ref="AB255" si="987">IFERROR(AB252/AB$79,"NA ")</f>
        <v>0.18485949896431778</v>
      </c>
      <c r="AC255" s="263">
        <f t="shared" ref="AC255:AN255" si="988">IFERROR(AC252/AC$79,"NA ")</f>
        <v>-0.19619066916569575</v>
      </c>
      <c r="AD255" s="263">
        <f t="shared" si="988"/>
        <v>-3.7487073422957609E-2</v>
      </c>
      <c r="AE255" s="263">
        <f t="shared" si="988"/>
        <v>1.554983235336994E-3</v>
      </c>
      <c r="AF255" s="263">
        <f t="shared" si="988"/>
        <v>0.17375886524822695</v>
      </c>
      <c r="AG255" s="263">
        <f t="shared" si="988"/>
        <v>-0.12814192014790685</v>
      </c>
      <c r="AH255" s="263">
        <f t="shared" si="988"/>
        <v>7.2891956006038488E-3</v>
      </c>
      <c r="AI255" s="263">
        <f t="shared" si="988"/>
        <v>2.9063806293871758E-2</v>
      </c>
      <c r="AJ255" s="263">
        <f t="shared" si="988"/>
        <v>0.18891095756287241</v>
      </c>
      <c r="AK255" s="263">
        <f t="shared" si="988"/>
        <v>-0.14312688821752265</v>
      </c>
      <c r="AL255" s="263">
        <f t="shared" si="988"/>
        <v>3.1802901333234102E-2</v>
      </c>
      <c r="AM255" s="263">
        <f t="shared" si="988"/>
        <v>5.8609546645903642E-2</v>
      </c>
      <c r="AN255" s="263">
        <f t="shared" si="988"/>
        <v>0.12605403202489565</v>
      </c>
      <c r="AO255" s="108"/>
      <c r="AP255" s="108"/>
      <c r="AQ255" s="108"/>
    </row>
    <row r="256" spans="2:44" x14ac:dyDescent="0.2">
      <c r="E256" s="138" t="s">
        <v>96</v>
      </c>
      <c r="F256" s="177"/>
      <c r="G256" s="177"/>
      <c r="H256" s="177"/>
      <c r="I256" s="321" t="s">
        <v>79</v>
      </c>
      <c r="J256" s="273">
        <f t="shared" ref="J256:S256" si="989">IFERROR((J252-I252)/(J$79-I$79),"NA ")</f>
        <v>-4.6637353131982959E-2</v>
      </c>
      <c r="K256" s="273">
        <f t="shared" si="989"/>
        <v>-0.13514136447449296</v>
      </c>
      <c r="L256" s="273">
        <f t="shared" si="989"/>
        <v>0.10195373905232427</v>
      </c>
      <c r="M256" s="273">
        <f t="shared" si="989"/>
        <v>-4.9669785360484317E-2</v>
      </c>
      <c r="N256" s="273">
        <f t="shared" si="989"/>
        <v>0.23415473415473415</v>
      </c>
      <c r="O256" s="273">
        <f t="shared" si="989"/>
        <v>-1.7699072682878465E-2</v>
      </c>
      <c r="P256" s="273">
        <f t="shared" si="989"/>
        <v>0.15743962563100078</v>
      </c>
      <c r="Q256" s="273">
        <f t="shared" si="989"/>
        <v>7.6933165927697042E-2</v>
      </c>
      <c r="R256" s="273">
        <f t="shared" si="989"/>
        <v>8.6037757555352909E-2</v>
      </c>
      <c r="S256" s="273">
        <f t="shared" si="989"/>
        <v>9.5986446674233131E-2</v>
      </c>
      <c r="T256" s="292"/>
      <c r="U256" s="325" t="s">
        <v>102</v>
      </c>
      <c r="V256" s="325" t="s">
        <v>102</v>
      </c>
      <c r="W256" s="325" t="s">
        <v>102</v>
      </c>
      <c r="X256" s="273" t="s">
        <v>79</v>
      </c>
      <c r="Y256" s="273" t="str">
        <f>IFERROR((Y252-U252)/(Y$79-U$79),"NA ")</f>
        <v xml:space="preserve">NA </v>
      </c>
      <c r="Z256" s="273" t="str">
        <f>IFERROR((Z252-V252)/(Z$79-V$79),"NA ")</f>
        <v xml:space="preserve">NA </v>
      </c>
      <c r="AA256" s="273" t="str">
        <f>IFERROR((AA252-W252)/(AA$79-W$79),"NA ")</f>
        <v xml:space="preserve">NA </v>
      </c>
      <c r="AB256" s="273">
        <f>IFERROR((AB252-X252)/(AB$79-X$79),"NA ")</f>
        <v>0.42370919194257911</v>
      </c>
      <c r="AC256" s="273">
        <f t="shared" ref="AC256:AN256" si="990">IFERROR((AC252-Y252)/(AC$79-Y$79),"NA ")</f>
        <v>-0.17679106510487619</v>
      </c>
      <c r="AD256" s="273">
        <f t="shared" si="990"/>
        <v>-0.125962596259626</v>
      </c>
      <c r="AE256" s="273">
        <f t="shared" si="990"/>
        <v>-1.7780326928591977E-2</v>
      </c>
      <c r="AF256" s="273">
        <f t="shared" si="990"/>
        <v>9.7834803528468572E-2</v>
      </c>
      <c r="AG256" s="273">
        <f t="shared" si="990"/>
        <v>0.323252688172043</v>
      </c>
      <c r="AH256" s="273">
        <f t="shared" si="990"/>
        <v>0.23250975292587786</v>
      </c>
      <c r="AI256" s="273">
        <f t="shared" si="990"/>
        <v>0.14752040175768991</v>
      </c>
      <c r="AJ256" s="273">
        <f t="shared" si="990"/>
        <v>0.25813989718024616</v>
      </c>
      <c r="AK256" s="273">
        <f t="shared" si="990"/>
        <v>-0.19622523787240681</v>
      </c>
      <c r="AL256" s="273">
        <f t="shared" si="990"/>
        <v>0.11960093671468408</v>
      </c>
      <c r="AM256" s="273">
        <f t="shared" si="990"/>
        <v>0.16879280569531047</v>
      </c>
      <c r="AN256" s="273">
        <f t="shared" si="990"/>
        <v>-0.13558157854831407</v>
      </c>
      <c r="AO256" s="108"/>
      <c r="AP256" s="108"/>
      <c r="AQ256" s="108"/>
    </row>
    <row r="257" spans="2:43" x14ac:dyDescent="0.2">
      <c r="E257" s="177"/>
      <c r="F257" s="177"/>
      <c r="G257" s="177"/>
      <c r="H257" s="177"/>
      <c r="I257" s="178"/>
      <c r="J257" s="178"/>
      <c r="K257" s="178"/>
      <c r="L257" s="178"/>
      <c r="M257" s="178"/>
      <c r="N257" s="178"/>
      <c r="O257" s="178"/>
      <c r="P257" s="178"/>
      <c r="Q257" s="178"/>
      <c r="R257" s="178"/>
      <c r="S257" s="178"/>
      <c r="T257" s="175"/>
      <c r="U257" s="178"/>
      <c r="V257" s="178"/>
      <c r="W257" s="178"/>
      <c r="X257" s="178"/>
      <c r="Y257" s="178"/>
      <c r="Z257" s="178"/>
      <c r="AA257" s="178"/>
      <c r="AB257" s="178"/>
      <c r="AC257" s="178"/>
      <c r="AD257" s="178"/>
      <c r="AE257" s="178"/>
      <c r="AF257" s="178"/>
      <c r="AG257" s="178"/>
      <c r="AH257" s="178"/>
      <c r="AI257" s="178"/>
      <c r="AJ257" s="178"/>
      <c r="AK257" s="178"/>
      <c r="AL257" s="178"/>
      <c r="AM257" s="178"/>
      <c r="AN257" s="169"/>
      <c r="AO257" s="108"/>
      <c r="AP257" s="108"/>
      <c r="AQ257" s="108"/>
    </row>
    <row r="258" spans="2:43" x14ac:dyDescent="0.2">
      <c r="E258" s="177"/>
      <c r="F258" s="177"/>
      <c r="G258" s="177"/>
      <c r="H258" s="177"/>
      <c r="I258" s="178"/>
      <c r="J258" s="178"/>
      <c r="K258" s="178"/>
      <c r="L258" s="178"/>
      <c r="M258" s="178"/>
      <c r="N258" s="178"/>
      <c r="O258" s="178"/>
      <c r="P258" s="178"/>
      <c r="Q258" s="178"/>
      <c r="R258" s="178"/>
      <c r="S258" s="178"/>
      <c r="T258" s="175"/>
      <c r="U258" s="178"/>
      <c r="V258" s="178"/>
      <c r="W258" s="178"/>
      <c r="X258" s="178"/>
      <c r="Y258" s="178"/>
      <c r="Z258" s="178"/>
      <c r="AA258" s="178"/>
      <c r="AB258" s="178"/>
      <c r="AC258" s="178"/>
      <c r="AD258" s="178"/>
      <c r="AE258" s="178"/>
      <c r="AF258" s="178"/>
      <c r="AG258" s="178"/>
      <c r="AH258" s="178"/>
      <c r="AI258" s="178"/>
      <c r="AJ258" s="178"/>
      <c r="AK258" s="178"/>
      <c r="AL258" s="178"/>
      <c r="AM258" s="178"/>
      <c r="AN258" s="178"/>
      <c r="AO258" s="108"/>
      <c r="AP258" s="108"/>
      <c r="AQ258" s="108"/>
    </row>
    <row r="259" spans="2:43" x14ac:dyDescent="0.2">
      <c r="B259" s="111" t="s">
        <v>138</v>
      </c>
      <c r="C259" s="111"/>
      <c r="D259" s="111"/>
      <c r="G259" s="168"/>
      <c r="H259" s="168"/>
      <c r="I259" s="169">
        <f t="shared" ref="I259:S259" si="991">IFERROR(-I231,"NA")</f>
        <v>0</v>
      </c>
      <c r="J259" s="169">
        <f t="shared" si="991"/>
        <v>277</v>
      </c>
      <c r="K259" s="169">
        <f t="shared" si="991"/>
        <v>960</v>
      </c>
      <c r="L259" s="169">
        <f t="shared" si="991"/>
        <v>0</v>
      </c>
      <c r="M259" s="169">
        <f t="shared" si="991"/>
        <v>0</v>
      </c>
      <c r="N259" s="169">
        <f t="shared" si="991"/>
        <v>0</v>
      </c>
      <c r="O259" s="169">
        <f t="shared" si="991"/>
        <v>300</v>
      </c>
      <c r="P259" s="169">
        <f t="shared" si="991"/>
        <v>300</v>
      </c>
      <c r="Q259" s="169">
        <f t="shared" si="991"/>
        <v>300</v>
      </c>
      <c r="R259" s="169">
        <f t="shared" si="991"/>
        <v>300</v>
      </c>
      <c r="S259" s="169">
        <f t="shared" si="991"/>
        <v>300</v>
      </c>
      <c r="T259" s="296"/>
      <c r="U259" s="169">
        <f t="shared" ref="U259:Y259" si="992">IFERROR(-U231,"NA")</f>
        <v>960</v>
      </c>
      <c r="V259" s="169">
        <f t="shared" si="992"/>
        <v>0</v>
      </c>
      <c r="W259" s="169">
        <f t="shared" si="992"/>
        <v>0</v>
      </c>
      <c r="X259" s="169">
        <f t="shared" si="992"/>
        <v>0</v>
      </c>
      <c r="Y259" s="169">
        <f t="shared" si="992"/>
        <v>0</v>
      </c>
      <c r="Z259" s="169">
        <f t="shared" ref="Z259:AJ259" si="993">Z231</f>
        <v>0</v>
      </c>
      <c r="AA259" s="169">
        <f t="shared" si="993"/>
        <v>0</v>
      </c>
      <c r="AB259" s="169">
        <f t="shared" si="993"/>
        <v>0</v>
      </c>
      <c r="AC259" s="169">
        <f t="shared" si="993"/>
        <v>0</v>
      </c>
      <c r="AD259" s="169">
        <f t="shared" si="993"/>
        <v>0</v>
      </c>
      <c r="AE259" s="169">
        <f t="shared" si="993"/>
        <v>0</v>
      </c>
      <c r="AF259" s="169">
        <f t="shared" si="993"/>
        <v>0</v>
      </c>
      <c r="AG259" s="169">
        <f t="shared" si="993"/>
        <v>0</v>
      </c>
      <c r="AH259" s="169">
        <f t="shared" si="993"/>
        <v>0</v>
      </c>
      <c r="AI259" s="169">
        <f t="shared" si="993"/>
        <v>0</v>
      </c>
      <c r="AJ259" s="169">
        <f t="shared" si="993"/>
        <v>0</v>
      </c>
      <c r="AK259" s="169">
        <f>IFERROR(-AK231,"NA")</f>
        <v>0</v>
      </c>
      <c r="AL259" s="169">
        <f>IFERROR(-AL231,"NA")</f>
        <v>100</v>
      </c>
      <c r="AM259" s="169">
        <f>IFERROR(-AM231,"NA")</f>
        <v>100</v>
      </c>
      <c r="AN259" s="169">
        <f>IFERROR(-AN231,"NA")</f>
        <v>100</v>
      </c>
      <c r="AO259" s="29"/>
      <c r="AP259" s="29"/>
      <c r="AQ259" s="29"/>
    </row>
    <row r="260" spans="2:43" x14ac:dyDescent="0.2">
      <c r="E260" s="138" t="s">
        <v>78</v>
      </c>
      <c r="G260" s="63"/>
      <c r="H260" s="63"/>
      <c r="I260" s="291" t="str">
        <f>IFERROR(I259/T259-1,"NA")</f>
        <v>NA</v>
      </c>
      <c r="J260" s="291" t="str">
        <f t="shared" ref="J260" si="994">IFERROR(J259/I259-1,"NA")</f>
        <v>NA</v>
      </c>
      <c r="K260" s="291">
        <f t="shared" ref="K260" si="995">IFERROR(K259/J259-1,"NA")</f>
        <v>2.4657039711191335</v>
      </c>
      <c r="L260" s="291">
        <f t="shared" ref="L260" si="996">IFERROR(L259/K259-1,"NA")</f>
        <v>-1</v>
      </c>
      <c r="M260" s="291" t="str">
        <f t="shared" ref="M260" si="997">IFERROR(M259/L259-1,"NA")</f>
        <v>NA</v>
      </c>
      <c r="N260" s="291" t="str">
        <f t="shared" ref="N260:S260" si="998">IFERROR(N259/M259-1,"NA")</f>
        <v>NA</v>
      </c>
      <c r="O260" s="291" t="str">
        <f t="shared" si="998"/>
        <v>NA</v>
      </c>
      <c r="P260" s="291">
        <f t="shared" si="998"/>
        <v>0</v>
      </c>
      <c r="Q260" s="291">
        <f t="shared" si="998"/>
        <v>0</v>
      </c>
      <c r="R260" s="291">
        <f t="shared" si="998"/>
        <v>0</v>
      </c>
      <c r="S260" s="291">
        <f t="shared" si="998"/>
        <v>0</v>
      </c>
      <c r="T260" s="273"/>
      <c r="U260" s="289"/>
      <c r="V260" s="289"/>
      <c r="W260" s="289"/>
      <c r="X260" s="289"/>
      <c r="Y260" s="289"/>
      <c r="Z260" s="289"/>
      <c r="AA260" s="289"/>
      <c r="AB260" s="289"/>
      <c r="AC260" s="289"/>
      <c r="AD260" s="289"/>
      <c r="AE260" s="289"/>
      <c r="AF260" s="289"/>
      <c r="AG260" s="289"/>
      <c r="AH260" s="289"/>
      <c r="AI260" s="289"/>
      <c r="AJ260" s="289"/>
      <c r="AK260" s="289"/>
      <c r="AL260" s="289"/>
      <c r="AM260" s="289"/>
      <c r="AN260" s="289"/>
      <c r="AO260" s="28"/>
      <c r="AP260" s="28"/>
      <c r="AQ260" s="28"/>
    </row>
    <row r="261" spans="2:43" x14ac:dyDescent="0.2">
      <c r="E261" s="138" t="s">
        <v>80</v>
      </c>
      <c r="G261" s="63"/>
      <c r="H261" s="63"/>
      <c r="I261" s="299"/>
      <c r="J261" s="299"/>
      <c r="K261" s="299"/>
      <c r="L261" s="299"/>
      <c r="M261" s="299"/>
      <c r="N261" s="299"/>
      <c r="O261" s="299"/>
      <c r="P261" s="299"/>
      <c r="Q261" s="299"/>
      <c r="R261" s="299"/>
      <c r="S261" s="299"/>
      <c r="T261" s="298"/>
      <c r="U261" s="297"/>
      <c r="V261" s="297"/>
      <c r="W261" s="297"/>
      <c r="X261" s="297"/>
      <c r="Y261" s="297"/>
      <c r="Z261" s="297"/>
      <c r="AA261" s="297"/>
      <c r="AB261" s="297"/>
      <c r="AC261" s="297"/>
      <c r="AD261" s="297"/>
      <c r="AE261" s="297"/>
      <c r="AF261" s="297"/>
      <c r="AG261" s="297"/>
      <c r="AH261" s="297"/>
      <c r="AI261" s="297"/>
      <c r="AJ261" s="297"/>
      <c r="AK261" s="297"/>
      <c r="AL261" s="297"/>
      <c r="AM261" s="297"/>
      <c r="AN261" s="297"/>
      <c r="AO261" s="28"/>
      <c r="AP261" s="28"/>
      <c r="AQ261" s="28"/>
    </row>
    <row r="262" spans="2:43" x14ac:dyDescent="0.2">
      <c r="E262" s="138" t="s">
        <v>91</v>
      </c>
      <c r="I262" s="289"/>
      <c r="J262" s="289"/>
      <c r="K262" s="289"/>
      <c r="L262" s="289"/>
      <c r="M262" s="289"/>
      <c r="N262" s="289"/>
      <c r="O262" s="289"/>
      <c r="P262" s="289"/>
      <c r="Q262" s="289"/>
      <c r="R262" s="289"/>
      <c r="S262" s="289"/>
      <c r="T262" s="273"/>
      <c r="U262" s="289"/>
      <c r="V262" s="289"/>
      <c r="W262" s="289"/>
      <c r="X262" s="289"/>
      <c r="Y262" s="289"/>
      <c r="Z262" s="289"/>
      <c r="AA262" s="289"/>
      <c r="AB262" s="289"/>
      <c r="AC262" s="289"/>
      <c r="AD262" s="289"/>
      <c r="AE262" s="289"/>
      <c r="AF262" s="289"/>
      <c r="AG262" s="289"/>
      <c r="AH262" s="289"/>
      <c r="AI262" s="289"/>
      <c r="AJ262" s="289"/>
      <c r="AK262" s="289"/>
      <c r="AL262" s="289"/>
      <c r="AM262" s="289"/>
      <c r="AN262" s="289"/>
      <c r="AO262" s="121"/>
      <c r="AP262" s="121"/>
      <c r="AQ262" s="121"/>
    </row>
    <row r="263" spans="2:43" x14ac:dyDescent="0.2">
      <c r="E263" s="138" t="s">
        <v>96</v>
      </c>
      <c r="I263" s="289"/>
      <c r="J263" s="289"/>
      <c r="K263" s="289"/>
      <c r="L263" s="289"/>
      <c r="M263" s="289"/>
      <c r="N263" s="289"/>
      <c r="O263" s="289"/>
      <c r="P263" s="289"/>
      <c r="Q263" s="289"/>
      <c r="R263" s="289"/>
      <c r="S263" s="289"/>
      <c r="T263" s="273"/>
      <c r="U263" s="289"/>
      <c r="V263" s="289"/>
      <c r="W263" s="289"/>
      <c r="X263" s="289"/>
      <c r="Y263" s="289"/>
      <c r="Z263" s="289"/>
      <c r="AA263" s="289"/>
      <c r="AB263" s="289"/>
      <c r="AC263" s="289"/>
      <c r="AD263" s="289"/>
      <c r="AE263" s="289"/>
      <c r="AF263" s="289"/>
      <c r="AG263" s="289"/>
      <c r="AH263" s="289"/>
      <c r="AI263" s="289"/>
      <c r="AJ263" s="289"/>
      <c r="AK263" s="289"/>
      <c r="AL263" s="289"/>
      <c r="AM263" s="289"/>
      <c r="AN263" s="289"/>
      <c r="AO263" s="121"/>
      <c r="AP263" s="121"/>
      <c r="AQ263" s="121"/>
    </row>
    <row r="264" spans="2:43" x14ac:dyDescent="0.2">
      <c r="E264" s="138"/>
      <c r="I264" s="95"/>
      <c r="J264" s="95"/>
      <c r="K264" s="95"/>
      <c r="L264" s="95"/>
      <c r="M264" s="95"/>
      <c r="N264" s="95"/>
      <c r="O264" s="95"/>
      <c r="P264" s="95"/>
      <c r="Q264" s="95"/>
      <c r="R264" s="95"/>
      <c r="S264" s="95"/>
      <c r="T264" s="162"/>
      <c r="U264" s="95"/>
      <c r="V264" s="95"/>
      <c r="W264" s="95"/>
      <c r="X264" s="95"/>
      <c r="Y264" s="95"/>
      <c r="Z264" s="95"/>
      <c r="AA264" s="95"/>
      <c r="AB264" s="95"/>
      <c r="AC264" s="95"/>
      <c r="AD264" s="95"/>
      <c r="AE264" s="95"/>
      <c r="AF264" s="95"/>
      <c r="AG264" s="95"/>
      <c r="AH264" s="95"/>
      <c r="AI264" s="95"/>
      <c r="AJ264" s="163"/>
      <c r="AK264" s="163"/>
      <c r="AL264" s="163"/>
      <c r="AM264" s="163"/>
      <c r="AN264" s="163"/>
      <c r="AO264" s="121"/>
      <c r="AP264" s="121"/>
      <c r="AQ264" s="121"/>
    </row>
    <row r="265" spans="2:43" x14ac:dyDescent="0.2">
      <c r="E265" s="138"/>
      <c r="I265" s="95"/>
      <c r="J265" s="95"/>
      <c r="K265" s="95"/>
      <c r="L265" s="95"/>
      <c r="M265" s="95"/>
      <c r="N265" s="95"/>
      <c r="O265" s="95"/>
      <c r="P265" s="95"/>
      <c r="Q265" s="95"/>
      <c r="R265" s="95"/>
      <c r="S265" s="95"/>
      <c r="T265" s="162"/>
      <c r="U265" s="95"/>
      <c r="V265" s="95"/>
      <c r="W265" s="95"/>
      <c r="X265" s="95"/>
      <c r="Y265" s="95"/>
      <c r="Z265" s="95"/>
      <c r="AA265" s="95"/>
      <c r="AB265" s="95"/>
      <c r="AC265" s="95"/>
      <c r="AD265" s="95"/>
      <c r="AE265" s="95"/>
      <c r="AF265" s="95"/>
      <c r="AG265" s="95"/>
      <c r="AH265" s="95"/>
      <c r="AI265" s="95"/>
      <c r="AJ265" s="163"/>
      <c r="AK265" s="163"/>
      <c r="AL265" s="163"/>
      <c r="AM265" s="163"/>
      <c r="AN265" s="163"/>
      <c r="AO265" s="121"/>
      <c r="AP265" s="121"/>
      <c r="AQ265" s="121"/>
    </row>
    <row r="266" spans="2:43" x14ac:dyDescent="0.2">
      <c r="B266" s="111" t="s">
        <v>139</v>
      </c>
      <c r="C266" s="111"/>
      <c r="D266" s="111"/>
      <c r="G266" s="168"/>
      <c r="H266" s="168"/>
      <c r="I266" s="306">
        <f>-(I225+I231)</f>
        <v>-143</v>
      </c>
      <c r="J266" s="306">
        <f>-(J225+J231)</f>
        <v>100</v>
      </c>
      <c r="K266" s="306">
        <f>-(K225+K226+K231)</f>
        <v>-2336</v>
      </c>
      <c r="L266" s="306">
        <f>-(L225+L226+L231)</f>
        <v>-163</v>
      </c>
      <c r="M266" s="306">
        <f>-(M225+M226+M231)</f>
        <v>-5846</v>
      </c>
      <c r="N266" s="306">
        <f>-(N225+N226+N231)</f>
        <v>1299</v>
      </c>
      <c r="O266" s="306">
        <f>-(O225+O226+O229+O231)</f>
        <v>-877.75076101953346</v>
      </c>
      <c r="P266" s="306">
        <f>-(P225+P226+P229+P231)</f>
        <v>-882.5021624083729</v>
      </c>
      <c r="Q266" s="306">
        <f>-(Q225+Q226+Q229+Q231)</f>
        <v>-837.58094872394213</v>
      </c>
      <c r="R266" s="306">
        <f>-(R225+R226+R229+R231)</f>
        <v>-735.34597695952652</v>
      </c>
      <c r="S266" s="306">
        <f>-(S225+S226+S229+S231)</f>
        <v>-595.71195571407043</v>
      </c>
      <c r="T266" s="305"/>
      <c r="U266" s="306">
        <f t="shared" ref="U266:AA266" si="999">-(U225+U231)</f>
        <v>892</v>
      </c>
      <c r="V266" s="306">
        <f t="shared" si="999"/>
        <v>-122</v>
      </c>
      <c r="W266" s="306">
        <f t="shared" si="999"/>
        <v>-110</v>
      </c>
      <c r="X266" s="306">
        <f t="shared" si="999"/>
        <v>-3083</v>
      </c>
      <c r="Y266" s="306">
        <f t="shared" si="999"/>
        <v>-25</v>
      </c>
      <c r="Z266" s="306">
        <f t="shared" si="999"/>
        <v>-82</v>
      </c>
      <c r="AA266" s="306">
        <f t="shared" si="999"/>
        <v>-25</v>
      </c>
      <c r="AB266" s="306">
        <f>-(AB225+AB231)</f>
        <v>-262</v>
      </c>
      <c r="AC266" s="306">
        <f t="shared" ref="AC266:AF266" si="1000">-(AC225+AC226+AC231)</f>
        <v>5</v>
      </c>
      <c r="AD266" s="306">
        <f t="shared" si="1000"/>
        <v>-109</v>
      </c>
      <c r="AE266" s="306">
        <f t="shared" si="1000"/>
        <v>56</v>
      </c>
      <c r="AF266" s="306">
        <f t="shared" si="1000"/>
        <v>-5798</v>
      </c>
      <c r="AG266" s="306">
        <f t="shared" ref="AG266:AN266" si="1001">-(AG225+AG226+AG231)</f>
        <v>133</v>
      </c>
      <c r="AH266" s="306">
        <f t="shared" si="1001"/>
        <v>172</v>
      </c>
      <c r="AI266" s="306">
        <f t="shared" si="1001"/>
        <v>147</v>
      </c>
      <c r="AJ266" s="306">
        <f t="shared" si="1001"/>
        <v>847</v>
      </c>
      <c r="AK266" s="306">
        <f t="shared" si="1001"/>
        <v>166</v>
      </c>
      <c r="AL266" s="306">
        <f t="shared" si="1001"/>
        <v>-123.7571543308477</v>
      </c>
      <c r="AM266" s="306">
        <f t="shared" si="1001"/>
        <v>-153.78032973790323</v>
      </c>
      <c r="AN266" s="306">
        <f t="shared" si="1001"/>
        <v>-795.21327695078253</v>
      </c>
      <c r="AO266" s="29"/>
      <c r="AP266" s="29"/>
      <c r="AQ266" s="29"/>
    </row>
    <row r="267" spans="2:43" x14ac:dyDescent="0.2">
      <c r="E267" s="138" t="s">
        <v>78</v>
      </c>
      <c r="F267" s="63"/>
      <c r="G267" s="63"/>
      <c r="H267" s="63"/>
      <c r="I267" s="291" t="str">
        <f>IFERROR(IF(T266&lt;0,-(I266/T266-1),(I266/T266-1)),"NA")</f>
        <v>NA</v>
      </c>
      <c r="J267" s="291">
        <f t="shared" ref="J267:S267" si="1002">IFERROR(IF(I266&lt;0,-(J266/I266-1),(J266/I266-1)),"NA")</f>
        <v>1.6993006993006992</v>
      </c>
      <c r="K267" s="291">
        <f t="shared" si="1002"/>
        <v>-24.36</v>
      </c>
      <c r="L267" s="291">
        <f t="shared" si="1002"/>
        <v>0.93022260273972601</v>
      </c>
      <c r="M267" s="291">
        <f t="shared" si="1002"/>
        <v>-34.865030674846629</v>
      </c>
      <c r="N267" s="291">
        <f t="shared" si="1002"/>
        <v>1.2222032158741019</v>
      </c>
      <c r="O267" s="291">
        <f t="shared" si="1002"/>
        <v>-1.6757126720704645</v>
      </c>
      <c r="P267" s="291">
        <f t="shared" si="1002"/>
        <v>-5.4131555332639358E-3</v>
      </c>
      <c r="Q267" s="291">
        <f t="shared" si="1002"/>
        <v>5.0902100411674422E-2</v>
      </c>
      <c r="R267" s="291">
        <f t="shared" si="1002"/>
        <v>0.12205981036241453</v>
      </c>
      <c r="S267" s="291">
        <f t="shared" si="1002"/>
        <v>0.18988887628488593</v>
      </c>
      <c r="T267" s="273"/>
      <c r="U267" s="325" t="s">
        <v>102</v>
      </c>
      <c r="V267" s="325" t="s">
        <v>102</v>
      </c>
      <c r="W267" s="325" t="s">
        <v>102</v>
      </c>
      <c r="X267" s="325" t="s">
        <v>102</v>
      </c>
      <c r="Y267" s="291">
        <f t="shared" ref="Y267" si="1003">IFERROR(IF(U266&lt;0,-(Y266/U266-1),(Y266/U266-1)),"NA")</f>
        <v>-1.0280269058295963</v>
      </c>
      <c r="Z267" s="291">
        <f t="shared" ref="Z267" si="1004">IFERROR(IF(V266&lt;0,-(Z266/V266-1),(Z266/V266-1)),"NA")</f>
        <v>0.32786885245901642</v>
      </c>
      <c r="AA267" s="291">
        <f t="shared" ref="AA267" si="1005">IFERROR(IF(W266&lt;0,-(AA266/W266-1),(AA266/W266-1)),"NA")</f>
        <v>0.77272727272727271</v>
      </c>
      <c r="AB267" s="291">
        <f t="shared" ref="AB267:AH267" si="1006">IFERROR(IF(X266&lt;0,-(AB266/X266-1),(AB266/X266-1)),"NA")</f>
        <v>0.91501783976646123</v>
      </c>
      <c r="AC267" s="291">
        <f t="shared" si="1006"/>
        <v>1.2</v>
      </c>
      <c r="AD267" s="291">
        <f t="shared" si="1006"/>
        <v>-0.3292682926829269</v>
      </c>
      <c r="AE267" s="291">
        <f t="shared" si="1006"/>
        <v>3.24</v>
      </c>
      <c r="AF267" s="291">
        <f t="shared" si="1006"/>
        <v>-21.129770992366414</v>
      </c>
      <c r="AG267" s="291">
        <f t="shared" si="1006"/>
        <v>25.6</v>
      </c>
      <c r="AH267" s="291">
        <f t="shared" si="1006"/>
        <v>2.5779816513761471</v>
      </c>
      <c r="AI267" s="291">
        <f t="shared" ref="AI267:AJ267" si="1007">IFERROR(IF(AE266&lt;0,-(AI266/AE266-1),(AI266/AE266-1)),"NA")</f>
        <v>1.625</v>
      </c>
      <c r="AJ267" s="291">
        <f t="shared" si="1007"/>
        <v>1.1460848568471886</v>
      </c>
      <c r="AK267" s="291">
        <f>IFERROR(IF(AG266&lt;0,-(AK266/AG266-1),(AK266/AG266-1)),"NA")</f>
        <v>0.24812030075187974</v>
      </c>
      <c r="AL267" s="291">
        <f>IFERROR(IF(AH266&lt;0,-(AL266/AH266-1),(AL266/AH266-1)),"NA")</f>
        <v>-1.7195183391328355</v>
      </c>
      <c r="AM267" s="291">
        <f>IFERROR(IF(AI266&lt;0,-(AM266/AI266-1),(AM266/AI266-1)),"NA")</f>
        <v>-2.0461246920945797</v>
      </c>
      <c r="AN267" s="291">
        <f>IFERROR(IF(AJ266&lt;0,-(AN266/AJ266-1),(AN266/AJ266-1)),"NA")</f>
        <v>-1.9388586504731788</v>
      </c>
      <c r="AO267" s="28"/>
      <c r="AP267" s="28"/>
      <c r="AQ267" s="28"/>
    </row>
    <row r="268" spans="2:43" x14ac:dyDescent="0.2">
      <c r="E268" s="138" t="s">
        <v>80</v>
      </c>
      <c r="F268" s="63"/>
      <c r="G268" s="63"/>
      <c r="H268" s="63"/>
      <c r="I268" s="294" t="str">
        <f>IFERROR(IF(T267&lt;0,-(I267/T267-1),(I267/T267-1)),"NA")</f>
        <v>NA</v>
      </c>
      <c r="J268" s="293">
        <f>IFERROR(J266-I266,"NA ")</f>
        <v>243</v>
      </c>
      <c r="K268" s="293">
        <f t="shared" ref="K268:S268" si="1008">IFERROR(K266-J266,"NA ")</f>
        <v>-2436</v>
      </c>
      <c r="L268" s="293">
        <f t="shared" si="1008"/>
        <v>2173</v>
      </c>
      <c r="M268" s="293">
        <f t="shared" si="1008"/>
        <v>-5683</v>
      </c>
      <c r="N268" s="293">
        <f t="shared" si="1008"/>
        <v>7145</v>
      </c>
      <c r="O268" s="293">
        <f t="shared" si="1008"/>
        <v>-2176.7507610195335</v>
      </c>
      <c r="P268" s="293">
        <f t="shared" si="1008"/>
        <v>-4.7514013888394402</v>
      </c>
      <c r="Q268" s="293">
        <f t="shared" si="1008"/>
        <v>44.921213684430768</v>
      </c>
      <c r="R268" s="293">
        <f t="shared" si="1008"/>
        <v>102.2349717644156</v>
      </c>
      <c r="S268" s="293">
        <f t="shared" si="1008"/>
        <v>139.6340212454561</v>
      </c>
      <c r="T268" s="295"/>
      <c r="U268" s="325" t="s">
        <v>102</v>
      </c>
      <c r="V268" s="325" t="s">
        <v>102</v>
      </c>
      <c r="W268" s="325" t="s">
        <v>102</v>
      </c>
      <c r="X268" s="325" t="s">
        <v>102</v>
      </c>
      <c r="Y268" s="266">
        <f t="shared" ref="Y268" si="1009">IFERROR(Y266-U266,"NA ")</f>
        <v>-917</v>
      </c>
      <c r="Z268" s="266">
        <f t="shared" ref="Z268" si="1010">IFERROR(Z266-V266,"NA ")</f>
        <v>40</v>
      </c>
      <c r="AA268" s="266">
        <f t="shared" ref="AA268" si="1011">IFERROR(AA266-W266,"NA ")</f>
        <v>85</v>
      </c>
      <c r="AB268" s="266">
        <f t="shared" ref="AB268" si="1012">IFERROR(AB266-X266,"NA ")</f>
        <v>2821</v>
      </c>
      <c r="AC268" s="266">
        <f t="shared" ref="AC268" si="1013">IFERROR(AC266-Y266,"NA ")</f>
        <v>30</v>
      </c>
      <c r="AD268" s="266">
        <f t="shared" ref="AD268" si="1014">IFERROR(AD266-Z266,"NA ")</f>
        <v>-27</v>
      </c>
      <c r="AE268" s="266">
        <f t="shared" ref="AE268" si="1015">IFERROR(AE266-AA266,"NA ")</f>
        <v>81</v>
      </c>
      <c r="AF268" s="266">
        <f t="shared" ref="AF268" si="1016">IFERROR(AF266-AB266,"NA ")</f>
        <v>-5536</v>
      </c>
      <c r="AG268" s="266">
        <f t="shared" ref="AG268" si="1017">IFERROR(AG266-AC266,"NA ")</f>
        <v>128</v>
      </c>
      <c r="AH268" s="266">
        <f t="shared" ref="AH268" si="1018">IFERROR(AH266-AD266,"NA ")</f>
        <v>281</v>
      </c>
      <c r="AI268" s="266">
        <f t="shared" ref="AI268" si="1019">IFERROR(AI266-AE266,"NA ")</f>
        <v>91</v>
      </c>
      <c r="AJ268" s="266">
        <f t="shared" ref="AJ268" si="1020">IFERROR(AJ266-AF266,"NA ")</f>
        <v>6645</v>
      </c>
      <c r="AK268" s="266">
        <f t="shared" ref="AK268" si="1021">IFERROR(AK266-AG266,"NA ")</f>
        <v>33</v>
      </c>
      <c r="AL268" s="266">
        <f t="shared" ref="AL268" si="1022">IFERROR(AL266-AH266,"NA ")</f>
        <v>-295.7571543308477</v>
      </c>
      <c r="AM268" s="266">
        <f t="shared" ref="AM268" si="1023">IFERROR(AM266-AI266,"NA ")</f>
        <v>-300.78032973790323</v>
      </c>
      <c r="AN268" s="266">
        <f t="shared" ref="AN268" si="1024">IFERROR(AN266-AJ266,"NA ")</f>
        <v>-1642.2132769507825</v>
      </c>
      <c r="AO268" s="28"/>
      <c r="AP268" s="28"/>
      <c r="AQ268" s="28"/>
    </row>
    <row r="269" spans="2:43" x14ac:dyDescent="0.2">
      <c r="E269" s="138" t="s">
        <v>91</v>
      </c>
      <c r="I269" s="291">
        <f t="shared" ref="I269:S269" si="1025">I266/I79</f>
        <v>-4.1807975675359609E-3</v>
      </c>
      <c r="J269" s="291">
        <f t="shared" si="1025"/>
        <v>2.0799966720053248E-3</v>
      </c>
      <c r="K269" s="291">
        <f t="shared" si="1025"/>
        <v>-3.8236786538555972E-2</v>
      </c>
      <c r="L269" s="291">
        <f t="shared" si="1025"/>
        <v>-2.1893300381453824E-3</v>
      </c>
      <c r="M269" s="291">
        <f t="shared" si="1025"/>
        <v>-6.5694250910235091E-2</v>
      </c>
      <c r="N269" s="291">
        <f t="shared" si="1025"/>
        <v>1.2139506195914248E-2</v>
      </c>
      <c r="O269" s="291">
        <f t="shared" si="1025"/>
        <v>-6.4884370394821499E-3</v>
      </c>
      <c r="P269" s="291">
        <f t="shared" si="1025"/>
        <v>-5.2268241218891816E-3</v>
      </c>
      <c r="Q269" s="291">
        <f t="shared" si="1025"/>
        <v>-4.0383127189387857E-3</v>
      </c>
      <c r="R269" s="291">
        <f t="shared" si="1025"/>
        <v>-2.9356943270905634E-3</v>
      </c>
      <c r="S269" s="291">
        <f t="shared" si="1025"/>
        <v>-2.0019180481316077E-3</v>
      </c>
      <c r="T269" s="273"/>
      <c r="U269" s="291">
        <f t="shared" ref="U269:AN269" si="1026">U266/U79</f>
        <v>6.7652635570724304E-2</v>
      </c>
      <c r="V269" s="291">
        <f t="shared" si="1026"/>
        <v>-9.5059996883278784E-3</v>
      </c>
      <c r="W269" s="291">
        <f t="shared" si="1026"/>
        <v>-7.967550340431697E-3</v>
      </c>
      <c r="X269" s="291">
        <f t="shared" si="1026"/>
        <v>-0.14495956366372015</v>
      </c>
      <c r="Y269" s="291">
        <f t="shared" si="1026"/>
        <v>-1.5556938394523958E-3</v>
      </c>
      <c r="Z269" s="291">
        <f t="shared" si="1026"/>
        <v>-5.2215995924605194E-3</v>
      </c>
      <c r="AA269" s="291">
        <f t="shared" si="1026"/>
        <v>-1.4626725953662532E-3</v>
      </c>
      <c r="AB269" s="291">
        <f t="shared" si="1026"/>
        <v>-1.0239574784070036E-2</v>
      </c>
      <c r="AC269" s="291">
        <f t="shared" si="1026"/>
        <v>2.5327997568512235E-4</v>
      </c>
      <c r="AD269" s="291">
        <f t="shared" si="1026"/>
        <v>-5.6359875904860397E-3</v>
      </c>
      <c r="AE269" s="291">
        <f t="shared" si="1026"/>
        <v>2.7212206618397396E-3</v>
      </c>
      <c r="AF269" s="291">
        <f t="shared" si="1026"/>
        <v>-0.1976950354609929</v>
      </c>
      <c r="AG269" s="291">
        <f t="shared" si="1026"/>
        <v>5.8546463001276578E-3</v>
      </c>
      <c r="AH269" s="291">
        <f t="shared" si="1026"/>
        <v>7.4185896053482851E-3</v>
      </c>
      <c r="AI269" s="291">
        <f t="shared" si="1026"/>
        <v>5.7969871440965376E-3</v>
      </c>
      <c r="AJ269" s="291">
        <f t="shared" si="1026"/>
        <v>2.3694296024841244E-2</v>
      </c>
      <c r="AK269" s="291">
        <f t="shared" si="1026"/>
        <v>5.6989837956605326E-3</v>
      </c>
      <c r="AL269" s="291">
        <f t="shared" si="1026"/>
        <v>-4.1727546757811609E-3</v>
      </c>
      <c r="AM269" s="291">
        <f t="shared" si="1026"/>
        <v>-4.7820581756837892E-3</v>
      </c>
      <c r="AN269" s="291">
        <f t="shared" si="1026"/>
        <v>-1.7936436520677928E-2</v>
      </c>
      <c r="AO269" s="121"/>
      <c r="AP269" s="121"/>
      <c r="AQ269" s="121"/>
    </row>
    <row r="270" spans="2:43" x14ac:dyDescent="0.2">
      <c r="E270" s="138" t="s">
        <v>96</v>
      </c>
      <c r="I270" s="291" t="str">
        <f>IFERROR(IF(T269&lt;0,-(I269/T269-1),(I269/T269-1)),"NA")</f>
        <v>NA</v>
      </c>
      <c r="J270" s="273">
        <f t="shared" ref="J270:S270" si="1027">IFERROR((J266-I266)/(J$79-I$79),"NA ")</f>
        <v>1.7516038347869963E-2</v>
      </c>
      <c r="K270" s="273">
        <f t="shared" si="1027"/>
        <v>-0.18715427166564227</v>
      </c>
      <c r="L270" s="273">
        <f t="shared" si="1027"/>
        <v>0.16266187588891384</v>
      </c>
      <c r="M270" s="273">
        <f t="shared" si="1027"/>
        <v>-0.39096037424325814</v>
      </c>
      <c r="N270" s="273">
        <f t="shared" si="1027"/>
        <v>0.39654789654789657</v>
      </c>
      <c r="O270" s="273">
        <f t="shared" si="1027"/>
        <v>-7.6989817834415331E-2</v>
      </c>
      <c r="P270" s="273">
        <f t="shared" si="1027"/>
        <v>-1.4157187175725216E-4</v>
      </c>
      <c r="Q270" s="273">
        <f t="shared" si="1027"/>
        <v>1.1647381792107708E-3</v>
      </c>
      <c r="R270" s="273">
        <f t="shared" si="1027"/>
        <v>2.3733694505835511E-3</v>
      </c>
      <c r="S270" s="273">
        <f t="shared" si="1027"/>
        <v>2.9655051405590833E-3</v>
      </c>
      <c r="T270" s="273"/>
      <c r="U270" s="325" t="str">
        <f>IFERROR(IF(#REF!&lt;0,-(U269/#REF!-1),(U269/#REF!-1)),"NA")</f>
        <v>NA</v>
      </c>
      <c r="V270" s="325" t="str">
        <f>IFERROR(IF(#REF!&lt;0,-(V269/#REF!-1),(V269/#REF!-1)),"NA")</f>
        <v>NA</v>
      </c>
      <c r="W270" s="325" t="str">
        <f>IFERROR(IF(#REF!&lt;0,-(W269/#REF!-1),(W269/#REF!-1)),"NA")</f>
        <v>NA</v>
      </c>
      <c r="X270" s="325" t="str">
        <f>IFERROR(IF(#REF!&lt;0,-(X269/#REF!-1),(X269/#REF!-1)),"NA")</f>
        <v>NA</v>
      </c>
      <c r="Y270" s="273">
        <f>IFERROR((Y266-U266)/(Y$79-U$79),"NA ")</f>
        <v>-0.31785095320623918</v>
      </c>
      <c r="Z270" s="273">
        <f>IFERROR((Z266-V266)/(Z$79-V$79),"NA ")</f>
        <v>1.3937282229965157E-2</v>
      </c>
      <c r="AA270" s="273">
        <f>IFERROR((AA266-W266)/(AA$79-W$79),"NA ")</f>
        <v>2.5867315885575167E-2</v>
      </c>
      <c r="AB270" s="273">
        <f>IFERROR((AB266-X266)/(AB$79-X$79),"NA ")</f>
        <v>0.65316045380875198</v>
      </c>
      <c r="AC270" s="273">
        <f t="shared" ref="AC270:AN270" si="1028">IFERROR((AC266-Y266)/(AC$79-Y$79),"NA ")</f>
        <v>8.1721601743394174E-3</v>
      </c>
      <c r="AD270" s="273">
        <f t="shared" si="1028"/>
        <v>-7.4257425742574254E-3</v>
      </c>
      <c r="AE270" s="273">
        <f t="shared" si="1028"/>
        <v>2.3229136793805564E-2</v>
      </c>
      <c r="AF270" s="273">
        <f t="shared" si="1028"/>
        <v>-1.4798182304196739</v>
      </c>
      <c r="AG270" s="273">
        <f t="shared" si="1028"/>
        <v>4.3010752688172046E-2</v>
      </c>
      <c r="AH270" s="273">
        <f t="shared" si="1028"/>
        <v>7.3081924577373211E-2</v>
      </c>
      <c r="AI270" s="273">
        <f t="shared" si="1028"/>
        <v>1.9041640510567063E-2</v>
      </c>
      <c r="AJ270" s="273">
        <f t="shared" si="1028"/>
        <v>1.035207976320299</v>
      </c>
      <c r="AK270" s="273">
        <f t="shared" si="1028"/>
        <v>5.1474029012634533E-3</v>
      </c>
      <c r="AL270" s="273">
        <f t="shared" si="1028"/>
        <v>-4.568819368827251E-2</v>
      </c>
      <c r="AM270" s="273">
        <f t="shared" si="1028"/>
        <v>-4.4233893772844882E-2</v>
      </c>
      <c r="AN270" s="273">
        <f t="shared" si="1028"/>
        <v>-0.19122016038935727</v>
      </c>
      <c r="AO270" s="120"/>
      <c r="AP270" s="120"/>
      <c r="AQ270" s="120"/>
    </row>
    <row r="271" spans="2:43" x14ac:dyDescent="0.2">
      <c r="AO271" s="23"/>
      <c r="AP271" s="23"/>
      <c r="AQ271" s="23"/>
    </row>
    <row r="272" spans="2:43" x14ac:dyDescent="0.2">
      <c r="F272" s="63"/>
      <c r="G272" s="63"/>
      <c r="H272" s="63"/>
      <c r="P272" s="118"/>
      <c r="Q272" s="118"/>
      <c r="R272" s="118"/>
      <c r="S272" s="118"/>
      <c r="AO272" s="117"/>
      <c r="AP272" s="117"/>
      <c r="AQ272" s="117"/>
    </row>
    <row r="273" spans="1:44" x14ac:dyDescent="0.2">
      <c r="F273" s="63"/>
      <c r="G273" s="63"/>
      <c r="H273" s="63"/>
      <c r="P273" s="118"/>
      <c r="Q273" s="118"/>
      <c r="R273" s="118"/>
      <c r="S273" s="118"/>
      <c r="AO273" s="117"/>
      <c r="AP273" s="117"/>
      <c r="AQ273" s="117"/>
    </row>
    <row r="274" spans="1:44" x14ac:dyDescent="0.2">
      <c r="F274" s="63"/>
      <c r="G274" s="63"/>
      <c r="H274" s="63"/>
      <c r="P274" s="118"/>
      <c r="Q274" s="118"/>
      <c r="R274" s="118"/>
      <c r="S274" s="118"/>
      <c r="AO274" s="117"/>
      <c r="AP274" s="117"/>
      <c r="AQ274" s="117"/>
    </row>
    <row r="275" spans="1:44" s="111" customFormat="1" x14ac:dyDescent="0.2">
      <c r="A275" s="111" t="s">
        <v>140</v>
      </c>
      <c r="J275" s="134"/>
      <c r="K275" s="134"/>
      <c r="L275" s="134"/>
      <c r="M275" s="134"/>
      <c r="N275" s="134"/>
      <c r="O275" s="134"/>
      <c r="P275" s="134"/>
      <c r="Q275" s="134"/>
      <c r="R275" s="134"/>
      <c r="S275" s="134"/>
      <c r="U275" s="48"/>
      <c r="V275" s="48"/>
      <c r="W275" s="48"/>
      <c r="X275" s="48"/>
      <c r="Y275" s="48"/>
      <c r="AE275" s="48"/>
      <c r="AF275" s="48"/>
      <c r="AH275" s="151"/>
      <c r="AI275" s="151"/>
      <c r="AJ275" s="151"/>
      <c r="AK275" s="151"/>
      <c r="AL275" s="151"/>
      <c r="AM275" s="151"/>
      <c r="AN275" s="151"/>
      <c r="AO275" s="134"/>
      <c r="AP275" s="134"/>
      <c r="AQ275" s="134"/>
    </row>
    <row r="276" spans="1:44" s="111" customFormat="1" x14ac:dyDescent="0.2">
      <c r="B276" s="111" t="s">
        <v>141</v>
      </c>
      <c r="J276" s="48"/>
      <c r="K276" s="48"/>
      <c r="L276" s="48"/>
      <c r="M276" s="48"/>
      <c r="N276" s="48"/>
      <c r="O276" s="48"/>
      <c r="P276" s="48"/>
      <c r="Q276" s="48"/>
      <c r="R276" s="48"/>
      <c r="S276" s="48"/>
      <c r="U276" s="48"/>
      <c r="V276" s="48"/>
      <c r="W276" s="48"/>
      <c r="X276" s="48"/>
      <c r="Y276" s="48"/>
      <c r="AE276" s="48"/>
      <c r="AF276" s="48"/>
      <c r="AO276" s="48"/>
      <c r="AP276" s="48"/>
      <c r="AQ276" s="48"/>
    </row>
    <row r="277" spans="1:44" s="111" customFormat="1" x14ac:dyDescent="0.2">
      <c r="D277" s="130" t="str">
        <f>'Company Data'!B40</f>
        <v>Cash and Cash Equivalents</v>
      </c>
      <c r="G277" s="74"/>
      <c r="H277" s="74"/>
      <c r="I277" s="188">
        <f>'Company Data'!U40</f>
        <v>3777</v>
      </c>
      <c r="J277" s="188">
        <f>'Company Data'!V40</f>
        <v>5269</v>
      </c>
      <c r="K277" s="188">
        <f>'Company Data'!W40</f>
        <v>8084</v>
      </c>
      <c r="L277" s="188">
        <f>'Company Data'!X40</f>
        <v>8658</v>
      </c>
      <c r="M277" s="188">
        <f>'Company Data'!Y40</f>
        <v>14557</v>
      </c>
      <c r="N277" s="188">
        <f>'Company Data'!Z40</f>
        <v>15890</v>
      </c>
      <c r="O277" s="190">
        <f>O244</f>
        <v>21959.340823504732</v>
      </c>
      <c r="P277" s="190">
        <f>P244</f>
        <v>32373.384207595846</v>
      </c>
      <c r="Q277" s="190">
        <f>Q244</f>
        <v>45709.637745156302</v>
      </c>
      <c r="R277" s="190">
        <f>R244</f>
        <v>62649.808217551799</v>
      </c>
      <c r="S277" s="190">
        <f>S244</f>
        <v>83969.970465627237</v>
      </c>
      <c r="T277" s="276"/>
      <c r="U277" s="188">
        <f>'Company Data'!C40</f>
        <v>2288</v>
      </c>
      <c r="V277" s="188">
        <f>'Company Data'!D40</f>
        <v>2335</v>
      </c>
      <c r="W277" s="188">
        <f>'Company Data'!E40</f>
        <v>2980</v>
      </c>
      <c r="X277" s="188">
        <f>'Company Data'!F40</f>
        <v>8084</v>
      </c>
      <c r="Y277" s="188">
        <f>'Company Data'!G40</f>
        <v>4481</v>
      </c>
      <c r="Z277" s="188">
        <f>'Company Data'!H40</f>
        <v>3704</v>
      </c>
      <c r="AA277" s="188">
        <f>'Company Data'!I40</f>
        <v>3872</v>
      </c>
      <c r="AB277" s="188">
        <f>'Company Data'!J40</f>
        <v>8658</v>
      </c>
      <c r="AC277" s="188">
        <f>'Company Data'!K40</f>
        <v>5074</v>
      </c>
      <c r="AD277" s="188">
        <f>'Company Data'!L40</f>
        <v>5057</v>
      </c>
      <c r="AE277" s="188">
        <f>'Company Data'!M40</f>
        <v>5258</v>
      </c>
      <c r="AF277" s="188">
        <f>'Company Data'!N40</f>
        <v>14557</v>
      </c>
      <c r="AG277" s="188">
        <f>'Company Data'!O40</f>
        <v>10237</v>
      </c>
      <c r="AH277" s="188">
        <f>'Company Data'!P40</f>
        <v>10269</v>
      </c>
      <c r="AI277" s="188">
        <f>'Company Data'!Q40</f>
        <v>10709</v>
      </c>
      <c r="AJ277" s="188">
        <f>'Company Data'!R40</f>
        <v>15890</v>
      </c>
      <c r="AK277" s="188">
        <f>'Company Data'!S40</f>
        <v>12470</v>
      </c>
      <c r="AL277" s="190">
        <f>AL244</f>
        <v>13536.97976727513</v>
      </c>
      <c r="AM277" s="190">
        <f>AM244</f>
        <v>15575.51245214458</v>
      </c>
      <c r="AN277" s="190">
        <f>AN244</f>
        <v>21959.340823504732</v>
      </c>
      <c r="AO277" s="84"/>
      <c r="AP277" s="84"/>
      <c r="AQ277" s="84"/>
      <c r="AR277" s="129"/>
    </row>
    <row r="278" spans="1:44" x14ac:dyDescent="0.2">
      <c r="A278" s="37"/>
      <c r="B278" s="37"/>
      <c r="C278" s="37"/>
      <c r="E278" s="138" t="s">
        <v>91</v>
      </c>
      <c r="G278" s="168"/>
      <c r="H278" s="168"/>
      <c r="I278" s="287">
        <f t="shared" ref="I278:S278" si="1029">I277/I79</f>
        <v>0.11042568120687639</v>
      </c>
      <c r="J278" s="287">
        <f t="shared" si="1029"/>
        <v>0.10959502464796056</v>
      </c>
      <c r="K278" s="287">
        <f t="shared" si="1029"/>
        <v>0.1323228520452425</v>
      </c>
      <c r="L278" s="287">
        <f t="shared" si="1029"/>
        <v>0.11628969000161178</v>
      </c>
      <c r="M278" s="287">
        <f t="shared" si="1029"/>
        <v>0.16358385400278688</v>
      </c>
      <c r="N278" s="287">
        <f t="shared" si="1029"/>
        <v>0.14849634599928976</v>
      </c>
      <c r="O278" s="287">
        <f t="shared" si="1029"/>
        <v>0.1623260345526146</v>
      </c>
      <c r="P278" s="287">
        <f t="shared" si="1029"/>
        <v>0.19173889049933829</v>
      </c>
      <c r="Q278" s="287">
        <f t="shared" si="1029"/>
        <v>0.22038444375504529</v>
      </c>
      <c r="R278" s="287">
        <f t="shared" si="1029"/>
        <v>0.25011449350419385</v>
      </c>
      <c r="S278" s="287">
        <f t="shared" si="1029"/>
        <v>0.28218503550884294</v>
      </c>
      <c r="T278" s="288"/>
      <c r="U278" s="287">
        <f t="shared" ref="U278:AN278" si="1030">U277/U79</f>
        <v>0.17353052711414485</v>
      </c>
      <c r="V278" s="287">
        <f t="shared" si="1030"/>
        <v>0.18193860059217704</v>
      </c>
      <c r="W278" s="287">
        <f t="shared" si="1030"/>
        <v>0.21584818194987687</v>
      </c>
      <c r="X278" s="287">
        <f t="shared" si="1030"/>
        <v>0.3801015610306564</v>
      </c>
      <c r="Y278" s="287">
        <f t="shared" si="1030"/>
        <v>0.27884256378344741</v>
      </c>
      <c r="Z278" s="287">
        <f t="shared" si="1030"/>
        <v>0.23586347427407031</v>
      </c>
      <c r="AA278" s="287">
        <f t="shared" si="1030"/>
        <v>0.22653873157032531</v>
      </c>
      <c r="AB278" s="287">
        <f t="shared" si="1030"/>
        <v>0.33837495603236017</v>
      </c>
      <c r="AC278" s="287">
        <f t="shared" si="1030"/>
        <v>0.25702851932526216</v>
      </c>
      <c r="AD278" s="287">
        <f t="shared" si="1030"/>
        <v>0.26147880041365046</v>
      </c>
      <c r="AE278" s="287">
        <f t="shared" si="1030"/>
        <v>0.25550318285630985</v>
      </c>
      <c r="AF278" s="287">
        <f t="shared" si="1030"/>
        <v>0.49635160938352429</v>
      </c>
      <c r="AG278" s="287">
        <f t="shared" si="1030"/>
        <v>0.4506316855218559</v>
      </c>
      <c r="AH278" s="287">
        <f t="shared" si="1030"/>
        <v>0.44291567824024153</v>
      </c>
      <c r="AI278" s="287">
        <f t="shared" si="1030"/>
        <v>0.42231248521176751</v>
      </c>
      <c r="AJ278" s="287">
        <f t="shared" si="1030"/>
        <v>0.44451282625115396</v>
      </c>
      <c r="AK278" s="287">
        <f t="shared" si="1030"/>
        <v>0.42811040922823401</v>
      </c>
      <c r="AL278" s="287">
        <f t="shared" si="1030"/>
        <v>0.4564301427685013</v>
      </c>
      <c r="AM278" s="287">
        <f t="shared" si="1030"/>
        <v>0.48434677431885059</v>
      </c>
      <c r="AN278" s="287">
        <f t="shared" si="1030"/>
        <v>0.49530400728093177</v>
      </c>
    </row>
    <row r="279" spans="1:44" s="111" customFormat="1" x14ac:dyDescent="0.2">
      <c r="D279" s="130" t="str">
        <f>'Company Data'!B41</f>
        <v>Marketable Securities</v>
      </c>
      <c r="G279" s="74"/>
      <c r="H279" s="74"/>
      <c r="I279" s="337">
        <f>'Company Data'!U41</f>
        <v>4985</v>
      </c>
      <c r="J279" s="337">
        <f>'Company Data'!V41</f>
        <v>4307</v>
      </c>
      <c r="K279" s="337">
        <f>'Company Data'!W41</f>
        <v>3364</v>
      </c>
      <c r="L279" s="337">
        <f>'Company Data'!X41</f>
        <v>3789</v>
      </c>
      <c r="M279" s="337">
        <f>'Company Data'!Y41</f>
        <v>2859</v>
      </c>
      <c r="N279" s="337">
        <f>'Company Data'!Z41</f>
        <v>3918</v>
      </c>
      <c r="O279" s="169">
        <f>AN279</f>
        <v>3389</v>
      </c>
      <c r="P279" s="169">
        <f t="shared" ref="P279:S279" si="1031">O279</f>
        <v>3389</v>
      </c>
      <c r="Q279" s="169">
        <f t="shared" si="1031"/>
        <v>3389</v>
      </c>
      <c r="R279" s="169">
        <f t="shared" si="1031"/>
        <v>3389</v>
      </c>
      <c r="S279" s="169">
        <f t="shared" si="1031"/>
        <v>3389</v>
      </c>
      <c r="T279" s="158"/>
      <c r="U279" s="337">
        <f>'Company Data'!C41</f>
        <v>3427</v>
      </c>
      <c r="V279" s="337">
        <f>'Company Data'!D41</f>
        <v>2635</v>
      </c>
      <c r="W279" s="337">
        <f>'Company Data'!E41</f>
        <v>2268</v>
      </c>
      <c r="X279" s="337">
        <f>'Company Data'!F41</f>
        <v>3364</v>
      </c>
      <c r="Y279" s="337">
        <f>'Company Data'!G41</f>
        <v>3414</v>
      </c>
      <c r="Z279" s="337">
        <f>'Company Data'!H41</f>
        <v>3759</v>
      </c>
      <c r="AA279" s="337">
        <f>'Company Data'!I41</f>
        <v>3817</v>
      </c>
      <c r="AB279" s="337">
        <f>'Company Data'!J41</f>
        <v>3789</v>
      </c>
      <c r="AC279" s="337">
        <f>'Company Data'!K41</f>
        <v>3592</v>
      </c>
      <c r="AD279" s="337">
        <f>'Company Data'!L41</f>
        <v>2929</v>
      </c>
      <c r="AE279" s="337">
        <f>'Company Data'!M41</f>
        <v>1625</v>
      </c>
      <c r="AF279" s="337">
        <f>'Company Data'!N41</f>
        <v>2859</v>
      </c>
      <c r="AG279" s="337">
        <f>'Company Data'!O41</f>
        <v>3544</v>
      </c>
      <c r="AH279" s="337">
        <f>'Company Data'!P41</f>
        <v>3732</v>
      </c>
      <c r="AI279" s="337">
        <f>'Company Data'!Q41</f>
        <v>3719</v>
      </c>
      <c r="AJ279" s="337">
        <f>'Company Data'!R41</f>
        <v>3918</v>
      </c>
      <c r="AK279" s="337">
        <f>'Company Data'!S41</f>
        <v>3389</v>
      </c>
      <c r="AL279" s="169">
        <f>AK279</f>
        <v>3389</v>
      </c>
      <c r="AM279" s="169">
        <f>AL279</f>
        <v>3389</v>
      </c>
      <c r="AN279" s="169">
        <f>AM279</f>
        <v>3389</v>
      </c>
      <c r="AO279" s="84"/>
      <c r="AP279" s="84"/>
      <c r="AQ279" s="84"/>
      <c r="AR279" s="129"/>
    </row>
    <row r="280" spans="1:44" s="111" customFormat="1" x14ac:dyDescent="0.2">
      <c r="D280" s="130" t="str">
        <f>'Company Data'!B42</f>
        <v>Accounts Receivable, Net and Other Current Assets</v>
      </c>
      <c r="G280" s="168"/>
      <c r="H280" s="74"/>
      <c r="I280" s="337">
        <f>'Company Data'!U42</f>
        <v>1783</v>
      </c>
      <c r="J280" s="337">
        <f>'Company Data'!V42</f>
        <v>2922</v>
      </c>
      <c r="K280" s="337">
        <f>'Company Data'!W42</f>
        <v>3817</v>
      </c>
      <c r="L280" s="337">
        <f>'Company Data'!X42</f>
        <v>4767</v>
      </c>
      <c r="M280" s="337">
        <f>'Company Data'!Y42</f>
        <v>5612</v>
      </c>
      <c r="N280" s="337">
        <f>'Company Data'!Z42</f>
        <v>6423</v>
      </c>
      <c r="O280" s="169">
        <f>AN280</f>
        <v>7402.3870886836157</v>
      </c>
      <c r="P280" s="187">
        <f>P281*P79</f>
        <v>8314.9773923146695</v>
      </c>
      <c r="Q280" s="187">
        <f>Q281*Q79</f>
        <v>10214.333297050367</v>
      </c>
      <c r="R280" s="187">
        <f>R281*R79</f>
        <v>12335.707653327077</v>
      </c>
      <c r="S280" s="187">
        <f>S281*S79</f>
        <v>14654.5741467384</v>
      </c>
      <c r="T280" s="158"/>
      <c r="U280" s="337">
        <f>'Company Data'!C42</f>
        <v>2184</v>
      </c>
      <c r="V280" s="337">
        <f>'Company Data'!D42</f>
        <v>2443</v>
      </c>
      <c r="W280" s="337">
        <f>'Company Data'!E42</f>
        <v>2805</v>
      </c>
      <c r="X280" s="337">
        <f>'Company Data'!F42</f>
        <v>3817</v>
      </c>
      <c r="Y280" s="337">
        <f>'Company Data'!G42</f>
        <v>3023</v>
      </c>
      <c r="Z280" s="337">
        <f>'Company Data'!H42</f>
        <v>3402</v>
      </c>
      <c r="AA280" s="337">
        <f>'Company Data'!I42</f>
        <v>3577</v>
      </c>
      <c r="AB280" s="337">
        <f>'Company Data'!J42</f>
        <v>4767</v>
      </c>
      <c r="AC280" s="337">
        <f>'Company Data'!K42</f>
        <v>3945</v>
      </c>
      <c r="AD280" s="337">
        <f>'Company Data'!L42</f>
        <v>4125</v>
      </c>
      <c r="AE280" s="337">
        <f>'Company Data'!M42</f>
        <v>4373</v>
      </c>
      <c r="AF280" s="337">
        <f>'Company Data'!N42</f>
        <v>5612</v>
      </c>
      <c r="AG280" s="337">
        <f>'Company Data'!O42</f>
        <v>4772</v>
      </c>
      <c r="AH280" s="337">
        <f>'Company Data'!P42</f>
        <v>4920</v>
      </c>
      <c r="AI280" s="337">
        <f>'Company Data'!Q42</f>
        <v>5440</v>
      </c>
      <c r="AJ280" s="337">
        <f>'Company Data'!R42</f>
        <v>6423</v>
      </c>
      <c r="AK280" s="337">
        <f>'Company Data'!S42</f>
        <v>5072</v>
      </c>
      <c r="AL280" s="187">
        <f>AL281*AL79</f>
        <v>5678.7679104487279</v>
      </c>
      <c r="AM280" s="187">
        <f>AM281*AM79</f>
        <v>6179.493851743161</v>
      </c>
      <c r="AN280" s="187">
        <f>AN281*AN79</f>
        <v>7402.3870886836157</v>
      </c>
      <c r="AO280" s="84"/>
      <c r="AP280" s="84"/>
      <c r="AQ280" s="84"/>
      <c r="AR280" s="129"/>
    </row>
    <row r="281" spans="1:44" x14ac:dyDescent="0.2">
      <c r="E281" s="138" t="s">
        <v>91</v>
      </c>
      <c r="I281" s="287">
        <f t="shared" ref="I281:O281" si="1032">I280/I79</f>
        <v>5.2128406034381944E-2</v>
      </c>
      <c r="J281" s="287">
        <f t="shared" si="1032"/>
        <v>6.077750275599559E-2</v>
      </c>
      <c r="K281" s="287">
        <f t="shared" si="1032"/>
        <v>6.2478516360303146E-2</v>
      </c>
      <c r="L281" s="287">
        <f t="shared" si="1032"/>
        <v>6.4027830011282441E-2</v>
      </c>
      <c r="M281" s="287">
        <f t="shared" si="1032"/>
        <v>6.3064682878590378E-2</v>
      </c>
      <c r="N281" s="287">
        <f t="shared" si="1032"/>
        <v>6.0024671513746894E-2</v>
      </c>
      <c r="O281" s="287">
        <f t="shared" si="1032"/>
        <v>5.4719317487131582E-2</v>
      </c>
      <c r="P281" s="329">
        <f>O281*0.9</f>
        <v>4.9247385738418421E-2</v>
      </c>
      <c r="Q281" s="329">
        <f>P281</f>
        <v>4.9247385738418421E-2</v>
      </c>
      <c r="R281" s="329">
        <f>Q281</f>
        <v>4.9247385738418421E-2</v>
      </c>
      <c r="S281" s="329">
        <f>R281</f>
        <v>4.9247385738418421E-2</v>
      </c>
      <c r="T281" s="273"/>
      <c r="U281" s="287">
        <f t="shared" ref="U281:AK281" si="1033">U280/U79</f>
        <v>0.16564277588168372</v>
      </c>
      <c r="V281" s="287">
        <f t="shared" si="1033"/>
        <v>0.19035374785725417</v>
      </c>
      <c r="W281" s="287">
        <f t="shared" si="1033"/>
        <v>0.20317253368100827</v>
      </c>
      <c r="X281" s="287">
        <f t="shared" si="1033"/>
        <v>0.1794715064886214</v>
      </c>
      <c r="Y281" s="287">
        <f t="shared" si="1033"/>
        <v>0.1881144990665837</v>
      </c>
      <c r="Z281" s="287">
        <f t="shared" si="1033"/>
        <v>0.21663270504330107</v>
      </c>
      <c r="AA281" s="287">
        <f t="shared" si="1033"/>
        <v>0.20927919494500352</v>
      </c>
      <c r="AB281" s="287">
        <f t="shared" si="1033"/>
        <v>0.18630554578496894</v>
      </c>
      <c r="AC281" s="287">
        <f t="shared" si="1033"/>
        <v>0.19983790081556152</v>
      </c>
      <c r="AD281" s="287">
        <f t="shared" si="1033"/>
        <v>0.21328852119958636</v>
      </c>
      <c r="AE281" s="287">
        <f t="shared" si="1033"/>
        <v>0.21249817775402108</v>
      </c>
      <c r="AF281" s="287">
        <f t="shared" si="1033"/>
        <v>0.19135297326786688</v>
      </c>
      <c r="AG281" s="287">
        <f t="shared" si="1033"/>
        <v>0.21006294845270063</v>
      </c>
      <c r="AH281" s="287">
        <f t="shared" si="1033"/>
        <v>0.21220616778089282</v>
      </c>
      <c r="AI281" s="287">
        <f t="shared" si="1033"/>
        <v>0.21452795961826643</v>
      </c>
      <c r="AJ281" s="287">
        <f t="shared" si="1033"/>
        <v>0.17967941365709011</v>
      </c>
      <c r="AK281" s="287">
        <f t="shared" si="1033"/>
        <v>0.17412798681680858</v>
      </c>
      <c r="AL281" s="289">
        <f>AVERAGE(AD281,AH281)*0.9</f>
        <v>0.19147261004121563</v>
      </c>
      <c r="AM281" s="289">
        <f>AVERAGE(AE281,AI281)*0.9</f>
        <v>0.19216176181752939</v>
      </c>
      <c r="AN281" s="289">
        <f>AVERAGE(AF281,AJ281)*0.9</f>
        <v>0.16696457411623064</v>
      </c>
    </row>
    <row r="282" spans="1:44" s="111" customFormat="1" x14ac:dyDescent="0.2">
      <c r="D282" s="130" t="str">
        <f>'Company Data'!B43</f>
        <v>Inventories</v>
      </c>
      <c r="G282" s="168"/>
      <c r="H282" s="74"/>
      <c r="I282" s="315">
        <f>'Company Data'!U43</f>
        <v>3202</v>
      </c>
      <c r="J282" s="315">
        <f>'Company Data'!V43</f>
        <v>4992</v>
      </c>
      <c r="K282" s="315">
        <f>'Company Data'!W43</f>
        <v>6031</v>
      </c>
      <c r="L282" s="315">
        <f>'Company Data'!X43</f>
        <v>7411</v>
      </c>
      <c r="M282" s="315">
        <f>'Company Data'!Y43</f>
        <v>8299</v>
      </c>
      <c r="N282" s="315">
        <f>'Company Data'!Z43</f>
        <v>10243</v>
      </c>
      <c r="O282" s="331">
        <f>AN282</f>
        <v>14558.819951621233</v>
      </c>
      <c r="P282" s="317">
        <f>P283*P107</f>
        <v>17441.422058817967</v>
      </c>
      <c r="Q282" s="317">
        <f>Q283*Q107</f>
        <v>20203.938693410309</v>
      </c>
      <c r="R282" s="317">
        <f>R283*R107</f>
        <v>23065.90797370152</v>
      </c>
      <c r="S282" s="317">
        <f>S283*S107</f>
        <v>25923.744326609565</v>
      </c>
      <c r="T282" s="330"/>
      <c r="U282" s="315">
        <f>'Company Data'!C43</f>
        <v>4255</v>
      </c>
      <c r="V282" s="315">
        <f>'Company Data'!D43</f>
        <v>4380</v>
      </c>
      <c r="W282" s="315">
        <f>'Company Data'!E43</f>
        <v>5065</v>
      </c>
      <c r="X282" s="315">
        <f>'Company Data'!F43</f>
        <v>6031</v>
      </c>
      <c r="Y282" s="315">
        <f>'Company Data'!G43</f>
        <v>5395</v>
      </c>
      <c r="Z282" s="315">
        <f>'Company Data'!H43</f>
        <v>5420</v>
      </c>
      <c r="AA282" s="315">
        <f>'Company Data'!I43</f>
        <v>6068</v>
      </c>
      <c r="AB282" s="315">
        <f>'Company Data'!J43</f>
        <v>7411</v>
      </c>
      <c r="AC282" s="315">
        <f>'Company Data'!K43</f>
        <v>6716</v>
      </c>
      <c r="AD282" s="315">
        <f>'Company Data'!L43</f>
        <v>6644</v>
      </c>
      <c r="AE282" s="315">
        <f>'Company Data'!M43</f>
        <v>7316</v>
      </c>
      <c r="AF282" s="315">
        <f>'Company Data'!N43</f>
        <v>8299</v>
      </c>
      <c r="AG282" s="315">
        <f>'Company Data'!O43</f>
        <v>7369</v>
      </c>
      <c r="AH282" s="315">
        <f>'Company Data'!P43</f>
        <v>7470</v>
      </c>
      <c r="AI282" s="315">
        <f>'Company Data'!Q43</f>
        <v>8981</v>
      </c>
      <c r="AJ282" s="315">
        <f>'Company Data'!R43</f>
        <v>10243</v>
      </c>
      <c r="AK282" s="315">
        <f>'Company Data'!S43</f>
        <v>9582</v>
      </c>
      <c r="AL282" s="317">
        <f>AL283*AL107</f>
        <v>9658.2434295010298</v>
      </c>
      <c r="AM282" s="317">
        <f>AM283*AM107</f>
        <v>10589.421350200621</v>
      </c>
      <c r="AN282" s="317">
        <f>AN283*AN107</f>
        <v>14558.819951621233</v>
      </c>
      <c r="AO282" s="84"/>
      <c r="AP282" s="84"/>
      <c r="AQ282" s="84"/>
      <c r="AR282" s="129"/>
    </row>
    <row r="283" spans="1:44" x14ac:dyDescent="0.2">
      <c r="E283" s="290" t="s">
        <v>142</v>
      </c>
      <c r="I283" s="287">
        <f t="shared" ref="I283:O283" si="1034">I282/I107</f>
        <v>9.9231436717491017E-2</v>
      </c>
      <c r="J283" s="287">
        <f t="shared" si="1034"/>
        <v>0.10734791303786853</v>
      </c>
      <c r="K283" s="287">
        <f t="shared" si="1034"/>
        <v>0.10148927219183845</v>
      </c>
      <c r="L283" s="287">
        <f t="shared" si="1034"/>
        <v>0.10227852992726921</v>
      </c>
      <c r="M283" s="287">
        <f t="shared" si="1034"/>
        <v>9.5193851800871754E-2</v>
      </c>
      <c r="N283" s="287">
        <f t="shared" si="1034"/>
        <v>9.9948284105656551E-2</v>
      </c>
      <c r="O283" s="287">
        <f t="shared" si="1034"/>
        <v>0.1144155316598406</v>
      </c>
      <c r="P283" s="329">
        <f>O283*0.97</f>
        <v>0.11098306571004538</v>
      </c>
      <c r="Q283" s="329">
        <f>P283*0.95</f>
        <v>0.1054339124245431</v>
      </c>
      <c r="R283" s="329">
        <f>Q283*0.95</f>
        <v>0.10016221680331594</v>
      </c>
      <c r="S283" s="329">
        <f>R283*0.95</f>
        <v>9.5154105963150132E-2</v>
      </c>
      <c r="T283" s="273"/>
      <c r="U283" s="287">
        <f t="shared" ref="U283:AK283" si="1035">U282/U107</f>
        <v>0.33275983420661609</v>
      </c>
      <c r="V283" s="287">
        <f t="shared" si="1035"/>
        <v>0.35113035113035113</v>
      </c>
      <c r="W283" s="287">
        <f t="shared" si="1035"/>
        <v>0.3731398261382054</v>
      </c>
      <c r="X283" s="287">
        <f t="shared" si="1035"/>
        <v>0.2929091792132103</v>
      </c>
      <c r="Y283" s="287">
        <f t="shared" si="1035"/>
        <v>0.34519163094247873</v>
      </c>
      <c r="Z283" s="287">
        <f t="shared" si="1035"/>
        <v>0.35436417129780973</v>
      </c>
      <c r="AA283" s="287">
        <f t="shared" si="1035"/>
        <v>0.36065378900445766</v>
      </c>
      <c r="AB283" s="287">
        <f t="shared" si="1035"/>
        <v>0.29990692404192465</v>
      </c>
      <c r="AC283" s="287">
        <f t="shared" si="1035"/>
        <v>0.34908259265034564</v>
      </c>
      <c r="AD283" s="287">
        <f t="shared" si="1035"/>
        <v>0.35086607520067598</v>
      </c>
      <c r="AE283" s="287">
        <f t="shared" si="1035"/>
        <v>0.35317402848177648</v>
      </c>
      <c r="AF283" s="287">
        <f t="shared" si="1035"/>
        <v>0.2933545422410746</v>
      </c>
      <c r="AG283" s="287">
        <f t="shared" si="1035"/>
        <v>0.33478715187860614</v>
      </c>
      <c r="AH283" s="287">
        <f t="shared" si="1035"/>
        <v>0.33785617367706922</v>
      </c>
      <c r="AI283" s="287">
        <f t="shared" si="1035"/>
        <v>0.36860250359121693</v>
      </c>
      <c r="AJ283" s="287">
        <f t="shared" si="1035"/>
        <v>0.3012912904079772</v>
      </c>
      <c r="AK283" s="287">
        <f t="shared" si="1035"/>
        <v>0.34884228920926169</v>
      </c>
      <c r="AL283" s="289">
        <f>AK283</f>
        <v>0.34884228920926169</v>
      </c>
      <c r="AM283" s="289">
        <f>AL283</f>
        <v>0.34884228920926169</v>
      </c>
      <c r="AN283" s="289">
        <f>AM283</f>
        <v>0.34884228920926169</v>
      </c>
    </row>
    <row r="284" spans="1:44" s="111" customFormat="1" hidden="1" outlineLevel="1" x14ac:dyDescent="0.2">
      <c r="D284" s="130"/>
      <c r="G284" s="74"/>
      <c r="H284" s="74"/>
      <c r="I284" s="157"/>
      <c r="J284" s="157"/>
      <c r="K284" s="157"/>
      <c r="L284" s="157"/>
      <c r="M284" s="157"/>
      <c r="N284" s="157"/>
      <c r="O284" s="157"/>
      <c r="P284" s="157"/>
      <c r="Q284" s="157"/>
      <c r="R284" s="157"/>
      <c r="S284" s="157"/>
      <c r="T284" s="158"/>
      <c r="U284" s="145"/>
      <c r="V284" s="145"/>
      <c r="W284" s="145"/>
      <c r="X284" s="145"/>
      <c r="Y284" s="145"/>
      <c r="Z284" s="145"/>
      <c r="AA284" s="145"/>
      <c r="AB284" s="145"/>
      <c r="AC284" s="145"/>
      <c r="AD284" s="145"/>
      <c r="AE284" s="145"/>
      <c r="AF284" s="145"/>
      <c r="AG284" s="145"/>
      <c r="AH284" s="145"/>
      <c r="AI284" s="145"/>
      <c r="AJ284" s="145"/>
      <c r="AK284" s="145"/>
      <c r="AL284" s="157"/>
      <c r="AM284" s="157"/>
      <c r="AN284" s="157"/>
      <c r="AO284" s="84"/>
      <c r="AP284" s="84"/>
      <c r="AQ284" s="84"/>
      <c r="AR284" s="129"/>
    </row>
    <row r="285" spans="1:44" s="111" customFormat="1" hidden="1" outlineLevel="1" x14ac:dyDescent="0.2">
      <c r="D285" s="130"/>
      <c r="G285" s="74"/>
      <c r="H285" s="74"/>
      <c r="I285" s="157"/>
      <c r="J285" s="157"/>
      <c r="K285" s="157"/>
      <c r="L285" s="157"/>
      <c r="M285" s="157"/>
      <c r="N285" s="157"/>
      <c r="O285" s="157"/>
      <c r="P285" s="157"/>
      <c r="Q285" s="157"/>
      <c r="R285" s="157"/>
      <c r="S285" s="157"/>
      <c r="T285" s="158"/>
      <c r="U285" s="145"/>
      <c r="V285" s="145"/>
      <c r="W285" s="145"/>
      <c r="X285" s="145"/>
      <c r="Y285" s="145"/>
      <c r="Z285" s="145"/>
      <c r="AA285" s="145"/>
      <c r="AB285" s="145"/>
      <c r="AC285" s="145"/>
      <c r="AD285" s="145"/>
      <c r="AE285" s="145"/>
      <c r="AF285" s="145"/>
      <c r="AG285" s="145"/>
      <c r="AH285" s="145"/>
      <c r="AI285" s="145"/>
      <c r="AJ285" s="145"/>
      <c r="AK285" s="145"/>
      <c r="AL285" s="157"/>
      <c r="AM285" s="157"/>
      <c r="AN285" s="157"/>
      <c r="AO285" s="84"/>
      <c r="AP285" s="84"/>
      <c r="AQ285" s="84"/>
      <c r="AR285" s="129"/>
    </row>
    <row r="286" spans="1:44" s="111" customFormat="1" hidden="1" outlineLevel="1" x14ac:dyDescent="0.2">
      <c r="D286" s="130"/>
      <c r="G286" s="74"/>
      <c r="H286" s="74"/>
      <c r="I286" s="157"/>
      <c r="J286" s="157"/>
      <c r="K286" s="157"/>
      <c r="L286" s="157"/>
      <c r="M286" s="157"/>
      <c r="N286" s="157"/>
      <c r="O286" s="157"/>
      <c r="P286" s="157"/>
      <c r="Q286" s="157"/>
      <c r="R286" s="157"/>
      <c r="S286" s="157"/>
      <c r="T286" s="158"/>
      <c r="U286" s="145"/>
      <c r="V286" s="145"/>
      <c r="W286" s="145"/>
      <c r="X286" s="145"/>
      <c r="Y286" s="145"/>
      <c r="Z286" s="145"/>
      <c r="AA286" s="145"/>
      <c r="AB286" s="145"/>
      <c r="AC286" s="145"/>
      <c r="AD286" s="145"/>
      <c r="AE286" s="145"/>
      <c r="AF286" s="145"/>
      <c r="AG286" s="145"/>
      <c r="AH286" s="145"/>
      <c r="AI286" s="145"/>
      <c r="AJ286" s="145"/>
      <c r="AK286" s="145"/>
      <c r="AL286" s="157"/>
      <c r="AM286" s="157"/>
      <c r="AN286" s="157"/>
      <c r="AO286" s="84"/>
      <c r="AP286" s="84"/>
      <c r="AQ286" s="84"/>
      <c r="AR286" s="129"/>
    </row>
    <row r="287" spans="1:44" s="111" customFormat="1" hidden="1" outlineLevel="1" x14ac:dyDescent="0.2">
      <c r="D287" s="130"/>
      <c r="G287" s="74"/>
      <c r="H287" s="74"/>
      <c r="I287" s="157"/>
      <c r="J287" s="157"/>
      <c r="K287" s="157"/>
      <c r="L287" s="157"/>
      <c r="M287" s="157"/>
      <c r="N287" s="157"/>
      <c r="O287" s="157"/>
      <c r="P287" s="157"/>
      <c r="Q287" s="157"/>
      <c r="R287" s="157"/>
      <c r="S287" s="157"/>
      <c r="T287" s="158"/>
      <c r="U287" s="145"/>
      <c r="V287" s="145"/>
      <c r="W287" s="145"/>
      <c r="X287" s="145"/>
      <c r="Y287" s="145"/>
      <c r="Z287" s="145"/>
      <c r="AA287" s="145"/>
      <c r="AB287" s="145"/>
      <c r="AC287" s="145"/>
      <c r="AD287" s="145"/>
      <c r="AE287" s="145"/>
      <c r="AF287" s="145"/>
      <c r="AG287" s="145"/>
      <c r="AH287" s="145"/>
      <c r="AI287" s="145"/>
      <c r="AJ287" s="145"/>
      <c r="AK287" s="145"/>
      <c r="AL287" s="157"/>
      <c r="AM287" s="157"/>
      <c r="AN287" s="157"/>
      <c r="AO287" s="84"/>
      <c r="AP287" s="84"/>
      <c r="AQ287" s="84"/>
      <c r="AR287" s="129"/>
    </row>
    <row r="288" spans="1:44" s="111" customFormat="1" hidden="1" outlineLevel="1" x14ac:dyDescent="0.2">
      <c r="D288" s="130"/>
      <c r="G288" s="74"/>
      <c r="H288" s="74"/>
      <c r="I288" s="157"/>
      <c r="J288" s="157"/>
      <c r="K288" s="157"/>
      <c r="L288" s="157"/>
      <c r="M288" s="157"/>
      <c r="N288" s="157"/>
      <c r="O288" s="157"/>
      <c r="P288" s="157"/>
      <c r="Q288" s="157"/>
      <c r="R288" s="157"/>
      <c r="S288" s="157"/>
      <c r="T288" s="158"/>
      <c r="U288" s="145"/>
      <c r="V288" s="145"/>
      <c r="W288" s="145"/>
      <c r="X288" s="145"/>
      <c r="Y288" s="145"/>
      <c r="Z288" s="145"/>
      <c r="AA288" s="145"/>
      <c r="AB288" s="145"/>
      <c r="AC288" s="145"/>
      <c r="AD288" s="145"/>
      <c r="AE288" s="145"/>
      <c r="AF288" s="145"/>
      <c r="AG288" s="145"/>
      <c r="AH288" s="145"/>
      <c r="AI288" s="145"/>
      <c r="AJ288" s="145"/>
      <c r="AK288" s="145"/>
      <c r="AL288" s="157"/>
      <c r="AM288" s="157"/>
      <c r="AN288" s="157"/>
      <c r="AO288" s="84"/>
      <c r="AP288" s="84"/>
      <c r="AQ288" s="84"/>
      <c r="AR288" s="129"/>
    </row>
    <row r="289" spans="3:44" collapsed="1" x14ac:dyDescent="0.2"/>
    <row r="290" spans="3:44" s="74" customFormat="1" collapsed="1" x14ac:dyDescent="0.2">
      <c r="C290" s="130" t="str">
        <f>'Company Data'!B45</f>
        <v>Total Current Assets</v>
      </c>
      <c r="G290" s="130"/>
      <c r="H290" s="130"/>
      <c r="I290" s="221">
        <f t="shared" ref="I290:J290" si="1036">SUM(I277:I288)-I281-I278-I283</f>
        <v>13747</v>
      </c>
      <c r="J290" s="221">
        <f t="shared" si="1036"/>
        <v>17490</v>
      </c>
      <c r="K290" s="221">
        <f>SUM(K277:K288)-K281-K278-K283</f>
        <v>21296</v>
      </c>
      <c r="L290" s="221">
        <f t="shared" ref="L290:AN290" si="1037">SUM(L277:L288)-L281-L278-L283</f>
        <v>24625</v>
      </c>
      <c r="M290" s="221">
        <f t="shared" si="1037"/>
        <v>31327</v>
      </c>
      <c r="N290" s="221">
        <f t="shared" si="1037"/>
        <v>36474</v>
      </c>
      <c r="O290" s="221">
        <f t="shared" si="1037"/>
        <v>47309.547863809581</v>
      </c>
      <c r="P290" s="221">
        <f t="shared" si="1037"/>
        <v>61518.783658728484</v>
      </c>
      <c r="Q290" s="221">
        <f t="shared" si="1037"/>
        <v>79516.909735616966</v>
      </c>
      <c r="R290" s="221">
        <f t="shared" si="1037"/>
        <v>101440.42384458038</v>
      </c>
      <c r="S290" s="221">
        <f t="shared" si="1037"/>
        <v>127937.28893897521</v>
      </c>
      <c r="T290" s="278"/>
      <c r="U290" s="221">
        <f t="shared" si="1037"/>
        <v>12154</v>
      </c>
      <c r="V290" s="221">
        <f t="shared" si="1037"/>
        <v>11793</v>
      </c>
      <c r="W290" s="221">
        <f t="shared" si="1037"/>
        <v>13118.000000000002</v>
      </c>
      <c r="X290" s="221">
        <f t="shared" si="1037"/>
        <v>21296</v>
      </c>
      <c r="Y290" s="221">
        <f t="shared" si="1037"/>
        <v>16313.000000000002</v>
      </c>
      <c r="Z290" s="221">
        <f t="shared" si="1037"/>
        <v>16285</v>
      </c>
      <c r="AA290" s="221">
        <f t="shared" si="1037"/>
        <v>17334.000000000004</v>
      </c>
      <c r="AB290" s="221">
        <f t="shared" si="1037"/>
        <v>24625</v>
      </c>
      <c r="AC290" s="221">
        <f t="shared" si="1037"/>
        <v>19327.000000000004</v>
      </c>
      <c r="AD290" s="221">
        <f t="shared" si="1037"/>
        <v>18754.999999999996</v>
      </c>
      <c r="AE290" s="221">
        <f t="shared" si="1037"/>
        <v>18572.000000000004</v>
      </c>
      <c r="AF290" s="221">
        <f t="shared" si="1037"/>
        <v>31327</v>
      </c>
      <c r="AG290" s="221">
        <f t="shared" si="1037"/>
        <v>25922</v>
      </c>
      <c r="AH290" s="221">
        <f t="shared" si="1037"/>
        <v>26391.000000000004</v>
      </c>
      <c r="AI290" s="221">
        <f t="shared" si="1037"/>
        <v>28849.000000000004</v>
      </c>
      <c r="AJ290" s="221">
        <f t="shared" si="1037"/>
        <v>36474</v>
      </c>
      <c r="AK290" s="221">
        <f t="shared" ref="AK290" si="1038">SUM(AK277:AK288)-AK281-AK278-AK283</f>
        <v>30513</v>
      </c>
      <c r="AL290" s="221">
        <f t="shared" si="1037"/>
        <v>32262.991107224891</v>
      </c>
      <c r="AM290" s="221">
        <f t="shared" si="1037"/>
        <v>35733.427654088358</v>
      </c>
      <c r="AN290" s="221">
        <f t="shared" si="1037"/>
        <v>47309.547863809581</v>
      </c>
      <c r="AO290" s="110"/>
      <c r="AP290" s="110"/>
      <c r="AQ290" s="110"/>
    </row>
    <row r="291" spans="3:44" s="111" customFormat="1" x14ac:dyDescent="0.2">
      <c r="I291" s="131"/>
      <c r="J291" s="131"/>
      <c r="K291" s="131"/>
      <c r="L291" s="131"/>
      <c r="M291" s="131"/>
      <c r="N291" s="131"/>
      <c r="O291" s="131"/>
      <c r="P291" s="131"/>
      <c r="Q291" s="131"/>
      <c r="R291" s="131"/>
      <c r="S291" s="131"/>
      <c r="T291" s="131"/>
      <c r="U291" s="131"/>
      <c r="V291" s="131"/>
      <c r="W291" s="131"/>
      <c r="X291" s="131"/>
      <c r="Y291" s="131"/>
      <c r="Z291" s="131"/>
      <c r="AA291" s="131"/>
      <c r="AB291" s="131"/>
      <c r="AC291" s="131"/>
      <c r="AD291" s="131"/>
      <c r="AE291" s="131"/>
      <c r="AF291" s="131"/>
      <c r="AG291" s="131"/>
      <c r="AH291" s="131"/>
      <c r="AI291" s="131"/>
      <c r="AJ291" s="131"/>
      <c r="AK291" s="131"/>
      <c r="AL291" s="131"/>
      <c r="AM291" s="131"/>
      <c r="AN291" s="131"/>
      <c r="AO291" s="131"/>
      <c r="AP291" s="131"/>
      <c r="AQ291" s="131"/>
    </row>
    <row r="292" spans="3:44" s="111" customFormat="1" x14ac:dyDescent="0.2">
      <c r="C292" s="127" t="str">
        <f>'Company Data'!B47</f>
        <v>Non Current Assets</v>
      </c>
      <c r="F292" s="126"/>
      <c r="G292" s="128"/>
      <c r="H292" s="128"/>
      <c r="I292" s="84"/>
      <c r="J292" s="84"/>
      <c r="K292" s="84"/>
      <c r="L292" s="84"/>
      <c r="M292" s="84"/>
      <c r="N292" s="84"/>
      <c r="O292" s="84"/>
      <c r="P292" s="84"/>
      <c r="Q292" s="84"/>
      <c r="R292" s="84"/>
      <c r="S292" s="84"/>
      <c r="T292" s="84"/>
      <c r="U292" s="84"/>
      <c r="V292" s="84"/>
      <c r="W292" s="84"/>
      <c r="X292" s="84"/>
      <c r="Y292" s="84"/>
      <c r="Z292" s="85"/>
      <c r="AA292" s="85"/>
      <c r="AB292" s="85"/>
      <c r="AC292" s="84"/>
      <c r="AD292" s="85"/>
      <c r="AE292" s="85"/>
      <c r="AF292" s="85"/>
      <c r="AG292" s="84"/>
      <c r="AH292" s="84"/>
      <c r="AI292" s="84"/>
      <c r="AJ292" s="84"/>
      <c r="AK292" s="84"/>
      <c r="AL292" s="84"/>
      <c r="AM292" s="84"/>
      <c r="AN292" s="84"/>
      <c r="AO292" s="84"/>
      <c r="AP292" s="84"/>
      <c r="AQ292" s="84"/>
    </row>
    <row r="293" spans="3:44" s="111" customFormat="1" x14ac:dyDescent="0.2">
      <c r="D293" s="130" t="str">
        <f>'Company Data'!B48</f>
        <v>Property and Equipment, net</v>
      </c>
      <c r="G293" s="130" t="s">
        <v>143</v>
      </c>
      <c r="H293" s="63"/>
      <c r="I293" s="337">
        <f>'Company Data'!U48</f>
        <v>2436</v>
      </c>
      <c r="J293" s="337">
        <f>'Company Data'!V48</f>
        <v>4445</v>
      </c>
      <c r="K293" s="337">
        <f>'Company Data'!W48</f>
        <v>7060</v>
      </c>
      <c r="L293" s="337">
        <f>'Company Data'!X48</f>
        <v>10949</v>
      </c>
      <c r="M293" s="337">
        <f>'Company Data'!Y48</f>
        <v>16967</v>
      </c>
      <c r="N293" s="337">
        <f>'Company Data'!Z48</f>
        <v>21838</v>
      </c>
      <c r="O293" s="169">
        <f>AN293</f>
        <v>25272.059851119811</v>
      </c>
      <c r="P293" s="187">
        <f>O293-P214-P185-P227</f>
        <v>29863.491023785515</v>
      </c>
      <c r="Q293" s="187">
        <f>P293-Q214-Q185-Q227</f>
        <v>35835.908083488721</v>
      </c>
      <c r="R293" s="187">
        <f>Q293-R214-R185-R227</f>
        <v>42886.646793073975</v>
      </c>
      <c r="S293" s="187">
        <f>R293-S214-S185-S227</f>
        <v>50713.867130046296</v>
      </c>
      <c r="T293" s="158"/>
      <c r="U293" s="337">
        <f>'Company Data'!C48</f>
        <v>4653</v>
      </c>
      <c r="V293" s="337">
        <f>'Company Data'!D48</f>
        <v>5097</v>
      </c>
      <c r="W293" s="337">
        <f>'Company Data'!E48</f>
        <v>5662</v>
      </c>
      <c r="X293" s="337">
        <f>'Company Data'!F48</f>
        <v>7060</v>
      </c>
      <c r="Y293" s="337">
        <f>'Company Data'!G48</f>
        <v>7797</v>
      </c>
      <c r="Z293" s="337">
        <f>'Company Data'!H48</f>
        <v>8917</v>
      </c>
      <c r="AA293" s="337">
        <f>'Company Data'!I48</f>
        <v>10119</v>
      </c>
      <c r="AB293" s="337">
        <f>'Company Data'!J48</f>
        <v>10949</v>
      </c>
      <c r="AC293" s="337">
        <f>'Company Data'!K48</f>
        <v>12267</v>
      </c>
      <c r="AD293" s="337">
        <f>'Company Data'!L48</f>
        <v>14089</v>
      </c>
      <c r="AE293" s="337">
        <f>'Company Data'!M48</f>
        <v>15702</v>
      </c>
      <c r="AF293" s="337">
        <f>'Company Data'!N48</f>
        <v>16967</v>
      </c>
      <c r="AG293" s="337">
        <f>'Company Data'!O48</f>
        <v>17736</v>
      </c>
      <c r="AH293" s="337">
        <f>'Company Data'!P48</f>
        <v>19479</v>
      </c>
      <c r="AI293" s="337">
        <f>'Company Data'!Q48</f>
        <v>20636</v>
      </c>
      <c r="AJ293" s="337">
        <f>'Company Data'!R48</f>
        <v>21838</v>
      </c>
      <c r="AK293" s="337">
        <f>'Company Data'!S48</f>
        <v>23308</v>
      </c>
      <c r="AL293" s="187">
        <f>AK293-AL214-AL185-AL227</f>
        <v>23923.158413716261</v>
      </c>
      <c r="AM293" s="187">
        <f>AL293-AM214-AM185-AM227</f>
        <v>24550.720504638641</v>
      </c>
      <c r="AN293" s="187">
        <f>AM293-AN214-AN185-AN227</f>
        <v>25272.059851119811</v>
      </c>
      <c r="AO293" s="84"/>
      <c r="AP293" s="84"/>
      <c r="AQ293" s="84"/>
      <c r="AR293" s="129"/>
    </row>
    <row r="294" spans="3:44" x14ac:dyDescent="0.2">
      <c r="E294" s="138" t="s">
        <v>91</v>
      </c>
      <c r="I294" s="287">
        <f t="shared" ref="I294:S294" si="1039">I293/I79</f>
        <v>7.1219740381241958E-2</v>
      </c>
      <c r="J294" s="287">
        <f t="shared" si="1039"/>
        <v>9.2455852070636682E-2</v>
      </c>
      <c r="K294" s="287">
        <f t="shared" si="1039"/>
        <v>0.1155615209598481</v>
      </c>
      <c r="L294" s="287">
        <f t="shared" si="1039"/>
        <v>0.14706119378928706</v>
      </c>
      <c r="M294" s="287">
        <f t="shared" si="1039"/>
        <v>0.19066615723468333</v>
      </c>
      <c r="N294" s="287">
        <f t="shared" si="1039"/>
        <v>0.20408201409266771</v>
      </c>
      <c r="O294" s="287">
        <f t="shared" si="1039"/>
        <v>0.18681404389960579</v>
      </c>
      <c r="P294" s="287">
        <f t="shared" si="1039"/>
        <v>0.17687346490003597</v>
      </c>
      <c r="Q294" s="287">
        <f t="shared" si="1039"/>
        <v>0.17277924435691866</v>
      </c>
      <c r="R294" s="287">
        <f t="shared" si="1039"/>
        <v>0.17121476100126082</v>
      </c>
      <c r="S294" s="287">
        <f t="shared" si="1039"/>
        <v>0.17042633595710124</v>
      </c>
      <c r="T294" s="273"/>
      <c r="U294" s="287">
        <f t="shared" ref="U294:AN294" si="1040">U293/U79</f>
        <v>0.35290102389078498</v>
      </c>
      <c r="V294" s="287">
        <f t="shared" si="1040"/>
        <v>0.39714820009350166</v>
      </c>
      <c r="W294" s="287">
        <f t="shared" si="1040"/>
        <v>0.41011154570476605</v>
      </c>
      <c r="X294" s="287">
        <f t="shared" si="1040"/>
        <v>0.33195410946022191</v>
      </c>
      <c r="Y294" s="287">
        <f t="shared" si="1040"/>
        <v>0.48518979464841322</v>
      </c>
      <c r="Z294" s="287">
        <f t="shared" si="1040"/>
        <v>0.56781711665817625</v>
      </c>
      <c r="AA294" s="287">
        <f t="shared" si="1040"/>
        <v>0.59203135970044463</v>
      </c>
      <c r="AB294" s="287">
        <f t="shared" si="1040"/>
        <v>0.42791261187321689</v>
      </c>
      <c r="AC294" s="287">
        <f t="shared" si="1040"/>
        <v>0.62139709234587914</v>
      </c>
      <c r="AD294" s="287">
        <f t="shared" si="1040"/>
        <v>0.72849017580144781</v>
      </c>
      <c r="AE294" s="287">
        <f t="shared" si="1040"/>
        <v>0.76301083628942123</v>
      </c>
      <c r="AF294" s="287">
        <f t="shared" si="1040"/>
        <v>0.57852564102564108</v>
      </c>
      <c r="AG294" s="287">
        <f t="shared" si="1040"/>
        <v>0.78073689307567018</v>
      </c>
      <c r="AH294" s="287">
        <f t="shared" si="1040"/>
        <v>0.84015527280569335</v>
      </c>
      <c r="AI294" s="287">
        <f t="shared" si="1040"/>
        <v>0.81378657622840922</v>
      </c>
      <c r="AJ294" s="287">
        <f t="shared" si="1040"/>
        <v>0.61090441155901198</v>
      </c>
      <c r="AK294" s="287">
        <f t="shared" si="1040"/>
        <v>0.80019225487503431</v>
      </c>
      <c r="AL294" s="329">
        <f t="shared" si="1040"/>
        <v>0.80662384061787895</v>
      </c>
      <c r="AM294" s="329">
        <f t="shared" si="1040"/>
        <v>0.76344597458095953</v>
      </c>
      <c r="AN294" s="329">
        <f t="shared" si="1040"/>
        <v>0.57002405569045711</v>
      </c>
    </row>
    <row r="295" spans="3:44" s="74" customFormat="1" x14ac:dyDescent="0.2">
      <c r="D295" s="130" t="str">
        <f>'Company Data'!B49</f>
        <v>Goodwill</v>
      </c>
      <c r="G295" s="63"/>
      <c r="H295" s="63"/>
      <c r="I295" s="337">
        <f>'Company Data'!U49</f>
        <v>1349</v>
      </c>
      <c r="J295" s="337">
        <f>'Company Data'!V49</f>
        <v>1955</v>
      </c>
      <c r="K295" s="337">
        <f>'Company Data'!W49</f>
        <v>2552</v>
      </c>
      <c r="L295" s="337">
        <f>'Company Data'!X49</f>
        <v>2655</v>
      </c>
      <c r="M295" s="337">
        <f>'Company Data'!Y49</f>
        <v>3319</v>
      </c>
      <c r="N295" s="337">
        <f>'Company Data'!Z49</f>
        <v>3759</v>
      </c>
      <c r="O295" s="169">
        <f>AN295</f>
        <v>3785</v>
      </c>
      <c r="P295" s="169">
        <f t="shared" ref="P295:S295" si="1041">O295</f>
        <v>3785</v>
      </c>
      <c r="Q295" s="169">
        <f t="shared" si="1041"/>
        <v>3785</v>
      </c>
      <c r="R295" s="169">
        <f t="shared" si="1041"/>
        <v>3785</v>
      </c>
      <c r="S295" s="169">
        <f t="shared" si="1041"/>
        <v>3785</v>
      </c>
      <c r="T295" s="158"/>
      <c r="U295" s="337">
        <f>'Company Data'!C49</f>
        <v>1970</v>
      </c>
      <c r="V295" s="337">
        <f>'Company Data'!D49</f>
        <v>2521</v>
      </c>
      <c r="W295" s="337">
        <f>'Company Data'!E49</f>
        <v>2540</v>
      </c>
      <c r="X295" s="337">
        <f>'Company Data'!F49</f>
        <v>2552</v>
      </c>
      <c r="Y295" s="337">
        <f>'Company Data'!G49</f>
        <v>2535</v>
      </c>
      <c r="Z295" s="337">
        <f>'Company Data'!H49</f>
        <v>2614</v>
      </c>
      <c r="AA295" s="337">
        <f>'Company Data'!I49</f>
        <v>2635</v>
      </c>
      <c r="AB295" s="337">
        <f>'Company Data'!J49</f>
        <v>2655</v>
      </c>
      <c r="AC295" s="337">
        <f>'Company Data'!K49</f>
        <v>2653</v>
      </c>
      <c r="AD295" s="337">
        <f>'Company Data'!L49</f>
        <v>2677</v>
      </c>
      <c r="AE295" s="337">
        <f>'Company Data'!M49</f>
        <v>3332</v>
      </c>
      <c r="AF295" s="337">
        <f>'Company Data'!N49</f>
        <v>3319</v>
      </c>
      <c r="AG295" s="337">
        <f>'Company Data'!O49</f>
        <v>3491</v>
      </c>
      <c r="AH295" s="337">
        <f>'Company Data'!P49</f>
        <v>3523</v>
      </c>
      <c r="AI295" s="337">
        <f>'Company Data'!Q49</f>
        <v>3529</v>
      </c>
      <c r="AJ295" s="337">
        <f>'Company Data'!R49</f>
        <v>3759</v>
      </c>
      <c r="AK295" s="337">
        <f>'Company Data'!S49</f>
        <v>3785</v>
      </c>
      <c r="AL295" s="169">
        <f>AK295</f>
        <v>3785</v>
      </c>
      <c r="AM295" s="169">
        <f>AL295</f>
        <v>3785</v>
      </c>
      <c r="AN295" s="169">
        <f>AM295</f>
        <v>3785</v>
      </c>
      <c r="AO295" s="110"/>
      <c r="AP295" s="110"/>
      <c r="AQ295" s="110"/>
    </row>
    <row r="296" spans="3:44" s="74" customFormat="1" x14ac:dyDescent="0.2">
      <c r="D296" s="130" t="str">
        <f>'Company Data'!B50</f>
        <v>Other Assets</v>
      </c>
      <c r="G296" s="63"/>
      <c r="H296" s="63"/>
      <c r="I296" s="337">
        <f>'Company Data'!U50</f>
        <v>1265</v>
      </c>
      <c r="J296" s="337">
        <f>'Company Data'!V50</f>
        <v>1388</v>
      </c>
      <c r="K296" s="337">
        <f>'Company Data'!W50</f>
        <v>1647</v>
      </c>
      <c r="L296" s="337">
        <f>'Company Data'!X50</f>
        <v>1930</v>
      </c>
      <c r="M296" s="337">
        <f>'Company Data'!Y50</f>
        <v>2892</v>
      </c>
      <c r="N296" s="337">
        <f>'Company Data'!Z50</f>
        <v>3373</v>
      </c>
      <c r="O296" s="169">
        <f>AN296</f>
        <v>4277.590150862331</v>
      </c>
      <c r="P296" s="187">
        <f>P297*P79</f>
        <v>5071.8867551017802</v>
      </c>
      <c r="Q296" s="187">
        <f>Q297*Q79</f>
        <v>6230.4368751967768</v>
      </c>
      <c r="R296" s="187">
        <f>R297*R79</f>
        <v>7524.41159004772</v>
      </c>
      <c r="S296" s="187">
        <f>S297*S79</f>
        <v>8938.8505836705554</v>
      </c>
      <c r="T296" s="158"/>
      <c r="U296" s="337">
        <f>'Company Data'!C50</f>
        <v>1562</v>
      </c>
      <c r="V296" s="337">
        <f>'Company Data'!D50</f>
        <v>1611</v>
      </c>
      <c r="W296" s="337">
        <f>'Company Data'!E50</f>
        <v>1514</v>
      </c>
      <c r="X296" s="337">
        <f>'Company Data'!F50</f>
        <v>1647</v>
      </c>
      <c r="Y296" s="337">
        <f>'Company Data'!G50</f>
        <v>1732</v>
      </c>
      <c r="Z296" s="337">
        <f>'Company Data'!H50</f>
        <v>1807</v>
      </c>
      <c r="AA296" s="337">
        <f>'Company Data'!I50</f>
        <v>1773</v>
      </c>
      <c r="AB296" s="337">
        <f>'Company Data'!J50</f>
        <v>1930</v>
      </c>
      <c r="AC296" s="337">
        <f>'Company Data'!K50</f>
        <v>2117</v>
      </c>
      <c r="AD296" s="337">
        <f>'Company Data'!L50</f>
        <v>2377</v>
      </c>
      <c r="AE296" s="337">
        <f>'Company Data'!M50</f>
        <v>2813</v>
      </c>
      <c r="AF296" s="337">
        <f>'Company Data'!N50</f>
        <v>2892</v>
      </c>
      <c r="AG296" s="337">
        <f>'Company Data'!O50</f>
        <v>2926</v>
      </c>
      <c r="AH296" s="337">
        <f>'Company Data'!P50</f>
        <v>3047</v>
      </c>
      <c r="AI296" s="337">
        <f>'Company Data'!Q50</f>
        <v>3216</v>
      </c>
      <c r="AJ296" s="337">
        <f>'Company Data'!R50</f>
        <v>3373</v>
      </c>
      <c r="AK296" s="337">
        <f>'Company Data'!S50</f>
        <v>3522</v>
      </c>
      <c r="AL296" s="187">
        <f>AL297*AL79</f>
        <v>3771.4647931813174</v>
      </c>
      <c r="AM296" s="187">
        <f>AM297*AM79</f>
        <v>4237.0536188620435</v>
      </c>
      <c r="AN296" s="187">
        <f>AN297*AN79</f>
        <v>4277.590150862331</v>
      </c>
      <c r="AO296" s="110"/>
      <c r="AP296" s="110"/>
      <c r="AQ296" s="110"/>
    </row>
    <row r="297" spans="3:44" x14ac:dyDescent="0.2">
      <c r="E297" s="138" t="s">
        <v>91</v>
      </c>
      <c r="I297" s="287">
        <f t="shared" ref="I297:O297" si="1042">I296/I79</f>
        <v>3.6983978482048881E-2</v>
      </c>
      <c r="J297" s="287">
        <f t="shared" si="1042"/>
        <v>2.8870353807433909E-2</v>
      </c>
      <c r="K297" s="287">
        <f t="shared" si="1042"/>
        <v>2.6958898728168531E-2</v>
      </c>
      <c r="L297" s="287">
        <f t="shared" si="1042"/>
        <v>2.5922742169451458E-2</v>
      </c>
      <c r="M297" s="287">
        <f t="shared" si="1042"/>
        <v>3.2498763878275723E-2</v>
      </c>
      <c r="N297" s="287">
        <f t="shared" si="1042"/>
        <v>3.1521596919798889E-2</v>
      </c>
      <c r="O297" s="287">
        <f t="shared" si="1042"/>
        <v>3.1620450368326745E-2</v>
      </c>
      <c r="P297" s="329">
        <f>O297*0.95</f>
        <v>3.0039427849910406E-2</v>
      </c>
      <c r="Q297" s="329">
        <f t="shared" ref="Q297:S297" si="1043">P297</f>
        <v>3.0039427849910406E-2</v>
      </c>
      <c r="R297" s="329">
        <f t="shared" si="1043"/>
        <v>3.0039427849910406E-2</v>
      </c>
      <c r="S297" s="329">
        <f t="shared" si="1043"/>
        <v>3.0039427849910406E-2</v>
      </c>
      <c r="T297" s="273"/>
      <c r="U297" s="287">
        <f t="shared" ref="U297:AK297" si="1044">U296/U79</f>
        <v>0.11846795601061813</v>
      </c>
      <c r="V297" s="287">
        <f t="shared" si="1044"/>
        <v>0.12552594670406733</v>
      </c>
      <c r="W297" s="287">
        <f t="shared" si="1044"/>
        <v>0.10966246559466898</v>
      </c>
      <c r="X297" s="287">
        <f t="shared" si="1044"/>
        <v>7.7440285875493703E-2</v>
      </c>
      <c r="Y297" s="287">
        <f t="shared" si="1044"/>
        <v>0.10777846919726197</v>
      </c>
      <c r="Z297" s="287">
        <f t="shared" si="1044"/>
        <v>0.11506622516556292</v>
      </c>
      <c r="AA297" s="287">
        <f t="shared" si="1044"/>
        <v>0.10373274046337468</v>
      </c>
      <c r="AB297" s="287">
        <f t="shared" si="1044"/>
        <v>7.5428928752882318E-2</v>
      </c>
      <c r="AC297" s="287">
        <f t="shared" si="1044"/>
        <v>0.1072387417050808</v>
      </c>
      <c r="AD297" s="287">
        <f t="shared" si="1044"/>
        <v>0.12290589451913134</v>
      </c>
      <c r="AE297" s="287">
        <f t="shared" si="1044"/>
        <v>0.13669274503134263</v>
      </c>
      <c r="AF297" s="287">
        <f t="shared" si="1044"/>
        <v>9.8608837970540097E-2</v>
      </c>
      <c r="AG297" s="287">
        <f t="shared" si="1044"/>
        <v>0.12880221860280847</v>
      </c>
      <c r="AH297" s="287">
        <f t="shared" si="1044"/>
        <v>0.13142117748544319</v>
      </c>
      <c r="AI297" s="287">
        <f t="shared" si="1044"/>
        <v>0.12682388200962222</v>
      </c>
      <c r="AJ297" s="287">
        <f t="shared" si="1044"/>
        <v>9.4357568467283964E-2</v>
      </c>
      <c r="AK297" s="287">
        <f t="shared" si="1044"/>
        <v>0.12091458390552046</v>
      </c>
      <c r="AL297" s="329">
        <f>AVERAGE(AD297,AH297)</f>
        <v>0.12716353600228725</v>
      </c>
      <c r="AM297" s="329">
        <f>AVERAGE(AE297,AI297)</f>
        <v>0.13175831352048242</v>
      </c>
      <c r="AN297" s="329">
        <f>AVERAGE(AF297,AJ297)</f>
        <v>9.6483203218912031E-2</v>
      </c>
    </row>
    <row r="298" spans="3:44" s="74" customFormat="1" hidden="1" outlineLevel="1" x14ac:dyDescent="0.2">
      <c r="D298" s="130"/>
      <c r="G298" s="63"/>
      <c r="H298" s="63"/>
      <c r="I298" s="145"/>
      <c r="J298" s="145"/>
      <c r="K298" s="145"/>
      <c r="L298" s="145"/>
      <c r="M298" s="145"/>
      <c r="N298" s="145"/>
      <c r="O298" s="159"/>
      <c r="P298" s="159"/>
      <c r="Q298" s="159"/>
      <c r="R298" s="160"/>
      <c r="S298" s="159"/>
      <c r="T298" s="158"/>
      <c r="U298" s="145"/>
      <c r="V298" s="145"/>
      <c r="W298" s="145"/>
      <c r="X298" s="145"/>
      <c r="Y298" s="145"/>
      <c r="Z298" s="145"/>
      <c r="AA298" s="145"/>
      <c r="AB298" s="145"/>
      <c r="AC298" s="145"/>
      <c r="AD298" s="145"/>
      <c r="AE298" s="145"/>
      <c r="AF298" s="145"/>
      <c r="AG298" s="145"/>
      <c r="AH298" s="145"/>
      <c r="AI298" s="145"/>
      <c r="AJ298" s="145"/>
      <c r="AK298" s="145"/>
      <c r="AL298" s="159"/>
      <c r="AM298" s="159"/>
      <c r="AN298" s="159"/>
      <c r="AO298" s="110"/>
      <c r="AP298" s="110"/>
      <c r="AQ298" s="110"/>
    </row>
    <row r="299" spans="3:44" s="74" customFormat="1" hidden="1" outlineLevel="1" x14ac:dyDescent="0.2">
      <c r="D299" s="130"/>
      <c r="G299" s="63"/>
      <c r="H299" s="63"/>
      <c r="I299" s="145"/>
      <c r="J299" s="145"/>
      <c r="K299" s="145"/>
      <c r="L299" s="145"/>
      <c r="M299" s="145"/>
      <c r="N299" s="145"/>
      <c r="O299" s="159"/>
      <c r="P299" s="159"/>
      <c r="Q299" s="159"/>
      <c r="R299" s="160"/>
      <c r="S299" s="159"/>
      <c r="T299" s="158"/>
      <c r="U299" s="145"/>
      <c r="V299" s="145"/>
      <c r="W299" s="145"/>
      <c r="X299" s="145"/>
      <c r="Y299" s="145"/>
      <c r="Z299" s="145"/>
      <c r="AA299" s="145"/>
      <c r="AB299" s="145"/>
      <c r="AC299" s="145"/>
      <c r="AD299" s="145"/>
      <c r="AE299" s="145"/>
      <c r="AF299" s="145"/>
      <c r="AG299" s="145"/>
      <c r="AH299" s="145"/>
      <c r="AI299" s="145"/>
      <c r="AJ299" s="145"/>
      <c r="AK299" s="145"/>
      <c r="AL299" s="159"/>
      <c r="AM299" s="159"/>
      <c r="AN299" s="159"/>
      <c r="AO299" s="110"/>
      <c r="AP299" s="110"/>
      <c r="AQ299" s="110"/>
    </row>
    <row r="300" spans="3:44" s="74" customFormat="1" hidden="1" outlineLevel="1" x14ac:dyDescent="0.2">
      <c r="D300" s="130"/>
      <c r="G300" s="63"/>
      <c r="H300" s="63"/>
      <c r="I300" s="145"/>
      <c r="J300" s="145"/>
      <c r="K300" s="145"/>
      <c r="L300" s="145"/>
      <c r="M300" s="145"/>
      <c r="N300" s="145"/>
      <c r="O300" s="159"/>
      <c r="P300" s="159"/>
      <c r="Q300" s="159"/>
      <c r="R300" s="160"/>
      <c r="S300" s="159"/>
      <c r="T300" s="158"/>
      <c r="U300" s="145"/>
      <c r="V300" s="145"/>
      <c r="W300" s="145"/>
      <c r="X300" s="145"/>
      <c r="Y300" s="145"/>
      <c r="Z300" s="145"/>
      <c r="AA300" s="145"/>
      <c r="AB300" s="145"/>
      <c r="AC300" s="145"/>
      <c r="AD300" s="145"/>
      <c r="AE300" s="145"/>
      <c r="AF300" s="145"/>
      <c r="AG300" s="145"/>
      <c r="AH300" s="145"/>
      <c r="AI300" s="145"/>
      <c r="AJ300" s="145"/>
      <c r="AK300" s="145"/>
      <c r="AL300" s="159"/>
      <c r="AM300" s="159"/>
      <c r="AN300" s="159"/>
      <c r="AO300" s="110"/>
      <c r="AP300" s="110"/>
      <c r="AQ300" s="110"/>
    </row>
    <row r="301" spans="3:44" s="74" customFormat="1" hidden="1" outlineLevel="1" x14ac:dyDescent="0.2">
      <c r="D301" s="130"/>
      <c r="G301" s="63"/>
      <c r="H301" s="63"/>
      <c r="I301" s="145"/>
      <c r="J301" s="145"/>
      <c r="K301" s="145"/>
      <c r="L301" s="145"/>
      <c r="M301" s="145"/>
      <c r="N301" s="145"/>
      <c r="O301" s="159"/>
      <c r="P301" s="159"/>
      <c r="Q301" s="159"/>
      <c r="R301" s="160"/>
      <c r="S301" s="159"/>
      <c r="T301" s="158"/>
      <c r="U301" s="145"/>
      <c r="V301" s="145"/>
      <c r="W301" s="145"/>
      <c r="X301" s="145"/>
      <c r="Y301" s="145"/>
      <c r="Z301" s="145"/>
      <c r="AA301" s="145"/>
      <c r="AB301" s="145"/>
      <c r="AC301" s="145"/>
      <c r="AD301" s="145"/>
      <c r="AE301" s="145"/>
      <c r="AF301" s="145"/>
      <c r="AG301" s="145"/>
      <c r="AH301" s="145"/>
      <c r="AI301" s="145"/>
      <c r="AJ301" s="145"/>
      <c r="AK301" s="145"/>
      <c r="AL301" s="159"/>
      <c r="AM301" s="159"/>
      <c r="AN301" s="159"/>
      <c r="AO301" s="110"/>
      <c r="AP301" s="110"/>
      <c r="AQ301" s="110"/>
    </row>
    <row r="302" spans="3:44" s="74" customFormat="1" hidden="1" outlineLevel="1" x14ac:dyDescent="0.2">
      <c r="D302" s="130"/>
      <c r="G302" s="63"/>
      <c r="H302" s="63"/>
      <c r="I302" s="145"/>
      <c r="J302" s="145"/>
      <c r="K302" s="145"/>
      <c r="L302" s="145"/>
      <c r="M302" s="145"/>
      <c r="N302" s="145"/>
      <c r="O302" s="159"/>
      <c r="P302" s="159"/>
      <c r="Q302" s="159"/>
      <c r="R302" s="160"/>
      <c r="S302" s="159"/>
      <c r="T302" s="158"/>
      <c r="U302" s="145"/>
      <c r="V302" s="145"/>
      <c r="W302" s="145"/>
      <c r="X302" s="145"/>
      <c r="Y302" s="145"/>
      <c r="Z302" s="145"/>
      <c r="AA302" s="145"/>
      <c r="AB302" s="145"/>
      <c r="AC302" s="145"/>
      <c r="AD302" s="145"/>
      <c r="AE302" s="145"/>
      <c r="AF302" s="145"/>
      <c r="AG302" s="145"/>
      <c r="AH302" s="145"/>
      <c r="AI302" s="145"/>
      <c r="AJ302" s="145"/>
      <c r="AK302" s="145"/>
      <c r="AL302" s="159"/>
      <c r="AM302" s="159"/>
      <c r="AN302" s="159"/>
      <c r="AO302" s="110"/>
      <c r="AP302" s="110"/>
      <c r="AQ302" s="110"/>
    </row>
    <row r="303" spans="3:44" s="74" customFormat="1" hidden="1" outlineLevel="1" x14ac:dyDescent="0.2">
      <c r="D303" s="130"/>
      <c r="G303" s="63"/>
      <c r="H303" s="63"/>
      <c r="I303" s="145"/>
      <c r="J303" s="145"/>
      <c r="K303" s="145"/>
      <c r="L303" s="145"/>
      <c r="M303" s="145"/>
      <c r="N303" s="145"/>
      <c r="O303" s="159"/>
      <c r="P303" s="159"/>
      <c r="Q303" s="159"/>
      <c r="R303" s="160"/>
      <c r="S303" s="159"/>
      <c r="T303" s="158"/>
      <c r="U303" s="145"/>
      <c r="V303" s="145"/>
      <c r="W303" s="145"/>
      <c r="X303" s="145"/>
      <c r="Y303" s="145"/>
      <c r="Z303" s="145"/>
      <c r="AA303" s="145"/>
      <c r="AB303" s="145"/>
      <c r="AC303" s="145"/>
      <c r="AD303" s="145"/>
      <c r="AE303" s="145"/>
      <c r="AF303" s="145"/>
      <c r="AG303" s="145"/>
      <c r="AH303" s="145"/>
      <c r="AI303" s="145"/>
      <c r="AJ303" s="145"/>
      <c r="AK303" s="145"/>
      <c r="AL303" s="159"/>
      <c r="AM303" s="159"/>
      <c r="AN303" s="159"/>
      <c r="AO303" s="110"/>
      <c r="AP303" s="110"/>
      <c r="AQ303" s="110"/>
    </row>
    <row r="304" spans="3:44" s="74" customFormat="1" hidden="1" outlineLevel="1" x14ac:dyDescent="0.2">
      <c r="D304" s="130"/>
      <c r="G304" s="63"/>
      <c r="H304" s="63"/>
      <c r="I304" s="145"/>
      <c r="J304" s="145"/>
      <c r="K304" s="145"/>
      <c r="L304" s="145"/>
      <c r="M304" s="145"/>
      <c r="N304" s="145"/>
      <c r="O304" s="159"/>
      <c r="P304" s="159"/>
      <c r="Q304" s="159"/>
      <c r="R304" s="160"/>
      <c r="S304" s="159"/>
      <c r="T304" s="158"/>
      <c r="U304" s="145"/>
      <c r="V304" s="145"/>
      <c r="W304" s="145"/>
      <c r="X304" s="145"/>
      <c r="Y304" s="145"/>
      <c r="Z304" s="145"/>
      <c r="AA304" s="145"/>
      <c r="AB304" s="145"/>
      <c r="AC304" s="145"/>
      <c r="AD304" s="145"/>
      <c r="AE304" s="145"/>
      <c r="AF304" s="145"/>
      <c r="AG304" s="145"/>
      <c r="AH304" s="145"/>
      <c r="AI304" s="145"/>
      <c r="AJ304" s="145"/>
      <c r="AK304" s="145"/>
      <c r="AL304" s="159"/>
      <c r="AM304" s="159"/>
      <c r="AN304" s="159"/>
      <c r="AO304" s="110"/>
      <c r="AP304" s="110"/>
      <c r="AQ304" s="110"/>
    </row>
    <row r="305" spans="1:44" s="74" customFormat="1" hidden="1" outlineLevel="1" x14ac:dyDescent="0.2">
      <c r="D305" s="130"/>
      <c r="G305" s="63"/>
      <c r="H305" s="63"/>
      <c r="I305" s="145"/>
      <c r="J305" s="145"/>
      <c r="K305" s="145"/>
      <c r="L305" s="145"/>
      <c r="M305" s="145"/>
      <c r="N305" s="145"/>
      <c r="O305" s="159"/>
      <c r="P305" s="159"/>
      <c r="Q305" s="159"/>
      <c r="R305" s="160"/>
      <c r="S305" s="159"/>
      <c r="T305" s="158"/>
      <c r="U305" s="145"/>
      <c r="V305" s="145"/>
      <c r="W305" s="145"/>
      <c r="X305" s="145"/>
      <c r="Y305" s="145"/>
      <c r="Z305" s="145"/>
      <c r="AA305" s="145"/>
      <c r="AB305" s="145"/>
      <c r="AC305" s="145"/>
      <c r="AD305" s="145"/>
      <c r="AE305" s="145"/>
      <c r="AF305" s="145"/>
      <c r="AG305" s="145"/>
      <c r="AH305" s="145"/>
      <c r="AI305" s="145"/>
      <c r="AJ305" s="145"/>
      <c r="AK305" s="145"/>
      <c r="AL305" s="159"/>
      <c r="AM305" s="159"/>
      <c r="AN305" s="159"/>
      <c r="AO305" s="110"/>
      <c r="AP305" s="110"/>
      <c r="AQ305" s="110"/>
    </row>
    <row r="306" spans="1:44" s="111" customFormat="1" collapsed="1" x14ac:dyDescent="0.2">
      <c r="B306" s="127" t="str">
        <f>'Company Data'!B51</f>
        <v>Total Assets</v>
      </c>
      <c r="C306" s="127"/>
      <c r="D306" s="127"/>
      <c r="G306" s="128"/>
      <c r="H306" s="128"/>
      <c r="I306" s="221">
        <f>SUM(I293:I305)+I290-I294-I297</f>
        <v>18796.999999999996</v>
      </c>
      <c r="J306" s="221">
        <f t="shared" ref="J306:S306" si="1045">SUM(J293:J305)+J290-J294-J297</f>
        <v>25278</v>
      </c>
      <c r="K306" s="221">
        <f t="shared" si="1045"/>
        <v>32555</v>
      </c>
      <c r="L306" s="221">
        <f t="shared" si="1045"/>
        <v>40159</v>
      </c>
      <c r="M306" s="221">
        <f t="shared" si="1045"/>
        <v>54505</v>
      </c>
      <c r="N306" s="221">
        <f t="shared" si="1045"/>
        <v>65444.000000000007</v>
      </c>
      <c r="O306" s="221">
        <f t="shared" si="1045"/>
        <v>80644.197865791721</v>
      </c>
      <c r="P306" s="221">
        <f t="shared" si="1045"/>
        <v>100239.1614376158</v>
      </c>
      <c r="Q306" s="221">
        <f t="shared" si="1045"/>
        <v>125368.25469430248</v>
      </c>
      <c r="R306" s="221">
        <f t="shared" si="1045"/>
        <v>155636.48222770207</v>
      </c>
      <c r="S306" s="221">
        <f t="shared" si="1045"/>
        <v>191375.00665269204</v>
      </c>
      <c r="T306" s="276"/>
      <c r="U306" s="221">
        <f t="shared" ref="U306" si="1046">SUM(U293:U305)+U290-U294-U297</f>
        <v>20339.000000000004</v>
      </c>
      <c r="V306" s="221">
        <f t="shared" ref="V306" si="1047">SUM(V293:V305)+V290-V294-V297</f>
        <v>21022</v>
      </c>
      <c r="W306" s="221">
        <f t="shared" ref="W306" si="1048">SUM(W293:W305)+W290-W294-W297</f>
        <v>22834</v>
      </c>
      <c r="X306" s="221">
        <f t="shared" ref="X306" si="1049">SUM(X293:X305)+X290-X294-X297</f>
        <v>32554.999999999996</v>
      </c>
      <c r="Y306" s="221">
        <f t="shared" ref="Y306" si="1050">SUM(Y293:Y305)+Y290-Y294-Y297</f>
        <v>28376.999999999996</v>
      </c>
      <c r="Z306" s="221">
        <f t="shared" ref="Z306" si="1051">SUM(Z293:Z305)+Z290-Z294-Z297</f>
        <v>29623.000000000004</v>
      </c>
      <c r="AA306" s="221">
        <f t="shared" ref="AA306" si="1052">SUM(AA293:AA305)+AA290-AA294-AA297</f>
        <v>31861</v>
      </c>
      <c r="AB306" s="221">
        <f t="shared" ref="AB306" si="1053">SUM(AB293:AB305)+AB290-AB294-AB297</f>
        <v>40159</v>
      </c>
      <c r="AC306" s="221">
        <f t="shared" ref="AC306" si="1054">SUM(AC293:AC305)+AC290-AC294-AC297</f>
        <v>36363.999999999993</v>
      </c>
      <c r="AD306" s="221">
        <f t="shared" ref="AD306" si="1055">SUM(AD293:AD305)+AD290-AD294-AD297</f>
        <v>37897.999999999993</v>
      </c>
      <c r="AE306" s="221">
        <f t="shared" ref="AE306" si="1056">SUM(AE293:AE305)+AE290-AE294-AE297</f>
        <v>40419.000000000007</v>
      </c>
      <c r="AF306" s="221">
        <f t="shared" ref="AF306" si="1057">SUM(AF293:AF305)+AF290-AF294-AF297</f>
        <v>54505.000000000007</v>
      </c>
      <c r="AG306" s="221">
        <f t="shared" ref="AG306" si="1058">SUM(AG293:AG305)+AG290-AG294-AG297</f>
        <v>50075</v>
      </c>
      <c r="AH306" s="221">
        <f t="shared" ref="AH306" si="1059">SUM(AH293:AH305)+AH290-AH294-AH297</f>
        <v>52440</v>
      </c>
      <c r="AI306" s="221">
        <f t="shared" ref="AI306" si="1060">SUM(AI293:AI305)+AI290-AI294-AI297</f>
        <v>56230.000000000007</v>
      </c>
      <c r="AJ306" s="221">
        <f t="shared" ref="AJ306:AK306" si="1061">SUM(AJ293:AJ305)+AJ290-AJ294-AJ297</f>
        <v>65444</v>
      </c>
      <c r="AK306" s="221">
        <f t="shared" si="1061"/>
        <v>61128.000000000007</v>
      </c>
      <c r="AL306" s="221">
        <f t="shared" ref="AL306" si="1062">SUM(AL293:AL305)+AL290-AL294-AL297</f>
        <v>63742.614314122467</v>
      </c>
      <c r="AM306" s="221">
        <f t="shared" ref="AM306" si="1063">SUM(AM293:AM305)+AM290-AM294-AM297</f>
        <v>68306.201777589042</v>
      </c>
      <c r="AN306" s="221">
        <f t="shared" ref="AN306" si="1064">SUM(AN293:AN305)+AN290-AN294-AN297</f>
        <v>80644.197865791721</v>
      </c>
      <c r="AO306" s="84"/>
      <c r="AP306" s="84"/>
      <c r="AQ306" s="84"/>
      <c r="AR306" s="129"/>
    </row>
    <row r="307" spans="1:44" s="111" customFormat="1" x14ac:dyDescent="0.2">
      <c r="I307" s="84"/>
      <c r="J307" s="84"/>
      <c r="K307" s="84"/>
      <c r="L307" s="84"/>
      <c r="M307" s="84"/>
      <c r="N307" s="84"/>
      <c r="O307" s="84"/>
      <c r="P307" s="84"/>
      <c r="Q307" s="84"/>
      <c r="R307" s="84"/>
      <c r="S307" s="84"/>
      <c r="T307" s="109"/>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c r="AQ307" s="84"/>
      <c r="AR307" s="129"/>
    </row>
    <row r="308" spans="1:44" s="111" customFormat="1" x14ac:dyDescent="0.2">
      <c r="B308" s="111" t="s">
        <v>144</v>
      </c>
      <c r="I308" s="48"/>
      <c r="J308" s="48"/>
      <c r="K308" s="48"/>
      <c r="L308" s="48"/>
      <c r="M308" s="48"/>
      <c r="N308" s="48"/>
      <c r="O308" s="48"/>
      <c r="P308" s="48"/>
      <c r="Q308" s="48"/>
      <c r="R308" s="48"/>
      <c r="S308" s="48"/>
      <c r="U308" s="48"/>
      <c r="V308" s="48"/>
      <c r="W308" s="48"/>
      <c r="X308" s="48"/>
      <c r="Y308" s="48"/>
      <c r="Z308" s="48"/>
      <c r="AA308" s="48"/>
      <c r="AB308" s="48"/>
      <c r="AC308" s="48"/>
      <c r="AD308" s="48"/>
      <c r="AE308" s="48"/>
      <c r="AF308" s="48"/>
      <c r="AG308" s="48"/>
      <c r="AH308" s="48"/>
      <c r="AI308" s="48"/>
      <c r="AJ308" s="48"/>
      <c r="AK308" s="48"/>
      <c r="AL308" s="48"/>
      <c r="AM308" s="48"/>
      <c r="AN308" s="48"/>
      <c r="AO308" s="48"/>
      <c r="AP308" s="48"/>
      <c r="AQ308" s="48"/>
    </row>
    <row r="309" spans="1:44" s="111" customFormat="1" x14ac:dyDescent="0.2">
      <c r="C309" s="111" t="str">
        <f>'Company Data'!B53</f>
        <v>Current Liabilities</v>
      </c>
      <c r="G309" s="128"/>
      <c r="H309" s="128"/>
      <c r="I309" s="84"/>
      <c r="J309" s="84"/>
      <c r="K309" s="84"/>
      <c r="L309" s="84"/>
      <c r="M309" s="84"/>
      <c r="N309" s="84"/>
      <c r="O309" s="84"/>
      <c r="P309" s="84"/>
      <c r="Q309" s="84"/>
      <c r="R309" s="84"/>
      <c r="S309" s="84"/>
      <c r="T309" s="109"/>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c r="AQ309" s="84"/>
      <c r="AR309" s="129"/>
    </row>
    <row r="310" spans="1:44" s="281" customFormat="1" x14ac:dyDescent="0.2">
      <c r="A310" s="111"/>
      <c r="B310" s="111"/>
      <c r="C310" s="111"/>
      <c r="D310" s="130" t="str">
        <f>'Company Data'!B54</f>
        <v>Accounts Payable</v>
      </c>
      <c r="E310" s="111"/>
      <c r="F310" s="111"/>
      <c r="G310" s="74" t="s">
        <v>313</v>
      </c>
      <c r="H310" s="74"/>
      <c r="I310" s="188">
        <f>'Company Data'!U54</f>
        <v>8051</v>
      </c>
      <c r="J310" s="188">
        <f>'Company Data'!V54</f>
        <v>11145</v>
      </c>
      <c r="K310" s="188">
        <f>'Company Data'!W54</f>
        <v>13318</v>
      </c>
      <c r="L310" s="188">
        <f>'Company Data'!X54</f>
        <v>15133</v>
      </c>
      <c r="M310" s="188">
        <f>'Company Data'!Y54</f>
        <v>16459</v>
      </c>
      <c r="N310" s="188">
        <f>'Company Data'!Z54</f>
        <v>20397</v>
      </c>
      <c r="O310" s="190">
        <f>AN310</f>
        <v>25386.039755948706</v>
      </c>
      <c r="P310" s="189">
        <f>P311*(P107)</f>
        <v>31666.518006246843</v>
      </c>
      <c r="Q310" s="189">
        <f>Q311*(Q107)</f>
        <v>39191.952417914763</v>
      </c>
      <c r="R310" s="189">
        <f>R311*(R107)</f>
        <v>48040.550859087838</v>
      </c>
      <c r="S310" s="189">
        <f>S311*(S107)</f>
        <v>58255.29600155542</v>
      </c>
      <c r="T310" s="282"/>
      <c r="U310" s="188">
        <f>'Company Data'!C54</f>
        <v>6886</v>
      </c>
      <c r="V310" s="188">
        <f>'Company Data'!D54</f>
        <v>7072</v>
      </c>
      <c r="W310" s="188">
        <f>'Company Data'!E54</f>
        <v>8369</v>
      </c>
      <c r="X310" s="188">
        <f>'Company Data'!F54</f>
        <v>13318</v>
      </c>
      <c r="Y310" s="188">
        <f>'Company Data'!G54</f>
        <v>8916</v>
      </c>
      <c r="Z310" s="188">
        <f>'Company Data'!H54</f>
        <v>8990</v>
      </c>
      <c r="AA310" s="188">
        <f>'Company Data'!I54</f>
        <v>10037</v>
      </c>
      <c r="AB310" s="188">
        <f>'Company Data'!J54</f>
        <v>15133</v>
      </c>
      <c r="AC310" s="188">
        <f>'Company Data'!K54</f>
        <v>10590</v>
      </c>
      <c r="AD310" s="188">
        <f>'Company Data'!L54</f>
        <v>10457</v>
      </c>
      <c r="AE310" s="188">
        <f>'Company Data'!M54</f>
        <v>11811</v>
      </c>
      <c r="AF310" s="188">
        <f>'Company Data'!N54</f>
        <v>16459</v>
      </c>
      <c r="AG310" s="188">
        <f>'Company Data'!O54</f>
        <v>11917</v>
      </c>
      <c r="AH310" s="188">
        <f>'Company Data'!P54</f>
        <v>12391</v>
      </c>
      <c r="AI310" s="188">
        <f>'Company Data'!Q54</f>
        <v>14437</v>
      </c>
      <c r="AJ310" s="188">
        <f>'Company Data'!R54</f>
        <v>20397</v>
      </c>
      <c r="AK310" s="188">
        <f>'Company Data'!S54</f>
        <v>14990</v>
      </c>
      <c r="AL310" s="188">
        <f>AL311*(AL89+AL95)*1.1</f>
        <v>15337.446314768886</v>
      </c>
      <c r="AM310" s="188">
        <f>AM311*(AM89+AM95)*1.1</f>
        <v>17565.93546597573</v>
      </c>
      <c r="AN310" s="188">
        <f>AN311*(AN89+AN95)*1.12</f>
        <v>25386.039755948706</v>
      </c>
      <c r="AO310" s="84"/>
      <c r="AP310" s="84"/>
      <c r="AQ310" s="84"/>
    </row>
    <row r="311" spans="1:44" x14ac:dyDescent="0.2">
      <c r="E311" s="290" t="s">
        <v>145</v>
      </c>
      <c r="I311" s="287">
        <f t="shared" ref="I311:O311" si="1065">I310/(I107)</f>
        <v>0.24950415272096194</v>
      </c>
      <c r="J311" s="287">
        <f t="shared" si="1065"/>
        <v>0.23966195729307788</v>
      </c>
      <c r="K311" s="287">
        <f t="shared" si="1065"/>
        <v>0.22411442995372319</v>
      </c>
      <c r="L311" s="287">
        <f t="shared" si="1065"/>
        <v>0.20884914227356161</v>
      </c>
      <c r="M311" s="287">
        <f t="shared" si="1065"/>
        <v>0.1887933012158752</v>
      </c>
      <c r="N311" s="287">
        <f t="shared" si="1065"/>
        <v>0.19902813149497967</v>
      </c>
      <c r="O311" s="287">
        <f t="shared" si="1065"/>
        <v>0.19950499045022374</v>
      </c>
      <c r="P311" s="329">
        <f>O311*1.01</f>
        <v>0.20150004035472599</v>
      </c>
      <c r="Q311" s="329">
        <f>P311*1.015</f>
        <v>0.20452254096004685</v>
      </c>
      <c r="R311" s="329">
        <f>Q311*1.02</f>
        <v>0.2086129917792478</v>
      </c>
      <c r="S311" s="329">
        <f>R311*1.025</f>
        <v>0.21382831657372897</v>
      </c>
      <c r="T311" s="273"/>
      <c r="U311" s="287">
        <f t="shared" ref="U311:AK311" si="1066">U310/(U107)</f>
        <v>0.53851567998748728</v>
      </c>
      <c r="V311" s="287">
        <f t="shared" si="1066"/>
        <v>0.56693923360590026</v>
      </c>
      <c r="W311" s="287">
        <f t="shared" si="1066"/>
        <v>0.61654633858847796</v>
      </c>
      <c r="X311" s="287">
        <f t="shared" si="1066"/>
        <v>0.64681884409907719</v>
      </c>
      <c r="Y311" s="287">
        <f t="shared" si="1066"/>
        <v>0.57047795764284348</v>
      </c>
      <c r="Z311" s="287">
        <f t="shared" si="1066"/>
        <v>0.58777378228179145</v>
      </c>
      <c r="AA311" s="287">
        <f t="shared" si="1066"/>
        <v>0.59655274888558696</v>
      </c>
      <c r="AB311" s="287">
        <f t="shared" si="1066"/>
        <v>0.61239933632795107</v>
      </c>
      <c r="AC311" s="287">
        <f t="shared" si="1066"/>
        <v>0.55044440979260878</v>
      </c>
      <c r="AD311" s="287">
        <f t="shared" si="1066"/>
        <v>0.55222855935783688</v>
      </c>
      <c r="AE311" s="287">
        <f t="shared" si="1066"/>
        <v>0.57016654598117311</v>
      </c>
      <c r="AF311" s="287">
        <f t="shared" si="1066"/>
        <v>0.58179568752209265</v>
      </c>
      <c r="AG311" s="287">
        <f t="shared" si="1066"/>
        <v>0.54141111262550545</v>
      </c>
      <c r="AH311" s="287">
        <f t="shared" si="1066"/>
        <v>0.56042514699231116</v>
      </c>
      <c r="AI311" s="287">
        <f t="shared" si="1066"/>
        <v>0.59253026882823723</v>
      </c>
      <c r="AJ311" s="287">
        <f t="shared" si="1066"/>
        <v>0.59996470276789127</v>
      </c>
      <c r="AK311" s="287">
        <f t="shared" si="1066"/>
        <v>0.54572593563419247</v>
      </c>
      <c r="AL311" s="329">
        <f t="shared" ref="AL311:AN311" si="1067">AVERAGE(AD311,AH311)*0.98</f>
        <v>0.54520031611157249</v>
      </c>
      <c r="AM311" s="329">
        <f t="shared" si="1067"/>
        <v>0.56972143925661101</v>
      </c>
      <c r="AN311" s="329">
        <f t="shared" si="1067"/>
        <v>0.57906259124209214</v>
      </c>
    </row>
    <row r="312" spans="1:44" s="111" customFormat="1" x14ac:dyDescent="0.2">
      <c r="D312" s="130" t="str">
        <f>'Company Data'!B55</f>
        <v>Accrued Expenses and Other Current Liabilities</v>
      </c>
      <c r="G312" s="74"/>
      <c r="H312" s="74"/>
      <c r="I312" s="337">
        <f>'Company Data'!U55</f>
        <v>2321</v>
      </c>
      <c r="J312" s="337">
        <f>'Company Data'!V55</f>
        <v>3751</v>
      </c>
      <c r="K312" s="337">
        <f>'Company Data'!W55</f>
        <v>4892</v>
      </c>
      <c r="L312" s="337">
        <f>'Company Data'!X55</f>
        <v>6688</v>
      </c>
      <c r="M312" s="337">
        <f>'Company Data'!Y55</f>
        <v>9807</v>
      </c>
      <c r="N312" s="337">
        <f>'Company Data'!Z55</f>
        <v>10384</v>
      </c>
      <c r="O312" s="169">
        <f>AN312</f>
        <v>11693.753811763463</v>
      </c>
      <c r="P312" s="187">
        <f>P313*P124</f>
        <v>14110.734238474221</v>
      </c>
      <c r="Q312" s="187">
        <f>Q313*Q124</f>
        <v>16858.578919669817</v>
      </c>
      <c r="R312" s="187">
        <f>R313*R124</f>
        <v>19849.743485977306</v>
      </c>
      <c r="S312" s="187">
        <f>S313*S124</f>
        <v>23007.913806589742</v>
      </c>
      <c r="T312" s="280"/>
      <c r="U312" s="337">
        <f>'Company Data'!C55</f>
        <v>3602</v>
      </c>
      <c r="V312" s="337">
        <f>'Company Data'!D55</f>
        <v>3892</v>
      </c>
      <c r="W312" s="337">
        <f>'Company Data'!E55</f>
        <v>4236</v>
      </c>
      <c r="X312" s="337">
        <f>'Company Data'!F55</f>
        <v>4892</v>
      </c>
      <c r="Y312" s="337">
        <f>'Company Data'!G55</f>
        <v>5416</v>
      </c>
      <c r="Z312" s="337">
        <f>'Company Data'!H55</f>
        <v>5745</v>
      </c>
      <c r="AA312" s="337">
        <f>'Company Data'!I55</f>
        <v>6098</v>
      </c>
      <c r="AB312" s="337">
        <f>'Company Data'!J55</f>
        <v>6688</v>
      </c>
      <c r="AC312" s="337">
        <f>'Company Data'!K55</f>
        <v>6251</v>
      </c>
      <c r="AD312" s="337">
        <f>'Company Data'!L55</f>
        <v>6688</v>
      </c>
      <c r="AE312" s="337">
        <f>'Company Data'!M55</f>
        <v>7217</v>
      </c>
      <c r="AF312" s="337">
        <f>'Company Data'!N55</f>
        <v>9807</v>
      </c>
      <c r="AG312" s="337">
        <f>'Company Data'!O55</f>
        <v>8840</v>
      </c>
      <c r="AH312" s="337">
        <f>'Company Data'!P55</f>
        <v>8959</v>
      </c>
      <c r="AI312" s="337">
        <f>'Company Data'!Q55</f>
        <v>9157</v>
      </c>
      <c r="AJ312" s="337">
        <f>'Company Data'!R55</f>
        <v>10384</v>
      </c>
      <c r="AK312" s="337">
        <f>'Company Data'!S55</f>
        <v>9431</v>
      </c>
      <c r="AL312" s="187">
        <f>AL313*AL124</f>
        <v>10380.781318216461</v>
      </c>
      <c r="AM312" s="187">
        <f>AM313*AM124</f>
        <v>10613.03714876304</v>
      </c>
      <c r="AN312" s="187">
        <f>AN313*AN124</f>
        <v>11693.753811763463</v>
      </c>
      <c r="AO312" s="346"/>
      <c r="AP312" s="84"/>
      <c r="AQ312" s="84"/>
      <c r="AR312" s="129"/>
    </row>
    <row r="313" spans="1:44" x14ac:dyDescent="0.2">
      <c r="D313" s="130"/>
      <c r="E313" s="138" t="s">
        <v>91</v>
      </c>
      <c r="I313" s="287">
        <f t="shared" ref="I313:O313" si="1068">I312/I79</f>
        <v>6.7857560519237511E-2</v>
      </c>
      <c r="J313" s="287">
        <f t="shared" si="1068"/>
        <v>7.802067516691974E-2</v>
      </c>
      <c r="K313" s="287">
        <f t="shared" si="1068"/>
        <v>8.0074640302489647E-2</v>
      </c>
      <c r="L313" s="287">
        <f t="shared" si="1068"/>
        <v>8.9829688927093962E-2</v>
      </c>
      <c r="M313" s="287">
        <f t="shared" si="1068"/>
        <v>0.1102058704544433</v>
      </c>
      <c r="N313" s="287">
        <f t="shared" si="1068"/>
        <v>9.7041287404444607E-2</v>
      </c>
      <c r="O313" s="287">
        <f t="shared" si="1068"/>
        <v>8.6441605900405616E-2</v>
      </c>
      <c r="P313" s="329">
        <f>O313*1.02</f>
        <v>8.8170438018413733E-2</v>
      </c>
      <c r="Q313" s="329">
        <f>P313*0.98</f>
        <v>8.6407029258045456E-2</v>
      </c>
      <c r="R313" s="329">
        <f>Q313*0.98</f>
        <v>8.4678888672884547E-2</v>
      </c>
      <c r="S313" s="329">
        <f>R313*0.98</f>
        <v>8.2985310899426859E-2</v>
      </c>
      <c r="T313" s="273"/>
      <c r="U313" s="287">
        <f>U312/U79</f>
        <v>0.2731892301858172</v>
      </c>
      <c r="V313" s="287">
        <f>V312/V79</f>
        <v>0.3032569736637058</v>
      </c>
      <c r="W313" s="287">
        <f>W312/W79</f>
        <v>0.30682312038244242</v>
      </c>
      <c r="X313" s="287">
        <f>X312/X79</f>
        <v>0.23001692683844274</v>
      </c>
      <c r="Y313" s="287">
        <f>Y312/Y79</f>
        <v>0.33702551337896702</v>
      </c>
      <c r="Z313" s="287">
        <f>Z312/Z124</f>
        <v>0.36796259527316977</v>
      </c>
      <c r="AA313" s="287">
        <f t="shared" ref="AA313:AK313" si="1069">AA312/AA79</f>
        <v>0.35677509946173647</v>
      </c>
      <c r="AB313" s="287">
        <f t="shared" si="1069"/>
        <v>0.26138273341931451</v>
      </c>
      <c r="AC313" s="287">
        <f t="shared" si="1069"/>
        <v>0.31665062560153995</v>
      </c>
      <c r="AD313" s="287">
        <f t="shared" si="1069"/>
        <v>0.34581178903826265</v>
      </c>
      <c r="AE313" s="287">
        <f t="shared" si="1069"/>
        <v>0.35069731279459643</v>
      </c>
      <c r="AF313" s="287">
        <f t="shared" si="1069"/>
        <v>0.33439034369885434</v>
      </c>
      <c r="AG313" s="287">
        <f t="shared" si="1069"/>
        <v>0.38913588942201877</v>
      </c>
      <c r="AH313" s="287">
        <f t="shared" si="1069"/>
        <v>0.38641362950183306</v>
      </c>
      <c r="AI313" s="287">
        <f t="shared" si="1069"/>
        <v>0.36110892026185032</v>
      </c>
      <c r="AJ313" s="287">
        <f t="shared" si="1069"/>
        <v>0.2904859149019498</v>
      </c>
      <c r="AK313" s="287">
        <f t="shared" si="1069"/>
        <v>0.3237778082944246</v>
      </c>
      <c r="AL313" s="329">
        <f t="shared" ref="AL313:AN313" si="1070">AH313*0.95</f>
        <v>0.36709294802674136</v>
      </c>
      <c r="AM313" s="329">
        <f t="shared" si="1070"/>
        <v>0.34305347424875776</v>
      </c>
      <c r="AN313" s="329">
        <f t="shared" si="1070"/>
        <v>0.2759616191568523</v>
      </c>
    </row>
    <row r="314" spans="1:44" s="111" customFormat="1" x14ac:dyDescent="0.2">
      <c r="D314" s="130" t="str">
        <f>'Company Data'!B56</f>
        <v>Unearned Revenue</v>
      </c>
      <c r="G314" s="74"/>
      <c r="H314" s="74"/>
      <c r="I314" s="337" t="str">
        <f>'Company Data'!U56</f>
        <v>-</v>
      </c>
      <c r="J314" s="337" t="str">
        <f>'Company Data'!V56</f>
        <v>-</v>
      </c>
      <c r="K314" s="337">
        <f>'Company Data'!W56</f>
        <v>792</v>
      </c>
      <c r="L314" s="337">
        <f>'Company Data'!X56</f>
        <v>1159</v>
      </c>
      <c r="M314" s="337">
        <f>'Company Data'!Y56</f>
        <v>1823</v>
      </c>
      <c r="N314" s="337">
        <f>'Company Data'!Z56</f>
        <v>3118</v>
      </c>
      <c r="O314" s="169">
        <f>AN314</f>
        <v>4585.7153625328365</v>
      </c>
      <c r="P314" s="169">
        <f>P315*P79</f>
        <v>4968.9799708766468</v>
      </c>
      <c r="Q314" s="169">
        <f>Q315*Q79</f>
        <v>6104.0235197528182</v>
      </c>
      <c r="R314" s="169">
        <f>R315*R79</f>
        <v>7371.7439463667451</v>
      </c>
      <c r="S314" s="169">
        <f>S315*S79</f>
        <v>8757.4844742421064</v>
      </c>
      <c r="T314" s="280"/>
      <c r="U314" s="337" t="str">
        <f>'Company Data'!C56</f>
        <v>-</v>
      </c>
      <c r="V314" s="337" t="str">
        <f>'Company Data'!D56</f>
        <v>-</v>
      </c>
      <c r="W314" s="337" t="str">
        <f>'Company Data'!E56</f>
        <v>-</v>
      </c>
      <c r="X314" s="337">
        <f>'Company Data'!F56</f>
        <v>792</v>
      </c>
      <c r="Y314" s="337" t="str">
        <f>'Company Data'!G56</f>
        <v>-</v>
      </c>
      <c r="Z314" s="337" t="str">
        <f>'Company Data'!H56</f>
        <v>-</v>
      </c>
      <c r="AA314" s="337" t="str">
        <f>'Company Data'!I56</f>
        <v>-</v>
      </c>
      <c r="AB314" s="337">
        <f>'Company Data'!J56</f>
        <v>1159</v>
      </c>
      <c r="AC314" s="337">
        <f>'Company Data'!K56</f>
        <v>1516</v>
      </c>
      <c r="AD314" s="337">
        <f>'Company Data'!L56</f>
        <v>1606</v>
      </c>
      <c r="AE314" s="337">
        <f>'Company Data'!M56</f>
        <v>1814</v>
      </c>
      <c r="AF314" s="337">
        <f>'Company Data'!N56</f>
        <v>1823</v>
      </c>
      <c r="AG314" s="337">
        <f>'Company Data'!O56</f>
        <v>2420</v>
      </c>
      <c r="AH314" s="337">
        <f>'Company Data'!P56</f>
        <v>2562</v>
      </c>
      <c r="AI314" s="337">
        <f>'Company Data'!Q56</f>
        <v>3063</v>
      </c>
      <c r="AJ314" s="337">
        <f>'Company Data'!R56</f>
        <v>3118</v>
      </c>
      <c r="AK314" s="337">
        <f>'Company Data'!S56</f>
        <v>3766</v>
      </c>
      <c r="AL314" s="187">
        <f>AL315*AL79</f>
        <v>3403.3222009592578</v>
      </c>
      <c r="AM314" s="187">
        <f>AM315*AM79</f>
        <v>3926.9057587425536</v>
      </c>
      <c r="AN314" s="187">
        <f>AN315*AN79</f>
        <v>4585.7153625328365</v>
      </c>
      <c r="AO314" s="84"/>
      <c r="AP314" s="84"/>
      <c r="AQ314" s="84"/>
      <c r="AR314" s="129"/>
    </row>
    <row r="315" spans="1:44" x14ac:dyDescent="0.2">
      <c r="D315" s="130"/>
      <c r="E315" s="138" t="s">
        <v>91</v>
      </c>
      <c r="I315" s="287" t="str">
        <f t="shared" ref="I315:N315" si="1071">IFERROR(I314/I79, "NA")</f>
        <v>NA</v>
      </c>
      <c r="J315" s="287" t="str">
        <f t="shared" si="1071"/>
        <v>NA</v>
      </c>
      <c r="K315" s="287">
        <f t="shared" si="1071"/>
        <v>1.2963842011359731E-2</v>
      </c>
      <c r="L315" s="287">
        <f t="shared" si="1071"/>
        <v>1.5567076774297533E-2</v>
      </c>
      <c r="M315" s="287">
        <f t="shared" si="1071"/>
        <v>2.0485908212343237E-2</v>
      </c>
      <c r="N315" s="287">
        <f t="shared" si="1071"/>
        <v>2.9138552978337662E-2</v>
      </c>
      <c r="O315" s="329">
        <f>N315</f>
        <v>2.9138552978337662E-2</v>
      </c>
      <c r="P315" s="329">
        <f>O315*1.01</f>
        <v>2.9429938508121041E-2</v>
      </c>
      <c r="Q315" s="329">
        <f>P315</f>
        <v>2.9429938508121041E-2</v>
      </c>
      <c r="R315" s="329">
        <f>Q315</f>
        <v>2.9429938508121041E-2</v>
      </c>
      <c r="S315" s="329">
        <f>R315</f>
        <v>2.9429938508121041E-2</v>
      </c>
      <c r="T315" s="273"/>
      <c r="U315" s="287" t="str">
        <f t="shared" ref="U315:AK315" si="1072">IFERROR(U314/U79,"NA")</f>
        <v>NA</v>
      </c>
      <c r="V315" s="287" t="str">
        <f t="shared" si="1072"/>
        <v>NA</v>
      </c>
      <c r="W315" s="287" t="str">
        <f t="shared" si="1072"/>
        <v>NA</v>
      </c>
      <c r="X315" s="287">
        <f t="shared" si="1072"/>
        <v>3.7239044574007903E-2</v>
      </c>
      <c r="Y315" s="287" t="str">
        <f t="shared" si="1072"/>
        <v>NA</v>
      </c>
      <c r="Z315" s="287" t="str">
        <f t="shared" si="1072"/>
        <v>NA</v>
      </c>
      <c r="AA315" s="287" t="str">
        <f t="shared" si="1072"/>
        <v>NA</v>
      </c>
      <c r="AB315" s="287">
        <f t="shared" si="1072"/>
        <v>4.5296439598233477E-2</v>
      </c>
      <c r="AC315" s="287">
        <f t="shared" si="1072"/>
        <v>7.6794488627729085E-2</v>
      </c>
      <c r="AD315" s="287">
        <f t="shared" si="1072"/>
        <v>8.3040330920372288E-2</v>
      </c>
      <c r="AE315" s="287">
        <f t="shared" si="1072"/>
        <v>8.8148112153165842E-2</v>
      </c>
      <c r="AF315" s="287">
        <f t="shared" si="1072"/>
        <v>6.2159028914348061E-2</v>
      </c>
      <c r="AG315" s="287">
        <f t="shared" si="1072"/>
        <v>0.1065281507241273</v>
      </c>
      <c r="AH315" s="287">
        <f t="shared" si="1072"/>
        <v>0.1105024800517576</v>
      </c>
      <c r="AI315" s="287">
        <f t="shared" si="1072"/>
        <v>0.12079028314535847</v>
      </c>
      <c r="AJ315" s="287">
        <f t="shared" si="1072"/>
        <v>8.7224102721906727E-2</v>
      </c>
      <c r="AK315" s="287">
        <f t="shared" si="1072"/>
        <v>0.12929140346058776</v>
      </c>
      <c r="AL315" s="329">
        <f>AI315*0.95</f>
        <v>0.11475076898809054</v>
      </c>
      <c r="AM315" s="329">
        <f>AJ315*1.4</f>
        <v>0.1221137438106694</v>
      </c>
      <c r="AN315" s="329">
        <f>AK315*0.8</f>
        <v>0.10343312276847022</v>
      </c>
    </row>
    <row r="316" spans="1:44" s="111" customFormat="1" hidden="1" outlineLevel="1" x14ac:dyDescent="0.2">
      <c r="D316" s="130"/>
      <c r="G316" s="74"/>
      <c r="H316" s="74"/>
      <c r="I316" s="280"/>
      <c r="J316" s="280"/>
      <c r="K316" s="280"/>
      <c r="L316" s="280"/>
      <c r="M316" s="280"/>
      <c r="N316" s="280"/>
      <c r="O316" s="170"/>
      <c r="P316" s="170"/>
      <c r="Q316" s="170"/>
      <c r="R316" s="170"/>
      <c r="S316" s="170"/>
      <c r="T316" s="280"/>
      <c r="U316" s="280"/>
      <c r="V316" s="280"/>
      <c r="W316" s="280"/>
      <c r="X316" s="280"/>
      <c r="Y316" s="280"/>
      <c r="Z316" s="280"/>
      <c r="AA316" s="280"/>
      <c r="AB316" s="280"/>
      <c r="AC316" s="280"/>
      <c r="AD316" s="280"/>
      <c r="AE316" s="280"/>
      <c r="AF316" s="280"/>
      <c r="AG316" s="280"/>
      <c r="AH316" s="280"/>
      <c r="AI316" s="280"/>
      <c r="AJ316" s="280"/>
      <c r="AK316" s="280"/>
      <c r="AL316" s="170"/>
      <c r="AM316" s="170"/>
      <c r="AN316" s="170"/>
      <c r="AO316" s="84"/>
      <c r="AP316" s="84"/>
      <c r="AQ316" s="84"/>
      <c r="AR316" s="129"/>
    </row>
    <row r="317" spans="1:44" s="111" customFormat="1" hidden="1" outlineLevel="1" x14ac:dyDescent="0.2">
      <c r="D317" s="130"/>
      <c r="G317" s="74"/>
      <c r="H317" s="74"/>
      <c r="I317" s="280"/>
      <c r="J317" s="280"/>
      <c r="K317" s="280"/>
      <c r="L317" s="280"/>
      <c r="M317" s="280"/>
      <c r="N317" s="280"/>
      <c r="O317" s="170"/>
      <c r="P317" s="170"/>
      <c r="Q317" s="170"/>
      <c r="R317" s="170"/>
      <c r="S317" s="170"/>
      <c r="T317" s="280"/>
      <c r="U317" s="280"/>
      <c r="V317" s="280"/>
      <c r="W317" s="280"/>
      <c r="X317" s="280"/>
      <c r="Y317" s="280"/>
      <c r="Z317" s="280"/>
      <c r="AA317" s="280"/>
      <c r="AB317" s="280"/>
      <c r="AC317" s="280"/>
      <c r="AD317" s="280"/>
      <c r="AE317" s="280"/>
      <c r="AF317" s="280"/>
      <c r="AG317" s="280"/>
      <c r="AH317" s="280"/>
      <c r="AI317" s="280"/>
      <c r="AJ317" s="280"/>
      <c r="AK317" s="280"/>
      <c r="AL317" s="170"/>
      <c r="AM317" s="170"/>
      <c r="AN317" s="170"/>
      <c r="AO317" s="84"/>
      <c r="AP317" s="84"/>
      <c r="AQ317" s="84"/>
      <c r="AR317" s="129"/>
    </row>
    <row r="318" spans="1:44" s="111" customFormat="1" hidden="1" outlineLevel="1" x14ac:dyDescent="0.2">
      <c r="D318" s="130"/>
      <c r="G318" s="74"/>
      <c r="H318" s="74"/>
      <c r="I318" s="280"/>
      <c r="J318" s="280"/>
      <c r="K318" s="280"/>
      <c r="L318" s="280"/>
      <c r="M318" s="280"/>
      <c r="N318" s="280"/>
      <c r="O318" s="170"/>
      <c r="P318" s="170"/>
      <c r="Q318" s="170"/>
      <c r="R318" s="170"/>
      <c r="S318" s="170"/>
      <c r="T318" s="280"/>
      <c r="U318" s="280"/>
      <c r="V318" s="280"/>
      <c r="W318" s="280"/>
      <c r="X318" s="280"/>
      <c r="Y318" s="280"/>
      <c r="Z318" s="280"/>
      <c r="AA318" s="280"/>
      <c r="AB318" s="280"/>
      <c r="AC318" s="280"/>
      <c r="AD318" s="280"/>
      <c r="AE318" s="280"/>
      <c r="AF318" s="280"/>
      <c r="AG318" s="280"/>
      <c r="AH318" s="280"/>
      <c r="AI318" s="280"/>
      <c r="AJ318" s="280"/>
      <c r="AK318" s="280"/>
      <c r="AL318" s="170"/>
      <c r="AM318" s="170"/>
      <c r="AN318" s="170"/>
      <c r="AO318" s="84"/>
      <c r="AP318" s="84"/>
      <c r="AQ318" s="84"/>
      <c r="AR318" s="129"/>
    </row>
    <row r="319" spans="1:44" s="111" customFormat="1" hidden="1" outlineLevel="1" x14ac:dyDescent="0.2">
      <c r="D319" s="130"/>
      <c r="G319" s="74"/>
      <c r="H319" s="74"/>
      <c r="I319" s="280"/>
      <c r="J319" s="280"/>
      <c r="K319" s="280"/>
      <c r="L319" s="280"/>
      <c r="M319" s="280"/>
      <c r="N319" s="280"/>
      <c r="O319" s="170"/>
      <c r="P319" s="170"/>
      <c r="Q319" s="170"/>
      <c r="R319" s="170"/>
      <c r="S319" s="170"/>
      <c r="T319" s="280"/>
      <c r="U319" s="280"/>
      <c r="V319" s="280"/>
      <c r="W319" s="280"/>
      <c r="X319" s="280"/>
      <c r="Y319" s="280"/>
      <c r="Z319" s="280"/>
      <c r="AA319" s="280"/>
      <c r="AB319" s="280"/>
      <c r="AC319" s="280"/>
      <c r="AD319" s="280"/>
      <c r="AE319" s="280"/>
      <c r="AF319" s="280"/>
      <c r="AG319" s="280"/>
      <c r="AH319" s="280"/>
      <c r="AI319" s="280"/>
      <c r="AJ319" s="280"/>
      <c r="AK319" s="280"/>
      <c r="AL319" s="170"/>
      <c r="AM319" s="170"/>
      <c r="AN319" s="170"/>
      <c r="AO319" s="84"/>
      <c r="AP319" s="84"/>
      <c r="AQ319" s="84"/>
      <c r="AR319" s="129"/>
    </row>
    <row r="320" spans="1:44" s="111" customFormat="1" collapsed="1" x14ac:dyDescent="0.2">
      <c r="C320" s="127" t="str">
        <f>'Company Data'!B57</f>
        <v>Total Current Liabilities</v>
      </c>
      <c r="G320" s="128"/>
      <c r="H320" s="128"/>
      <c r="I320" s="221">
        <f>SUM(I310:I319)-I313-I311</f>
        <v>10372</v>
      </c>
      <c r="J320" s="221">
        <f t="shared" ref="J320" si="1073">SUM(J310:J319)-J313-J311</f>
        <v>14896</v>
      </c>
      <c r="K320" s="221">
        <f>SUM(K310:K319)-K313-K311-K315</f>
        <v>19002</v>
      </c>
      <c r="L320" s="221">
        <f>SUM(L310:L319)-L313-L311-L315</f>
        <v>22980</v>
      </c>
      <c r="M320" s="221">
        <f t="shared" ref="M320:S320" si="1074">SUM(M310:M319)-M313-M311-M315</f>
        <v>28089</v>
      </c>
      <c r="N320" s="221">
        <f t="shared" si="1074"/>
        <v>33899</v>
      </c>
      <c r="O320" s="221">
        <f t="shared" si="1074"/>
        <v>41665.508930245007</v>
      </c>
      <c r="P320" s="221">
        <f t="shared" si="1074"/>
        <v>50746.232215597709</v>
      </c>
      <c r="Q320" s="221">
        <f t="shared" si="1074"/>
        <v>62154.554857337396</v>
      </c>
      <c r="R320" s="221">
        <f t="shared" si="1074"/>
        <v>75262.038291431891</v>
      </c>
      <c r="S320" s="221">
        <f t="shared" si="1074"/>
        <v>90020.694282387281</v>
      </c>
      <c r="T320" s="276"/>
      <c r="U320" s="221">
        <f>SUM(U310:U319)-U313-U311</f>
        <v>10488</v>
      </c>
      <c r="V320" s="221">
        <f>SUM(V310:V319)-V313-V311</f>
        <v>10964</v>
      </c>
      <c r="W320" s="221">
        <f>SUM(W310:W319)-W313-W311</f>
        <v>12605</v>
      </c>
      <c r="X320" s="221">
        <f t="shared" ref="X320" si="1075">SUM(X310:X319)-X313-X311-X315</f>
        <v>19002</v>
      </c>
      <c r="Y320" s="221">
        <f>SUM(Y310:Y319)-Y313-Y311</f>
        <v>14332</v>
      </c>
      <c r="Z320" s="221">
        <f>SUM(Z310:Z319)-Z313-Z311</f>
        <v>14735</v>
      </c>
      <c r="AA320" s="221">
        <f>SUM(AA310:AA319)-AA313-AA311</f>
        <v>16135</v>
      </c>
      <c r="AB320" s="221">
        <f t="shared" ref="AB320" si="1076">SUM(AB310:AB319)-AB313-AB311-AB315</f>
        <v>22980</v>
      </c>
      <c r="AC320" s="221">
        <f t="shared" ref="AC320" si="1077">SUM(AC310:AC319)-AC313-AC311-AC315</f>
        <v>18357</v>
      </c>
      <c r="AD320" s="221">
        <f t="shared" ref="AD320" si="1078">SUM(AD310:AD319)-AD313-AD311-AD315</f>
        <v>18751</v>
      </c>
      <c r="AE320" s="221">
        <f t="shared" ref="AE320" si="1079">SUM(AE310:AE319)-AE313-AE311-AE315</f>
        <v>20842</v>
      </c>
      <c r="AF320" s="221">
        <f t="shared" ref="AF320" si="1080">SUM(AF310:AF319)-AF313-AF311-AF315</f>
        <v>28089</v>
      </c>
      <c r="AG320" s="221">
        <f t="shared" ref="AG320" si="1081">SUM(AG310:AG319)-AG313-AG311-AG315</f>
        <v>23176.999999999996</v>
      </c>
      <c r="AH320" s="221">
        <f t="shared" ref="AH320" si="1082">SUM(AH310:AH319)-AH313-AH311-AH315</f>
        <v>23912</v>
      </c>
      <c r="AI320" s="221">
        <f t="shared" ref="AI320" si="1083">SUM(AI310:AI319)-AI313-AI311-AI315</f>
        <v>26657</v>
      </c>
      <c r="AJ320" s="221">
        <f t="shared" ref="AJ320:AK320" si="1084">SUM(AJ310:AJ319)-AJ313-AJ311-AJ315</f>
        <v>33899</v>
      </c>
      <c r="AK320" s="221">
        <f t="shared" si="1084"/>
        <v>28187</v>
      </c>
      <c r="AL320" s="221">
        <f t="shared" ref="AL320" si="1085">SUM(AL310:AL319)-AL313-AL311-AL315</f>
        <v>29121.549833944606</v>
      </c>
      <c r="AM320" s="221">
        <f t="shared" ref="AM320" si="1086">SUM(AM310:AM319)-AM313-AM311-AM315</f>
        <v>32105.878373481322</v>
      </c>
      <c r="AN320" s="221">
        <f t="shared" ref="AN320" si="1087">SUM(AN310:AN319)-AN313-AN311-AN315</f>
        <v>41665.508930245007</v>
      </c>
      <c r="AO320" s="84"/>
      <c r="AP320" s="84"/>
      <c r="AQ320" s="84"/>
      <c r="AR320" s="129"/>
    </row>
    <row r="321" spans="3:44" s="111" customFormat="1" x14ac:dyDescent="0.2">
      <c r="I321" s="84"/>
      <c r="J321" s="84"/>
      <c r="K321" s="84"/>
      <c r="L321" s="84"/>
      <c r="M321" s="84"/>
      <c r="N321" s="84"/>
      <c r="O321" s="84"/>
      <c r="P321" s="84"/>
      <c r="Q321" s="84"/>
      <c r="R321" s="84"/>
      <c r="S321" s="84"/>
      <c r="T321" s="109"/>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c r="AQ321" s="84"/>
      <c r="AR321" s="129"/>
    </row>
    <row r="322" spans="3:44" s="111" customFormat="1" x14ac:dyDescent="0.2">
      <c r="C322" s="127" t="str">
        <f>'Company Data'!B59</f>
        <v>Non Current Liabilities</v>
      </c>
      <c r="G322" s="168"/>
      <c r="H322" s="12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c r="AF322" s="48"/>
      <c r="AG322" s="48"/>
      <c r="AH322" s="48"/>
      <c r="AI322" s="48"/>
      <c r="AJ322" s="48"/>
      <c r="AK322" s="48"/>
      <c r="AL322" s="364"/>
      <c r="AM322" s="364"/>
      <c r="AN322" s="364"/>
      <c r="AO322" s="48"/>
      <c r="AP322" s="48"/>
      <c r="AQ322" s="48"/>
    </row>
    <row r="323" spans="3:44" s="111" customFormat="1" x14ac:dyDescent="0.2">
      <c r="D323" s="130" t="str">
        <f>'Company Data'!B60</f>
        <v>Long-term Debt</v>
      </c>
      <c r="G323" s="168"/>
      <c r="H323" s="168"/>
      <c r="I323" s="337">
        <f>'Company Data'!U60</f>
        <v>182</v>
      </c>
      <c r="J323" s="337">
        <f>'Company Data'!V60</f>
        <v>255</v>
      </c>
      <c r="K323" s="337">
        <f>'Company Data'!W60</f>
        <v>3084</v>
      </c>
      <c r="L323" s="337">
        <f>'Company Data'!X60</f>
        <v>3191</v>
      </c>
      <c r="M323" s="337">
        <f>'Company Data'!Y60</f>
        <v>8265</v>
      </c>
      <c r="N323" s="337">
        <f>'Company Data'!Z60</f>
        <v>8235</v>
      </c>
      <c r="O323" s="169">
        <f>AN323</f>
        <v>9591.7507610195335</v>
      </c>
      <c r="P323" s="187">
        <f>P325*P79</f>
        <v>10774.252923427906</v>
      </c>
      <c r="Q323" s="187">
        <f>Q325*Q79</f>
        <v>11911.833872151848</v>
      </c>
      <c r="R323" s="187">
        <f>R325*R79</f>
        <v>12947.179849111375</v>
      </c>
      <c r="S323" s="187">
        <f>S325*S79</f>
        <v>13842.891804825445</v>
      </c>
      <c r="T323" s="280"/>
      <c r="U323" s="337" t="str">
        <f>'Company Data'!C60</f>
        <v>-</v>
      </c>
      <c r="V323" s="337" t="str">
        <f>'Company Data'!D60</f>
        <v>-</v>
      </c>
      <c r="W323" s="337" t="str">
        <f>'Company Data'!E60</f>
        <v>-</v>
      </c>
      <c r="X323" s="337">
        <f>'Company Data'!F60</f>
        <v>3084</v>
      </c>
      <c r="Y323" s="337">
        <f>'Company Data'!G60</f>
        <v>3040</v>
      </c>
      <c r="Z323" s="337">
        <f>'Company Data'!H60</f>
        <v>3042</v>
      </c>
      <c r="AA323" s="337">
        <f>'Company Data'!I60</f>
        <v>3043</v>
      </c>
      <c r="AB323" s="337">
        <f>'Company Data'!J60</f>
        <v>3191</v>
      </c>
      <c r="AC323" s="337">
        <f>'Company Data'!K60</f>
        <v>3147</v>
      </c>
      <c r="AD323" s="337">
        <f>'Company Data'!L60</f>
        <v>3119</v>
      </c>
      <c r="AE323" s="337">
        <f>'Company Data'!M60</f>
        <v>3099</v>
      </c>
      <c r="AF323" s="337">
        <f>'Company Data'!N60</f>
        <v>8265</v>
      </c>
      <c r="AG323" s="337">
        <f>'Company Data'!O60</f>
        <v>8257</v>
      </c>
      <c r="AH323" s="337">
        <f>'Company Data'!P60</f>
        <v>8250</v>
      </c>
      <c r="AI323" s="337">
        <f>'Company Data'!Q60</f>
        <v>8243</v>
      </c>
      <c r="AJ323" s="337">
        <f>'Company Data'!R60</f>
        <v>8235</v>
      </c>
      <c r="AK323" s="337">
        <f>'Company Data'!S60</f>
        <v>8219</v>
      </c>
      <c r="AL323" s="187">
        <f>AL325*AL79</f>
        <v>8442.7571543308477</v>
      </c>
      <c r="AM323" s="187">
        <f>AM325*AM79</f>
        <v>8696.5374840687509</v>
      </c>
      <c r="AN323" s="187">
        <f>AN325*AN79</f>
        <v>9591.7507610195335</v>
      </c>
      <c r="AO323" s="84"/>
      <c r="AP323" s="84"/>
      <c r="AQ323" s="84"/>
      <c r="AR323" s="129"/>
    </row>
    <row r="324" spans="3:44" x14ac:dyDescent="0.2">
      <c r="E324" s="290" t="s">
        <v>295</v>
      </c>
      <c r="H324" s="287"/>
      <c r="I324" s="287">
        <f t="shared" ref="I324:O324" si="1088">I323/I277</f>
        <v>4.8186391315859146E-2</v>
      </c>
      <c r="J324" s="287">
        <f t="shared" si="1088"/>
        <v>4.8396280129056744E-2</v>
      </c>
      <c r="K324" s="287">
        <f t="shared" si="1088"/>
        <v>0.3814943097476497</v>
      </c>
      <c r="L324" s="287">
        <f t="shared" si="1088"/>
        <v>0.36856086856086856</v>
      </c>
      <c r="M324" s="287">
        <f t="shared" si="1088"/>
        <v>0.56776808408325896</v>
      </c>
      <c r="N324" s="287">
        <f t="shared" si="1088"/>
        <v>0.51825047199496543</v>
      </c>
      <c r="O324" s="287">
        <f t="shared" si="1088"/>
        <v>0.43679593290672741</v>
      </c>
      <c r="P324" s="329"/>
      <c r="Q324" s="329"/>
      <c r="R324" s="329"/>
      <c r="S324" s="329"/>
      <c r="T324" s="287"/>
      <c r="U324" s="287"/>
      <c r="V324" s="287"/>
      <c r="W324" s="287"/>
      <c r="X324" s="287">
        <f t="shared" ref="X324:AJ324" si="1089">X323/X277</f>
        <v>0.3814943097476497</v>
      </c>
      <c r="Y324" s="287">
        <f t="shared" si="1089"/>
        <v>0.67841999553671051</v>
      </c>
      <c r="Z324" s="287">
        <f t="shared" si="1089"/>
        <v>0.82127429805615548</v>
      </c>
      <c r="AA324" s="287">
        <f t="shared" si="1089"/>
        <v>0.78589876033057848</v>
      </c>
      <c r="AB324" s="287">
        <f t="shared" si="1089"/>
        <v>0.36856086856086856</v>
      </c>
      <c r="AC324" s="287">
        <f t="shared" si="1089"/>
        <v>0.62022073314938908</v>
      </c>
      <c r="AD324" s="287">
        <f t="shared" si="1089"/>
        <v>0.61676883527783266</v>
      </c>
      <c r="AE324" s="287">
        <f t="shared" si="1089"/>
        <v>0.58938759984785094</v>
      </c>
      <c r="AF324" s="287">
        <f t="shared" si="1089"/>
        <v>0.56776808408325896</v>
      </c>
      <c r="AG324" s="287">
        <f t="shared" si="1089"/>
        <v>0.80658396014457356</v>
      </c>
      <c r="AH324" s="287">
        <f t="shared" si="1089"/>
        <v>0.8033888401986562</v>
      </c>
      <c r="AI324" s="287">
        <f t="shared" si="1089"/>
        <v>0.76972639835652257</v>
      </c>
      <c r="AJ324" s="287">
        <f t="shared" si="1089"/>
        <v>0.51825047199496543</v>
      </c>
      <c r="AK324" s="287">
        <f t="shared" ref="AK324" si="1090">AK323/AK277</f>
        <v>0.6591018444266239</v>
      </c>
      <c r="AL324" s="329">
        <f t="shared" ref="AL324:AN324" si="1091">AH324</f>
        <v>0.8033888401986562</v>
      </c>
      <c r="AM324" s="329">
        <f t="shared" si="1091"/>
        <v>0.76972639835652257</v>
      </c>
      <c r="AN324" s="329">
        <f t="shared" si="1091"/>
        <v>0.51825047199496543</v>
      </c>
    </row>
    <row r="325" spans="3:44" x14ac:dyDescent="0.2">
      <c r="E325" s="290" t="s">
        <v>146</v>
      </c>
      <c r="H325" s="287"/>
      <c r="I325" s="287">
        <f t="shared" ref="I325:O325" si="1092">I323/I79</f>
        <v>5.3210150859548588E-3</v>
      </c>
      <c r="J325" s="287">
        <f t="shared" si="1092"/>
        <v>5.303991513613578E-3</v>
      </c>
      <c r="K325" s="287">
        <f t="shared" si="1092"/>
        <v>5.0480415104840165E-2</v>
      </c>
      <c r="L325" s="287">
        <f t="shared" si="1092"/>
        <v>4.2859829151668187E-2</v>
      </c>
      <c r="M325" s="287">
        <f t="shared" si="1092"/>
        <v>9.287769137411786E-2</v>
      </c>
      <c r="N325" s="287">
        <f t="shared" si="1092"/>
        <v>7.6958301403659612E-2</v>
      </c>
      <c r="O325" s="287">
        <f t="shared" si="1092"/>
        <v>7.0903351697458969E-2</v>
      </c>
      <c r="P325" s="329">
        <f>O325*0.9</f>
        <v>6.3813016527713068E-2</v>
      </c>
      <c r="Q325" s="329">
        <f>P325*0.9</f>
        <v>5.743171487494176E-2</v>
      </c>
      <c r="R325" s="329">
        <f>Q325*0.9</f>
        <v>5.1688543387447584E-2</v>
      </c>
      <c r="S325" s="329">
        <f>R325*0.9</f>
        <v>4.6519689048702829E-2</v>
      </c>
      <c r="T325" s="287"/>
      <c r="U325" s="287" t="s">
        <v>147</v>
      </c>
      <c r="V325" s="287" t="s">
        <v>147</v>
      </c>
      <c r="W325" s="287" t="s">
        <v>147</v>
      </c>
      <c r="X325" s="287">
        <f t="shared" ref="X325:AK325" si="1093">X323/X79</f>
        <v>0.1450065826593944</v>
      </c>
      <c r="Y325" s="287">
        <f t="shared" si="1093"/>
        <v>0.18917237087741132</v>
      </c>
      <c r="Z325" s="287">
        <f t="shared" si="1093"/>
        <v>0.19370860927152317</v>
      </c>
      <c r="AA325" s="287">
        <f t="shared" si="1093"/>
        <v>0.17803650830798035</v>
      </c>
      <c r="AB325" s="287">
        <f t="shared" si="1093"/>
        <v>0.12471176769453238</v>
      </c>
      <c r="AC325" s="287">
        <f t="shared" si="1093"/>
        <v>0.159414416696216</v>
      </c>
      <c r="AD325" s="287">
        <f t="shared" si="1093"/>
        <v>0.16127197518097208</v>
      </c>
      <c r="AE325" s="287">
        <f t="shared" si="1093"/>
        <v>0.15059040769716703</v>
      </c>
      <c r="AF325" s="287">
        <f t="shared" si="1093"/>
        <v>0.28181260229132571</v>
      </c>
      <c r="AG325" s="287">
        <f t="shared" si="1093"/>
        <v>0.36347228947484261</v>
      </c>
      <c r="AH325" s="287">
        <f t="shared" si="1093"/>
        <v>0.35583351304722882</v>
      </c>
      <c r="AI325" s="287">
        <f t="shared" si="1093"/>
        <v>0.32506506822304598</v>
      </c>
      <c r="AJ325" s="287">
        <f t="shared" si="1093"/>
        <v>0.23036898201247658</v>
      </c>
      <c r="AK325" s="287">
        <f t="shared" si="1093"/>
        <v>0.2821683603405658</v>
      </c>
      <c r="AL325" s="329">
        <f>AH325*0.8</f>
        <v>0.28466681043778308</v>
      </c>
      <c r="AM325" s="329">
        <f>AL325*0.95</f>
        <v>0.2704334699158939</v>
      </c>
      <c r="AN325" s="329">
        <f>AM325*0.8</f>
        <v>0.21634677593271512</v>
      </c>
    </row>
    <row r="326" spans="3:44" s="111" customFormat="1" x14ac:dyDescent="0.2">
      <c r="D326" s="130" t="str">
        <f>'Company Data'!B61</f>
        <v>Long-term Liabilities</v>
      </c>
      <c r="G326" s="168"/>
      <c r="H326" s="168"/>
      <c r="I326" s="337">
        <f>'Company Data'!U61</f>
        <v>1379</v>
      </c>
      <c r="J326" s="337">
        <f>'Company Data'!V61</f>
        <v>2370</v>
      </c>
      <c r="K326" s="337">
        <f>'Company Data'!W61</f>
        <v>2277</v>
      </c>
      <c r="L326" s="337">
        <f>'Company Data'!X61</f>
        <v>4242</v>
      </c>
      <c r="M326" s="337">
        <f>'Company Data'!Y61</f>
        <v>7410</v>
      </c>
      <c r="N326" s="337">
        <f>'Company Data'!Z61</f>
        <v>9926</v>
      </c>
      <c r="O326" s="169">
        <f>AN326</f>
        <v>9966</v>
      </c>
      <c r="P326" s="169">
        <f t="shared" ref="P326:S326" si="1094">O326</f>
        <v>9966</v>
      </c>
      <c r="Q326" s="169">
        <f t="shared" si="1094"/>
        <v>9966</v>
      </c>
      <c r="R326" s="169">
        <f t="shared" si="1094"/>
        <v>9966</v>
      </c>
      <c r="S326" s="169">
        <f t="shared" si="1094"/>
        <v>9966</v>
      </c>
      <c r="T326" s="280"/>
      <c r="U326" s="337">
        <f>'Company Data'!C61</f>
        <v>2580</v>
      </c>
      <c r="V326" s="337">
        <f>'Company Data'!D61</f>
        <v>2553</v>
      </c>
      <c r="W326" s="337">
        <f>'Company Data'!E61</f>
        <v>2676</v>
      </c>
      <c r="X326" s="337">
        <f>'Company Data'!F61</f>
        <v>2277</v>
      </c>
      <c r="Y326" s="337">
        <f>'Company Data'!G61</f>
        <v>2573</v>
      </c>
      <c r="Z326" s="337">
        <f>'Company Data'!H61</f>
        <v>3113</v>
      </c>
      <c r="AA326" s="337">
        <f>'Company Data'!I61</f>
        <v>3596</v>
      </c>
      <c r="AB326" s="337">
        <f>'Company Data'!J61</f>
        <v>4242</v>
      </c>
      <c r="AC326" s="337">
        <f>'Company Data'!K61</f>
        <v>4532</v>
      </c>
      <c r="AD326" s="337">
        <f>'Company Data'!L61</f>
        <v>5426</v>
      </c>
      <c r="AE326" s="337">
        <f>'Company Data'!M61</f>
        <v>6142</v>
      </c>
      <c r="AF326" s="337">
        <f>'Company Data'!N61</f>
        <v>7410</v>
      </c>
      <c r="AG326" s="337">
        <f>'Company Data'!O61</f>
        <v>7768</v>
      </c>
      <c r="AH326" s="337">
        <f>'Company Data'!P61</f>
        <v>8510</v>
      </c>
      <c r="AI326" s="337">
        <f>'Company Data'!Q61</f>
        <v>8900</v>
      </c>
      <c r="AJ326" s="337">
        <f>'Company Data'!R61</f>
        <v>9926</v>
      </c>
      <c r="AK326" s="337">
        <f>'Company Data'!S61</f>
        <v>9966</v>
      </c>
      <c r="AL326" s="187">
        <f>AK326</f>
        <v>9966</v>
      </c>
      <c r="AM326" s="187">
        <f t="shared" ref="AM326:AN326" si="1095">AL326</f>
        <v>9966</v>
      </c>
      <c r="AN326" s="187">
        <f t="shared" si="1095"/>
        <v>9966</v>
      </c>
      <c r="AO326" s="84"/>
      <c r="AP326" s="84"/>
      <c r="AQ326" s="84"/>
      <c r="AR326" s="129"/>
    </row>
    <row r="327" spans="3:44" x14ac:dyDescent="0.2">
      <c r="E327" s="290" t="s">
        <v>296</v>
      </c>
      <c r="H327" s="287"/>
      <c r="I327" s="287">
        <f t="shared" ref="I327:N327" si="1096">I121/I326</f>
        <v>0.41769398114575779</v>
      </c>
      <c r="J327" s="287">
        <f t="shared" si="1096"/>
        <v>0.34261603375527427</v>
      </c>
      <c r="K327" s="287">
        <f t="shared" si="1096"/>
        <v>0.46332894158981114</v>
      </c>
      <c r="L327" s="287">
        <f t="shared" si="1096"/>
        <v>0.293022159358793</v>
      </c>
      <c r="M327" s="287">
        <f t="shared" si="1096"/>
        <v>0.22739541160593793</v>
      </c>
      <c r="N327" s="287">
        <f t="shared" si="1096"/>
        <v>0.19322990126939352</v>
      </c>
      <c r="O327" s="287"/>
      <c r="P327" s="329"/>
      <c r="Q327" s="329"/>
      <c r="R327" s="329"/>
      <c r="S327" s="329"/>
      <c r="T327" s="287"/>
      <c r="U327" s="287">
        <f t="shared" ref="U327:AN327" si="1097">U121/U326</f>
        <v>9.5348837209302331E-2</v>
      </c>
      <c r="V327" s="287">
        <f t="shared" si="1097"/>
        <v>0.10340775558166862</v>
      </c>
      <c r="W327" s="287">
        <f t="shared" si="1097"/>
        <v>0.10201793721973094</v>
      </c>
      <c r="X327" s="287">
        <f t="shared" si="1097"/>
        <v>0.11989459815546773</v>
      </c>
      <c r="Y327" s="287">
        <f t="shared" si="1097"/>
        <v>0.10765643218033424</v>
      </c>
      <c r="Z327" s="287">
        <f t="shared" si="1097"/>
        <v>0.10215226469643431</v>
      </c>
      <c r="AA327" s="287">
        <f t="shared" si="1097"/>
        <v>8.0367074527252502E-2</v>
      </c>
      <c r="AB327" s="287">
        <f t="shared" si="1097"/>
        <v>8.4394153701084398E-2</v>
      </c>
      <c r="AC327" s="287">
        <f t="shared" si="1097"/>
        <v>7.9876434245366279E-2</v>
      </c>
      <c r="AD327" s="287">
        <f t="shared" si="1097"/>
        <v>7.4640619240692957E-2</v>
      </c>
      <c r="AE327" s="287">
        <f t="shared" si="1097"/>
        <v>7.1149462715727779E-2</v>
      </c>
      <c r="AF327" s="287">
        <f t="shared" si="1097"/>
        <v>6.491228070175438E-2</v>
      </c>
      <c r="AG327" s="287">
        <f t="shared" si="1097"/>
        <v>6.063336766220391E-2</v>
      </c>
      <c r="AH327" s="287">
        <f t="shared" si="1097"/>
        <v>6.0517038777908344E-2</v>
      </c>
      <c r="AI327" s="287">
        <f t="shared" si="1097"/>
        <v>5.6853932584269663E-2</v>
      </c>
      <c r="AJ327" s="287">
        <f t="shared" si="1097"/>
        <v>4.2917590167237556E-2</v>
      </c>
      <c r="AK327" s="287">
        <f t="shared" si="1097"/>
        <v>5.4384908689544452E-2</v>
      </c>
      <c r="AL327" s="287">
        <f t="shared" si="1097"/>
        <v>5.9380339783449976E-2</v>
      </c>
      <c r="AM327" s="287">
        <f t="shared" si="1097"/>
        <v>5.83059396235601E-2</v>
      </c>
      <c r="AN327" s="287">
        <f t="shared" si="1097"/>
        <v>6.4207282496361082E-2</v>
      </c>
    </row>
    <row r="328" spans="3:44" s="111" customFormat="1" hidden="1" outlineLevel="1" x14ac:dyDescent="0.2">
      <c r="F328" s="74"/>
      <c r="G328" s="74"/>
      <c r="H328" s="74"/>
      <c r="I328" s="145"/>
      <c r="J328" s="145"/>
      <c r="K328" s="145"/>
      <c r="L328" s="145"/>
      <c r="M328" s="145"/>
      <c r="N328" s="145"/>
      <c r="O328" s="159"/>
      <c r="P328" s="159"/>
      <c r="Q328" s="159"/>
      <c r="R328" s="160"/>
      <c r="S328" s="159"/>
      <c r="T328" s="280"/>
      <c r="U328" s="145"/>
      <c r="V328" s="145"/>
      <c r="W328" s="145"/>
      <c r="X328" s="145"/>
      <c r="Y328" s="145"/>
      <c r="Z328" s="145"/>
      <c r="AA328" s="145"/>
      <c r="AB328" s="145"/>
      <c r="AC328" s="145"/>
      <c r="AD328" s="145"/>
      <c r="AE328" s="145"/>
      <c r="AF328" s="145"/>
      <c r="AG328" s="145"/>
      <c r="AH328" s="145"/>
      <c r="AI328" s="145"/>
      <c r="AJ328" s="145"/>
      <c r="AK328" s="145"/>
      <c r="AL328" s="159"/>
      <c r="AM328" s="159"/>
      <c r="AN328" s="159"/>
      <c r="AO328" s="84"/>
      <c r="AP328" s="84"/>
      <c r="AQ328" s="84"/>
      <c r="AR328" s="129"/>
    </row>
    <row r="329" spans="3:44" s="111" customFormat="1" hidden="1" outlineLevel="1" x14ac:dyDescent="0.2">
      <c r="F329" s="74"/>
      <c r="G329" s="74"/>
      <c r="H329" s="74"/>
      <c r="I329" s="145"/>
      <c r="J329" s="145"/>
      <c r="K329" s="145"/>
      <c r="L329" s="145"/>
      <c r="M329" s="145"/>
      <c r="N329" s="145"/>
      <c r="O329" s="159"/>
      <c r="P329" s="159"/>
      <c r="Q329" s="159"/>
      <c r="R329" s="160"/>
      <c r="S329" s="159"/>
      <c r="T329" s="280"/>
      <c r="U329" s="145"/>
      <c r="V329" s="145"/>
      <c r="W329" s="145"/>
      <c r="X329" s="145"/>
      <c r="Y329" s="145"/>
      <c r="Z329" s="145"/>
      <c r="AA329" s="145"/>
      <c r="AB329" s="145"/>
      <c r="AC329" s="145"/>
      <c r="AD329" s="145"/>
      <c r="AE329" s="145"/>
      <c r="AF329" s="145"/>
      <c r="AG329" s="145"/>
      <c r="AH329" s="145"/>
      <c r="AI329" s="145"/>
      <c r="AJ329" s="145"/>
      <c r="AK329" s="145"/>
      <c r="AL329" s="159"/>
      <c r="AM329" s="159"/>
      <c r="AN329" s="159"/>
      <c r="AO329" s="84"/>
      <c r="AP329" s="84"/>
      <c r="AQ329" s="84"/>
      <c r="AR329" s="129"/>
    </row>
    <row r="330" spans="3:44" s="111" customFormat="1" hidden="1" outlineLevel="1" x14ac:dyDescent="0.2">
      <c r="F330" s="74"/>
      <c r="G330" s="74"/>
      <c r="H330" s="74"/>
      <c r="I330" s="145"/>
      <c r="J330" s="145"/>
      <c r="K330" s="145"/>
      <c r="L330" s="145"/>
      <c r="M330" s="145"/>
      <c r="N330" s="145"/>
      <c r="O330" s="159"/>
      <c r="P330" s="159"/>
      <c r="Q330" s="159"/>
      <c r="R330" s="160"/>
      <c r="S330" s="159"/>
      <c r="T330" s="280"/>
      <c r="U330" s="145"/>
      <c r="V330" s="145"/>
      <c r="W330" s="145"/>
      <c r="X330" s="145"/>
      <c r="Y330" s="145"/>
      <c r="Z330" s="145"/>
      <c r="AA330" s="145"/>
      <c r="AB330" s="145"/>
      <c r="AC330" s="145"/>
      <c r="AD330" s="145"/>
      <c r="AE330" s="145"/>
      <c r="AF330" s="145"/>
      <c r="AG330" s="145"/>
      <c r="AH330" s="145"/>
      <c r="AI330" s="145"/>
      <c r="AJ330" s="145"/>
      <c r="AK330" s="145"/>
      <c r="AL330" s="159"/>
      <c r="AM330" s="159"/>
      <c r="AN330" s="159"/>
      <c r="AO330" s="84"/>
      <c r="AP330" s="84"/>
      <c r="AQ330" s="84"/>
      <c r="AR330" s="129"/>
    </row>
    <row r="331" spans="3:44" s="111" customFormat="1" hidden="1" outlineLevel="1" x14ac:dyDescent="0.2">
      <c r="F331" s="74"/>
      <c r="G331" s="74"/>
      <c r="H331" s="74"/>
      <c r="I331" s="145"/>
      <c r="J331" s="145"/>
      <c r="K331" s="145"/>
      <c r="L331" s="145"/>
      <c r="M331" s="145"/>
      <c r="N331" s="145"/>
      <c r="O331" s="159"/>
      <c r="P331" s="159"/>
      <c r="Q331" s="159"/>
      <c r="R331" s="160"/>
      <c r="S331" s="159"/>
      <c r="T331" s="280"/>
      <c r="U331" s="145"/>
      <c r="V331" s="145"/>
      <c r="W331" s="145"/>
      <c r="X331" s="145"/>
      <c r="Y331" s="145"/>
      <c r="Z331" s="145"/>
      <c r="AA331" s="145"/>
      <c r="AB331" s="145"/>
      <c r="AC331" s="145"/>
      <c r="AD331" s="145"/>
      <c r="AE331" s="145"/>
      <c r="AF331" s="145"/>
      <c r="AG331" s="145"/>
      <c r="AH331" s="145"/>
      <c r="AI331" s="145"/>
      <c r="AJ331" s="145"/>
      <c r="AK331" s="145"/>
      <c r="AL331" s="159"/>
      <c r="AM331" s="159"/>
      <c r="AN331" s="159"/>
      <c r="AO331" s="84"/>
      <c r="AP331" s="84"/>
      <c r="AQ331" s="84"/>
      <c r="AR331" s="129"/>
    </row>
    <row r="332" spans="3:44" s="111" customFormat="1" hidden="1" outlineLevel="1" x14ac:dyDescent="0.2">
      <c r="F332" s="74"/>
      <c r="G332" s="74"/>
      <c r="H332" s="74"/>
      <c r="I332" s="145"/>
      <c r="J332" s="145"/>
      <c r="K332" s="145"/>
      <c r="L332" s="145"/>
      <c r="M332" s="145"/>
      <c r="N332" s="145"/>
      <c r="O332" s="159"/>
      <c r="P332" s="159"/>
      <c r="Q332" s="159"/>
      <c r="R332" s="160"/>
      <c r="S332" s="159"/>
      <c r="T332" s="280"/>
      <c r="U332" s="145"/>
      <c r="V332" s="145"/>
      <c r="W332" s="145"/>
      <c r="X332" s="145"/>
      <c r="Y332" s="145"/>
      <c r="Z332" s="145"/>
      <c r="AA332" s="145"/>
      <c r="AB332" s="145"/>
      <c r="AC332" s="145"/>
      <c r="AD332" s="145"/>
      <c r="AE332" s="145"/>
      <c r="AF332" s="145"/>
      <c r="AG332" s="145"/>
      <c r="AH332" s="145"/>
      <c r="AI332" s="145"/>
      <c r="AJ332" s="145"/>
      <c r="AK332" s="145"/>
      <c r="AL332" s="159"/>
      <c r="AM332" s="159"/>
      <c r="AN332" s="159"/>
      <c r="AO332" s="84"/>
      <c r="AP332" s="84"/>
      <c r="AQ332" s="84"/>
      <c r="AR332" s="129"/>
    </row>
    <row r="333" spans="3:44" s="111" customFormat="1" hidden="1" outlineLevel="1" x14ac:dyDescent="0.2">
      <c r="F333" s="74"/>
      <c r="G333" s="74"/>
      <c r="H333" s="74"/>
      <c r="I333" s="145"/>
      <c r="J333" s="145"/>
      <c r="K333" s="145"/>
      <c r="L333" s="145"/>
      <c r="M333" s="145"/>
      <c r="N333" s="145"/>
      <c r="O333" s="159"/>
      <c r="P333" s="159"/>
      <c r="Q333" s="159"/>
      <c r="R333" s="160"/>
      <c r="S333" s="159"/>
      <c r="T333" s="280"/>
      <c r="U333" s="145"/>
      <c r="V333" s="145"/>
      <c r="W333" s="145"/>
      <c r="X333" s="145"/>
      <c r="Y333" s="145"/>
      <c r="Z333" s="145"/>
      <c r="AA333" s="145"/>
      <c r="AB333" s="145"/>
      <c r="AC333" s="145"/>
      <c r="AD333" s="145"/>
      <c r="AE333" s="145"/>
      <c r="AF333" s="145"/>
      <c r="AG333" s="145"/>
      <c r="AH333" s="145"/>
      <c r="AI333" s="145"/>
      <c r="AJ333" s="145"/>
      <c r="AK333" s="145"/>
      <c r="AL333" s="159"/>
      <c r="AM333" s="159"/>
      <c r="AN333" s="159"/>
      <c r="AO333" s="84"/>
      <c r="AP333" s="84"/>
      <c r="AQ333" s="84"/>
      <c r="AR333" s="129"/>
    </row>
    <row r="334" spans="3:44" s="111" customFormat="1" hidden="1" outlineLevel="1" x14ac:dyDescent="0.2">
      <c r="F334" s="74"/>
      <c r="G334" s="74"/>
      <c r="H334" s="74"/>
      <c r="I334" s="145"/>
      <c r="J334" s="145"/>
      <c r="K334" s="145"/>
      <c r="L334" s="145"/>
      <c r="M334" s="145"/>
      <c r="N334" s="145"/>
      <c r="O334" s="159"/>
      <c r="P334" s="159"/>
      <c r="Q334" s="159"/>
      <c r="R334" s="160"/>
      <c r="S334" s="159"/>
      <c r="T334" s="280"/>
      <c r="U334" s="145"/>
      <c r="V334" s="145"/>
      <c r="W334" s="145"/>
      <c r="X334" s="145"/>
      <c r="Y334" s="145"/>
      <c r="Z334" s="145"/>
      <c r="AA334" s="145"/>
      <c r="AB334" s="145"/>
      <c r="AC334" s="145"/>
      <c r="AD334" s="145"/>
      <c r="AE334" s="145"/>
      <c r="AF334" s="145"/>
      <c r="AG334" s="145"/>
      <c r="AH334" s="145"/>
      <c r="AI334" s="145"/>
      <c r="AJ334" s="145"/>
      <c r="AK334" s="145"/>
      <c r="AL334" s="159"/>
      <c r="AM334" s="159"/>
      <c r="AN334" s="159"/>
      <c r="AO334" s="84"/>
      <c r="AP334" s="84"/>
      <c r="AQ334" s="84"/>
      <c r="AR334" s="129"/>
    </row>
    <row r="335" spans="3:44" s="111" customFormat="1" hidden="1" outlineLevel="1" x14ac:dyDescent="0.2">
      <c r="F335" s="74"/>
      <c r="G335" s="74"/>
      <c r="H335" s="74"/>
      <c r="I335" s="145"/>
      <c r="J335" s="145"/>
      <c r="K335" s="145"/>
      <c r="L335" s="145"/>
      <c r="M335" s="145"/>
      <c r="N335" s="145"/>
      <c r="O335" s="159"/>
      <c r="P335" s="159"/>
      <c r="Q335" s="159"/>
      <c r="R335" s="160"/>
      <c r="S335" s="159"/>
      <c r="T335" s="280"/>
      <c r="U335" s="145"/>
      <c r="V335" s="145"/>
      <c r="W335" s="145"/>
      <c r="X335" s="145"/>
      <c r="Y335" s="145"/>
      <c r="Z335" s="145"/>
      <c r="AA335" s="145"/>
      <c r="AB335" s="145"/>
      <c r="AC335" s="145"/>
      <c r="AD335" s="145"/>
      <c r="AE335" s="145"/>
      <c r="AF335" s="145"/>
      <c r="AG335" s="145"/>
      <c r="AH335" s="145"/>
      <c r="AI335" s="145"/>
      <c r="AJ335" s="145"/>
      <c r="AK335" s="145"/>
      <c r="AL335" s="159"/>
      <c r="AM335" s="159"/>
      <c r="AN335" s="159"/>
      <c r="AO335" s="84"/>
      <c r="AP335" s="84"/>
      <c r="AQ335" s="84"/>
      <c r="AR335" s="129"/>
    </row>
    <row r="336" spans="3:44" s="111" customFormat="1" hidden="1" outlineLevel="1" x14ac:dyDescent="0.2">
      <c r="F336" s="74"/>
      <c r="G336" s="74"/>
      <c r="H336" s="74"/>
      <c r="I336" s="145"/>
      <c r="J336" s="145"/>
      <c r="K336" s="145"/>
      <c r="L336" s="145"/>
      <c r="M336" s="145"/>
      <c r="N336" s="145"/>
      <c r="O336" s="159"/>
      <c r="P336" s="159"/>
      <c r="Q336" s="159"/>
      <c r="R336" s="160"/>
      <c r="S336" s="159"/>
      <c r="T336" s="280"/>
      <c r="U336" s="145"/>
      <c r="V336" s="145"/>
      <c r="W336" s="145"/>
      <c r="X336" s="145"/>
      <c r="Y336" s="145"/>
      <c r="Z336" s="145"/>
      <c r="AA336" s="145"/>
      <c r="AB336" s="145"/>
      <c r="AC336" s="145"/>
      <c r="AD336" s="145"/>
      <c r="AE336" s="145"/>
      <c r="AF336" s="145"/>
      <c r="AG336" s="145"/>
      <c r="AH336" s="145"/>
      <c r="AI336" s="145"/>
      <c r="AJ336" s="145"/>
      <c r="AK336" s="145"/>
      <c r="AL336" s="159"/>
      <c r="AM336" s="159"/>
      <c r="AN336" s="159"/>
      <c r="AO336" s="84"/>
      <c r="AP336" s="84"/>
      <c r="AQ336" s="84"/>
      <c r="AR336" s="129"/>
    </row>
    <row r="337" spans="2:44" s="74" customFormat="1" collapsed="1" x14ac:dyDescent="0.2">
      <c r="B337" s="127" t="s">
        <v>148</v>
      </c>
      <c r="C337" s="127"/>
      <c r="D337" s="127"/>
      <c r="G337" s="128"/>
      <c r="H337" s="128"/>
      <c r="I337" s="221">
        <f>SUM(I323:I336)+I320-I325-I327-I324</f>
        <v>11933</v>
      </c>
      <c r="J337" s="221">
        <f t="shared" ref="J337:S337" si="1098">SUM(J323:J336)+J320-J325-J327-J324</f>
        <v>17521</v>
      </c>
      <c r="K337" s="221">
        <f t="shared" si="1098"/>
        <v>24363</v>
      </c>
      <c r="L337" s="221">
        <f t="shared" si="1098"/>
        <v>30413.000000000004</v>
      </c>
      <c r="M337" s="221">
        <f t="shared" si="1098"/>
        <v>43764.000000000007</v>
      </c>
      <c r="N337" s="221">
        <f t="shared" si="1098"/>
        <v>52060</v>
      </c>
      <c r="O337" s="221">
        <f t="shared" si="1098"/>
        <v>61223.259691264539</v>
      </c>
      <c r="P337" s="221">
        <f t="shared" si="1098"/>
        <v>71486.485139025608</v>
      </c>
      <c r="Q337" s="221">
        <f t="shared" si="1098"/>
        <v>84032.388729489248</v>
      </c>
      <c r="R337" s="221">
        <f t="shared" si="1098"/>
        <v>98175.218140543264</v>
      </c>
      <c r="S337" s="221">
        <f t="shared" si="1098"/>
        <v>113829.58608721274</v>
      </c>
      <c r="T337" s="276"/>
      <c r="U337" s="277">
        <f>SUM(U323:U336)+U320-U327</f>
        <v>13068</v>
      </c>
      <c r="V337" s="277">
        <f t="shared" ref="V337:W337" si="1099">SUM(V323:V336)+V320-V327</f>
        <v>13517</v>
      </c>
      <c r="W337" s="277">
        <f t="shared" si="1099"/>
        <v>15281.000000000002</v>
      </c>
      <c r="X337" s="221">
        <f t="shared" ref="X337" si="1100">SUM(X323:X336)+X320-X325-X327-X324</f>
        <v>24363</v>
      </c>
      <c r="Y337" s="221">
        <f t="shared" ref="Y337" si="1101">SUM(Y323:Y336)+Y320-Y325-Y327-Y324</f>
        <v>19945</v>
      </c>
      <c r="Z337" s="221">
        <f t="shared" ref="Z337" si="1102">SUM(Z323:Z336)+Z320-Z325-Z327-Z324</f>
        <v>20890</v>
      </c>
      <c r="AA337" s="221">
        <f t="shared" ref="AA337" si="1103">SUM(AA323:AA336)+AA320-AA325-AA327-AA324</f>
        <v>22774</v>
      </c>
      <c r="AB337" s="221">
        <f t="shared" ref="AB337" si="1104">SUM(AB323:AB336)+AB320-AB325-AB327-AB324</f>
        <v>30413</v>
      </c>
      <c r="AC337" s="221">
        <f t="shared" ref="AC337" si="1105">SUM(AC323:AC336)+AC320-AC325-AC327-AC324</f>
        <v>26036</v>
      </c>
      <c r="AD337" s="221">
        <f t="shared" ref="AD337" si="1106">SUM(AD323:AD336)+AD320-AD325-AD327-AD324</f>
        <v>27296.000000000004</v>
      </c>
      <c r="AE337" s="221">
        <f t="shared" ref="AE337" si="1107">SUM(AE323:AE336)+AE320-AE325-AE327-AE324</f>
        <v>30083</v>
      </c>
      <c r="AF337" s="221">
        <f t="shared" ref="AF337" si="1108">SUM(AF323:AF336)+AF320-AF325-AF327-AF324</f>
        <v>43764.000000000007</v>
      </c>
      <c r="AG337" s="221">
        <f t="shared" ref="AG337" si="1109">SUM(AG323:AG336)+AG320-AG325-AG327-AG324</f>
        <v>39202</v>
      </c>
      <c r="AH337" s="221">
        <f t="shared" ref="AH337" si="1110">SUM(AH323:AH336)+AH320-AH325-AH327-AH324</f>
        <v>40672</v>
      </c>
      <c r="AI337" s="221">
        <f t="shared" ref="AI337" si="1111">SUM(AI323:AI336)+AI320-AI325-AI327-AI324</f>
        <v>43800</v>
      </c>
      <c r="AJ337" s="221">
        <f t="shared" ref="AJ337:AK337" si="1112">SUM(AJ323:AJ336)+AJ320-AJ325-AJ327-AJ324</f>
        <v>52060.000000000007</v>
      </c>
      <c r="AK337" s="221">
        <f t="shared" si="1112"/>
        <v>46372</v>
      </c>
      <c r="AL337" s="221">
        <f t="shared" ref="AL337" si="1113">SUM(AL323:AL336)+AL320-AL325-AL327-AL324</f>
        <v>47530.30698827545</v>
      </c>
      <c r="AM337" s="221">
        <f t="shared" ref="AM337" si="1114">SUM(AM323:AM336)+AM320-AM325-AM327-AM324</f>
        <v>50768.415857550077</v>
      </c>
      <c r="AN337" s="221">
        <f t="shared" ref="AN337" si="1115">SUM(AN323:AN336)+AN320-AN325-AN327-AN324</f>
        <v>61223.259691264539</v>
      </c>
      <c r="AO337" s="110"/>
      <c r="AP337" s="110"/>
      <c r="AQ337" s="110"/>
    </row>
    <row r="338" spans="2:44" s="74" customFormat="1" x14ac:dyDescent="0.2">
      <c r="F338" s="128"/>
      <c r="G338" s="128"/>
      <c r="H338" s="128"/>
      <c r="I338" s="283"/>
      <c r="J338" s="212"/>
      <c r="K338" s="212"/>
      <c r="L338" s="212"/>
      <c r="M338" s="212"/>
      <c r="N338" s="212"/>
      <c r="O338" s="212"/>
      <c r="P338" s="212">
        <f>P326-O326</f>
        <v>0</v>
      </c>
      <c r="Q338" s="212">
        <f>Q326-P326</f>
        <v>0</v>
      </c>
      <c r="R338" s="212">
        <f>R326-Q326</f>
        <v>0</v>
      </c>
      <c r="S338" s="212">
        <f>S326-R326</f>
        <v>0</v>
      </c>
      <c r="T338" s="212"/>
      <c r="U338" s="270"/>
      <c r="V338" s="270"/>
      <c r="W338" s="270"/>
      <c r="X338" s="270"/>
      <c r="Y338" s="212"/>
      <c r="Z338" s="212"/>
      <c r="AA338" s="212"/>
      <c r="AB338" s="212"/>
      <c r="AC338" s="212"/>
      <c r="AD338" s="212"/>
      <c r="AE338" s="212"/>
      <c r="AF338" s="212"/>
      <c r="AG338" s="212"/>
      <c r="AH338" s="212"/>
      <c r="AI338" s="212"/>
      <c r="AJ338" s="212"/>
      <c r="AK338" s="212"/>
      <c r="AL338" s="212"/>
      <c r="AM338" s="212"/>
      <c r="AN338" s="212"/>
      <c r="AO338" s="110"/>
      <c r="AP338" s="110"/>
      <c r="AQ338" s="110"/>
    </row>
    <row r="339" spans="2:44" s="111" customFormat="1" x14ac:dyDescent="0.2">
      <c r="B339" s="271" t="str">
        <f>'Company Data'!B65</f>
        <v>Shareholders' Equity</v>
      </c>
      <c r="G339" s="128"/>
      <c r="H339" s="128"/>
      <c r="I339" s="84"/>
      <c r="J339" s="84"/>
      <c r="K339" s="84"/>
      <c r="L339" s="84"/>
      <c r="M339" s="84"/>
      <c r="N339" s="84"/>
      <c r="O339" s="84"/>
      <c r="P339" s="84"/>
      <c r="Q339" s="84"/>
      <c r="R339" s="84"/>
      <c r="S339" s="84"/>
      <c r="T339" s="109"/>
      <c r="U339" s="84"/>
      <c r="V339" s="84"/>
      <c r="W339" s="84"/>
      <c r="X339" s="84"/>
      <c r="Y339" s="84"/>
      <c r="Z339" s="84"/>
      <c r="AA339" s="84"/>
      <c r="AB339" s="84"/>
      <c r="AC339" s="84"/>
      <c r="AD339" s="84"/>
      <c r="AE339" s="84"/>
      <c r="AF339" s="84"/>
      <c r="AG339" s="84"/>
      <c r="AH339" s="84"/>
      <c r="AI339" s="84"/>
      <c r="AJ339" s="84"/>
      <c r="AK339" s="84"/>
      <c r="AL339" s="84"/>
      <c r="AM339" s="84"/>
      <c r="AN339" s="84"/>
      <c r="AO339" s="84"/>
      <c r="AP339" s="84"/>
      <c r="AQ339" s="84"/>
      <c r="AR339" s="129"/>
    </row>
    <row r="340" spans="2:44" s="111" customFormat="1" x14ac:dyDescent="0.2">
      <c r="C340" s="130" t="str">
        <f>'Company Data'!B66</f>
        <v>Common Stock - Par Value</v>
      </c>
      <c r="I340" s="337">
        <f>'Company Data'!U66</f>
        <v>5</v>
      </c>
      <c r="J340" s="337">
        <f>'Company Data'!V66</f>
        <v>5</v>
      </c>
      <c r="K340" s="337">
        <f>'Company Data'!W66</f>
        <v>5</v>
      </c>
      <c r="L340" s="337">
        <f>'Company Data'!X66</f>
        <v>5</v>
      </c>
      <c r="M340" s="337">
        <f>'Company Data'!Y66</f>
        <v>5</v>
      </c>
      <c r="N340" s="337">
        <f>'Company Data'!Z66</f>
        <v>5</v>
      </c>
      <c r="O340" s="169"/>
      <c r="P340" s="169"/>
      <c r="Q340" s="169"/>
      <c r="R340" s="170"/>
      <c r="S340" s="169"/>
      <c r="T340" s="280"/>
      <c r="U340" s="337">
        <f>'Company Data'!C66</f>
        <v>5</v>
      </c>
      <c r="V340" s="337">
        <f>'Company Data'!D66</f>
        <v>5</v>
      </c>
      <c r="W340" s="337">
        <f>'Company Data'!E66</f>
        <v>5</v>
      </c>
      <c r="X340" s="337">
        <f>'Company Data'!F66</f>
        <v>5</v>
      </c>
      <c r="Y340" s="337">
        <f>'Company Data'!G66</f>
        <v>5</v>
      </c>
      <c r="Z340" s="337">
        <f>'Company Data'!H66</f>
        <v>5</v>
      </c>
      <c r="AA340" s="337">
        <f>'Company Data'!I66</f>
        <v>5</v>
      </c>
      <c r="AB340" s="337">
        <f>'Company Data'!J66</f>
        <v>5</v>
      </c>
      <c r="AC340" s="337">
        <f>'Company Data'!K66</f>
        <v>5</v>
      </c>
      <c r="AD340" s="337">
        <f>'Company Data'!L66</f>
        <v>5</v>
      </c>
      <c r="AE340" s="337">
        <f>'Company Data'!M66</f>
        <v>5</v>
      </c>
      <c r="AF340" s="337">
        <f>'Company Data'!N66</f>
        <v>5</v>
      </c>
      <c r="AG340" s="337">
        <f>'Company Data'!O66</f>
        <v>5</v>
      </c>
      <c r="AH340" s="337">
        <f>'Company Data'!P66</f>
        <v>5</v>
      </c>
      <c r="AI340" s="337">
        <f>'Company Data'!Q66</f>
        <v>5</v>
      </c>
      <c r="AJ340" s="337">
        <f>'Company Data'!R66</f>
        <v>5</v>
      </c>
      <c r="AK340" s="337">
        <f>'Company Data'!S66</f>
        <v>5</v>
      </c>
      <c r="AL340" s="169"/>
      <c r="AM340" s="169"/>
      <c r="AN340" s="169"/>
      <c r="AO340" s="131"/>
      <c r="AP340" s="131"/>
      <c r="AQ340" s="131"/>
    </row>
    <row r="341" spans="2:44" s="74" customFormat="1" x14ac:dyDescent="0.2">
      <c r="C341" s="130" t="str">
        <f>'Company Data'!B67</f>
        <v>Additional Paid in Capital</v>
      </c>
      <c r="G341" s="111"/>
      <c r="H341" s="111"/>
      <c r="I341" s="337">
        <f>'Company Data'!U67</f>
        <v>6325</v>
      </c>
      <c r="J341" s="337">
        <f>'Company Data'!V67</f>
        <v>6990</v>
      </c>
      <c r="K341" s="337">
        <f>'Company Data'!W67</f>
        <v>8347</v>
      </c>
      <c r="L341" s="337">
        <f>'Company Data'!X67</f>
        <v>9573</v>
      </c>
      <c r="M341" s="337">
        <f>'Company Data'!Y67</f>
        <v>11135</v>
      </c>
      <c r="N341" s="337">
        <f>'Company Data'!Z67</f>
        <v>13394</v>
      </c>
      <c r="O341" s="169"/>
      <c r="P341" s="169"/>
      <c r="Q341" s="169"/>
      <c r="R341" s="170"/>
      <c r="S341" s="169"/>
      <c r="T341" s="280"/>
      <c r="U341" s="337">
        <f>'Company Data'!C67</f>
        <v>7192</v>
      </c>
      <c r="V341" s="337">
        <f>'Company Data'!D67</f>
        <v>7573</v>
      </c>
      <c r="W341" s="337">
        <f>'Company Data'!E67</f>
        <v>7863</v>
      </c>
      <c r="X341" s="337">
        <f>'Company Data'!F67</f>
        <v>8347</v>
      </c>
      <c r="Y341" s="337">
        <f>'Company Data'!G67</f>
        <v>8585</v>
      </c>
      <c r="Z341" s="337">
        <f>'Company Data'!H67</f>
        <v>8893</v>
      </c>
      <c r="AA341" s="337">
        <f>'Company Data'!I67</f>
        <v>9175</v>
      </c>
      <c r="AB341" s="337">
        <f>'Company Data'!J67</f>
        <v>9573</v>
      </c>
      <c r="AC341" s="337">
        <f>'Company Data'!K67</f>
        <v>10019</v>
      </c>
      <c r="AD341" s="337">
        <f>'Company Data'!L67</f>
        <v>10405</v>
      </c>
      <c r="AE341" s="337">
        <f>'Company Data'!M67</f>
        <v>10827</v>
      </c>
      <c r="AF341" s="337">
        <f>'Company Data'!N67</f>
        <v>11135</v>
      </c>
      <c r="AG341" s="337">
        <f>'Company Data'!O67</f>
        <v>11565</v>
      </c>
      <c r="AH341" s="337">
        <f>'Company Data'!P67</f>
        <v>12233</v>
      </c>
      <c r="AI341" s="337">
        <f>'Company Data'!Q67</f>
        <v>12874</v>
      </c>
      <c r="AJ341" s="337">
        <f>'Company Data'!R67</f>
        <v>13394</v>
      </c>
      <c r="AK341" s="337">
        <f>'Company Data'!S67</f>
        <v>-1837</v>
      </c>
      <c r="AL341" s="169"/>
      <c r="AM341" s="169"/>
      <c r="AN341" s="169"/>
      <c r="AO341" s="110"/>
      <c r="AP341" s="110"/>
      <c r="AQ341" s="110"/>
    </row>
    <row r="342" spans="2:44" s="74" customFormat="1" x14ac:dyDescent="0.2">
      <c r="C342" s="130" t="str">
        <f>'Company Data'!B68</f>
        <v>Treasury Stock - Common</v>
      </c>
      <c r="G342" s="111"/>
      <c r="H342" s="111"/>
      <c r="I342" s="206">
        <f>'Company Data'!U68</f>
        <v>-600</v>
      </c>
      <c r="J342" s="206">
        <f>'Company Data'!V68</f>
        <v>-877</v>
      </c>
      <c r="K342" s="206">
        <f>'Company Data'!W68</f>
        <v>-1837</v>
      </c>
      <c r="L342" s="206">
        <f>'Company Data'!X68</f>
        <v>-1837</v>
      </c>
      <c r="M342" s="206">
        <f>'Company Data'!Y68</f>
        <v>-1837</v>
      </c>
      <c r="N342" s="206">
        <f>'Company Data'!Z68</f>
        <v>-1837</v>
      </c>
      <c r="O342" s="207"/>
      <c r="P342" s="207"/>
      <c r="Q342" s="207"/>
      <c r="R342" s="284"/>
      <c r="S342" s="207"/>
      <c r="T342" s="223"/>
      <c r="U342" s="206">
        <f>'Company Data'!C68</f>
        <v>-1837</v>
      </c>
      <c r="V342" s="206">
        <f>'Company Data'!D68</f>
        <v>-1837</v>
      </c>
      <c r="W342" s="206">
        <f>'Company Data'!E68</f>
        <v>-1837</v>
      </c>
      <c r="X342" s="206">
        <f>'Company Data'!F68</f>
        <v>-1837</v>
      </c>
      <c r="Y342" s="206">
        <f>'Company Data'!G68</f>
        <v>-1837</v>
      </c>
      <c r="Z342" s="206">
        <f>'Company Data'!H68</f>
        <v>-1837</v>
      </c>
      <c r="AA342" s="206">
        <f>'Company Data'!I68</f>
        <v>-1837</v>
      </c>
      <c r="AB342" s="206">
        <f>'Company Data'!J68</f>
        <v>-1837</v>
      </c>
      <c r="AC342" s="206">
        <f>'Company Data'!K68</f>
        <v>-1837</v>
      </c>
      <c r="AD342" s="206">
        <f>'Company Data'!L68</f>
        <v>-1837</v>
      </c>
      <c r="AE342" s="206">
        <f>'Company Data'!M68</f>
        <v>-1837</v>
      </c>
      <c r="AF342" s="206">
        <f>'Company Data'!N68</f>
        <v>-1837</v>
      </c>
      <c r="AG342" s="206">
        <f>'Company Data'!O68</f>
        <v>-1837</v>
      </c>
      <c r="AH342" s="206">
        <f>'Company Data'!P68</f>
        <v>-1837</v>
      </c>
      <c r="AI342" s="206">
        <f>'Company Data'!Q68</f>
        <v>-1837</v>
      </c>
      <c r="AJ342" s="206">
        <f>'Company Data'!R68</f>
        <v>-1837</v>
      </c>
      <c r="AK342" s="206">
        <f>'Company Data'!S68</f>
        <v>14144</v>
      </c>
      <c r="AL342" s="207"/>
      <c r="AM342" s="207"/>
      <c r="AN342" s="207"/>
      <c r="AO342" s="110"/>
      <c r="AP342" s="110"/>
      <c r="AQ342" s="110"/>
    </row>
    <row r="343" spans="2:44" s="111" customFormat="1" x14ac:dyDescent="0.2">
      <c r="C343" s="130" t="str">
        <f>'Company Data'!B69</f>
        <v>Retained Earnings (Accumulated Deficit)</v>
      </c>
      <c r="I343" s="206">
        <f>'Company Data'!U69</f>
        <v>1324</v>
      </c>
      <c r="J343" s="206">
        <f>'Company Data'!V69</f>
        <v>1955</v>
      </c>
      <c r="K343" s="206">
        <f>'Company Data'!W69</f>
        <v>1916</v>
      </c>
      <c r="L343" s="206">
        <f>'Company Data'!X69</f>
        <v>2190</v>
      </c>
      <c r="M343" s="206">
        <f>'Company Data'!Y69</f>
        <v>1949</v>
      </c>
      <c r="N343" s="206">
        <f>'Company Data'!Z69</f>
        <v>2545</v>
      </c>
      <c r="O343" s="207"/>
      <c r="P343" s="207"/>
      <c r="Q343" s="207"/>
      <c r="R343" s="284"/>
      <c r="S343" s="207"/>
      <c r="T343" s="223"/>
      <c r="U343" s="206">
        <f>'Company Data'!C69</f>
        <v>2085</v>
      </c>
      <c r="V343" s="206">
        <f>'Company Data'!D69</f>
        <v>2092</v>
      </c>
      <c r="W343" s="206">
        <f>'Company Data'!E69</f>
        <v>1818</v>
      </c>
      <c r="X343" s="206">
        <f>'Company Data'!F69</f>
        <v>1916</v>
      </c>
      <c r="Y343" s="206">
        <f>'Company Data'!G69</f>
        <v>1998</v>
      </c>
      <c r="Z343" s="206">
        <f>'Company Data'!H69</f>
        <v>1991</v>
      </c>
      <c r="AA343" s="206">
        <f>'Company Data'!I69</f>
        <v>1950</v>
      </c>
      <c r="AB343" s="206">
        <f>'Company Data'!J69</f>
        <v>2190</v>
      </c>
      <c r="AC343" s="206">
        <f>'Company Data'!K69</f>
        <v>2298</v>
      </c>
      <c r="AD343" s="206">
        <f>'Company Data'!L69</f>
        <v>2172</v>
      </c>
      <c r="AE343" s="206">
        <f>'Company Data'!M69</f>
        <v>1735</v>
      </c>
      <c r="AF343" s="206">
        <f>'Company Data'!N69</f>
        <v>1949</v>
      </c>
      <c r="AG343" s="206">
        <f>'Company Data'!O69</f>
        <v>1892</v>
      </c>
      <c r="AH343" s="206">
        <f>'Company Data'!P69</f>
        <v>1984</v>
      </c>
      <c r="AI343" s="206">
        <f>'Company Data'!Q69</f>
        <v>2063</v>
      </c>
      <c r="AJ343" s="206">
        <f>'Company Data'!R69</f>
        <v>2545</v>
      </c>
      <c r="AK343" s="206">
        <f>'Company Data'!S69</f>
        <v>-614</v>
      </c>
      <c r="AL343" s="207"/>
      <c r="AM343" s="207"/>
      <c r="AN343" s="207"/>
      <c r="AO343" s="131"/>
      <c r="AP343" s="131"/>
      <c r="AQ343" s="131"/>
    </row>
    <row r="344" spans="2:44" s="111" customFormat="1" x14ac:dyDescent="0.2">
      <c r="C344" s="130" t="str">
        <f>'Company Data'!B70</f>
        <v>Accumulated Other Comprehensive (Loss) income</v>
      </c>
      <c r="I344" s="206">
        <f>'Company Data'!U70</f>
        <v>-190</v>
      </c>
      <c r="J344" s="206">
        <f>'Company Data'!V70</f>
        <v>-316</v>
      </c>
      <c r="K344" s="206">
        <f>'Company Data'!W70</f>
        <v>-239</v>
      </c>
      <c r="L344" s="206">
        <f>'Company Data'!X70</f>
        <v>-185</v>
      </c>
      <c r="M344" s="206">
        <f>'Company Data'!Y70</f>
        <v>-511</v>
      </c>
      <c r="N344" s="206">
        <f>'Company Data'!Z70</f>
        <v>-723</v>
      </c>
      <c r="O344" s="207"/>
      <c r="P344" s="207"/>
      <c r="Q344" s="207"/>
      <c r="R344" s="284"/>
      <c r="S344" s="207"/>
      <c r="T344" s="223"/>
      <c r="U344" s="206">
        <f>'Company Data'!C70</f>
        <v>-174</v>
      </c>
      <c r="V344" s="206">
        <f>'Company Data'!D70</f>
        <v>-328</v>
      </c>
      <c r="W344" s="206">
        <f>'Company Data'!E70</f>
        <v>-296</v>
      </c>
      <c r="X344" s="206">
        <f>'Company Data'!F70</f>
        <v>-239</v>
      </c>
      <c r="Y344" s="206">
        <f>'Company Data'!G70</f>
        <v>-319</v>
      </c>
      <c r="Z344" s="206">
        <f>'Company Data'!H70</f>
        <v>-319</v>
      </c>
      <c r="AA344" s="206">
        <f>'Company Data'!I70</f>
        <v>-206</v>
      </c>
      <c r="AB344" s="206">
        <f>'Company Data'!J70</f>
        <v>-185</v>
      </c>
      <c r="AC344" s="206">
        <f>'Company Data'!K70</f>
        <v>-157</v>
      </c>
      <c r="AD344" s="206">
        <f>'Company Data'!L70</f>
        <v>-143</v>
      </c>
      <c r="AE344" s="206">
        <f>'Company Data'!M70</f>
        <v>-394</v>
      </c>
      <c r="AF344" s="206">
        <f>'Company Data'!N70</f>
        <v>-511</v>
      </c>
      <c r="AG344" s="206">
        <f>'Company Data'!O70</f>
        <v>-752</v>
      </c>
      <c r="AH344" s="206">
        <f>'Company Data'!P70</f>
        <v>-617</v>
      </c>
      <c r="AI344" s="206">
        <f>'Company Data'!Q70</f>
        <v>-675</v>
      </c>
      <c r="AJ344" s="206">
        <f>'Company Data'!R70</f>
        <v>-723</v>
      </c>
      <c r="AK344" s="206">
        <f>'Company Data'!S70</f>
        <v>3058</v>
      </c>
      <c r="AL344" s="207"/>
      <c r="AM344" s="207"/>
      <c r="AN344" s="207"/>
      <c r="AO344" s="131"/>
      <c r="AP344" s="131"/>
      <c r="AQ344" s="131"/>
    </row>
    <row r="345" spans="2:44" s="111" customFormat="1" hidden="1" outlineLevel="1" x14ac:dyDescent="0.2">
      <c r="C345" s="130"/>
      <c r="I345" s="145"/>
      <c r="J345" s="145"/>
      <c r="K345" s="145"/>
      <c r="L345" s="145"/>
      <c r="M345" s="145"/>
      <c r="N345" s="145"/>
      <c r="O345" s="159"/>
      <c r="P345" s="159"/>
      <c r="Q345" s="159"/>
      <c r="R345" s="160"/>
      <c r="S345" s="159"/>
      <c r="T345" s="280"/>
      <c r="U345" s="145"/>
      <c r="V345" s="145"/>
      <c r="W345" s="145"/>
      <c r="X345" s="145"/>
      <c r="Y345" s="145"/>
      <c r="Z345" s="145"/>
      <c r="AA345" s="145"/>
      <c r="AB345" s="145"/>
      <c r="AC345" s="145"/>
      <c r="AD345" s="145"/>
      <c r="AE345" s="145"/>
      <c r="AF345" s="145"/>
      <c r="AG345" s="145"/>
      <c r="AH345" s="145"/>
      <c r="AI345" s="145"/>
      <c r="AJ345" s="145"/>
      <c r="AK345" s="145"/>
      <c r="AL345" s="159"/>
      <c r="AM345" s="159"/>
      <c r="AN345" s="159"/>
      <c r="AO345" s="131"/>
      <c r="AP345" s="131"/>
      <c r="AQ345" s="131"/>
    </row>
    <row r="346" spans="2:44" s="111" customFormat="1" hidden="1" outlineLevel="1" x14ac:dyDescent="0.2">
      <c r="C346" s="130"/>
      <c r="I346" s="145"/>
      <c r="J346" s="145"/>
      <c r="K346" s="145"/>
      <c r="L346" s="145"/>
      <c r="M346" s="145"/>
      <c r="N346" s="145"/>
      <c r="O346" s="159"/>
      <c r="P346" s="159"/>
      <c r="Q346" s="159"/>
      <c r="R346" s="160"/>
      <c r="S346" s="159"/>
      <c r="T346" s="280"/>
      <c r="U346" s="145"/>
      <c r="V346" s="145"/>
      <c r="W346" s="145"/>
      <c r="X346" s="145"/>
      <c r="Y346" s="145"/>
      <c r="Z346" s="145"/>
      <c r="AA346" s="145"/>
      <c r="AB346" s="145"/>
      <c r="AC346" s="145"/>
      <c r="AD346" s="145"/>
      <c r="AE346" s="145"/>
      <c r="AF346" s="145"/>
      <c r="AG346" s="145"/>
      <c r="AH346" s="145"/>
      <c r="AI346" s="145"/>
      <c r="AJ346" s="145"/>
      <c r="AK346" s="145"/>
      <c r="AL346" s="159"/>
      <c r="AM346" s="159"/>
      <c r="AN346" s="159"/>
      <c r="AO346" s="131"/>
      <c r="AP346" s="131"/>
      <c r="AQ346" s="131"/>
    </row>
    <row r="347" spans="2:44" s="111" customFormat="1" hidden="1" outlineLevel="1" x14ac:dyDescent="0.2">
      <c r="C347" s="130"/>
      <c r="I347" s="145"/>
      <c r="J347" s="145"/>
      <c r="K347" s="145"/>
      <c r="L347" s="145"/>
      <c r="M347" s="145"/>
      <c r="N347" s="145"/>
      <c r="O347" s="159"/>
      <c r="P347" s="159"/>
      <c r="Q347" s="159"/>
      <c r="R347" s="160"/>
      <c r="S347" s="159"/>
      <c r="T347" s="280"/>
      <c r="U347" s="145"/>
      <c r="V347" s="145"/>
      <c r="W347" s="145"/>
      <c r="X347" s="145"/>
      <c r="Y347" s="145"/>
      <c r="Z347" s="145"/>
      <c r="AA347" s="145"/>
      <c r="AB347" s="145"/>
      <c r="AC347" s="145"/>
      <c r="AD347" s="145"/>
      <c r="AE347" s="145"/>
      <c r="AF347" s="145"/>
      <c r="AG347" s="145"/>
      <c r="AH347" s="145"/>
      <c r="AI347" s="145"/>
      <c r="AJ347" s="145"/>
      <c r="AK347" s="145"/>
      <c r="AL347" s="159"/>
      <c r="AM347" s="159"/>
      <c r="AN347" s="159"/>
      <c r="AO347" s="131"/>
      <c r="AP347" s="131"/>
      <c r="AQ347" s="131"/>
    </row>
    <row r="348" spans="2:44" s="111" customFormat="1" hidden="1" outlineLevel="1" x14ac:dyDescent="0.2">
      <c r="C348" s="130"/>
      <c r="I348" s="145"/>
      <c r="J348" s="145"/>
      <c r="K348" s="145"/>
      <c r="L348" s="145"/>
      <c r="M348" s="145"/>
      <c r="N348" s="145"/>
      <c r="O348" s="159"/>
      <c r="P348" s="159"/>
      <c r="Q348" s="159"/>
      <c r="R348" s="160"/>
      <c r="S348" s="159"/>
      <c r="T348" s="280"/>
      <c r="U348" s="145"/>
      <c r="V348" s="145"/>
      <c r="W348" s="145"/>
      <c r="X348" s="145"/>
      <c r="Y348" s="145"/>
      <c r="Z348" s="145"/>
      <c r="AA348" s="145"/>
      <c r="AB348" s="145"/>
      <c r="AC348" s="145"/>
      <c r="AD348" s="145"/>
      <c r="AE348" s="145"/>
      <c r="AF348" s="145"/>
      <c r="AG348" s="145"/>
      <c r="AH348" s="145"/>
      <c r="AI348" s="145"/>
      <c r="AJ348" s="145"/>
      <c r="AK348" s="145"/>
      <c r="AL348" s="159"/>
      <c r="AM348" s="159"/>
      <c r="AN348" s="159"/>
      <c r="AO348" s="131"/>
      <c r="AP348" s="131"/>
      <c r="AQ348" s="131"/>
    </row>
    <row r="349" spans="2:44" s="111" customFormat="1" collapsed="1" x14ac:dyDescent="0.2">
      <c r="C349" s="130" t="str">
        <f>'Company Data'!B71</f>
        <v>Total Shareholders Equity</v>
      </c>
      <c r="I349" s="221">
        <f t="shared" ref="I349:N349" si="1116">SUM(I340:I348)</f>
        <v>6864</v>
      </c>
      <c r="J349" s="221">
        <f t="shared" si="1116"/>
        <v>7757</v>
      </c>
      <c r="K349" s="221">
        <f t="shared" si="1116"/>
        <v>8192</v>
      </c>
      <c r="L349" s="221">
        <f t="shared" si="1116"/>
        <v>9746</v>
      </c>
      <c r="M349" s="221">
        <f t="shared" si="1116"/>
        <v>10741</v>
      </c>
      <c r="N349" s="221">
        <f t="shared" si="1116"/>
        <v>13384</v>
      </c>
      <c r="O349" s="221">
        <f>N349+O184+O188</f>
        <v>19420.938174527182</v>
      </c>
      <c r="P349" s="221">
        <f>O349+P184+P188+P231</f>
        <v>28752.676298590155</v>
      </c>
      <c r="Q349" s="221">
        <f>P349+Q184+Q188+Q231</f>
        <v>41335.865964813231</v>
      </c>
      <c r="R349" s="221">
        <f>Q349+R184+R188+R231</f>
        <v>57461.264087158823</v>
      </c>
      <c r="S349" s="221">
        <f>R349+S184+S188+S231</f>
        <v>77545.420565479333</v>
      </c>
      <c r="T349" s="221"/>
      <c r="U349" s="221">
        <f t="shared" ref="U349" si="1117">SUM(U340:U348)</f>
        <v>7271</v>
      </c>
      <c r="V349" s="221">
        <f t="shared" ref="V349" si="1118">SUM(V340:V348)</f>
        <v>7505</v>
      </c>
      <c r="W349" s="221">
        <f t="shared" ref="W349" si="1119">SUM(W340:W348)</f>
        <v>7553</v>
      </c>
      <c r="X349" s="221">
        <f t="shared" ref="X349:AJ349" si="1120">SUM(X340:X348)</f>
        <v>8192</v>
      </c>
      <c r="Y349" s="221">
        <f t="shared" si="1120"/>
        <v>8432</v>
      </c>
      <c r="Z349" s="221">
        <f t="shared" si="1120"/>
        <v>8733</v>
      </c>
      <c r="AA349" s="221">
        <f t="shared" si="1120"/>
        <v>9087</v>
      </c>
      <c r="AB349" s="221">
        <f t="shared" si="1120"/>
        <v>9746</v>
      </c>
      <c r="AC349" s="221">
        <f t="shared" si="1120"/>
        <v>10328</v>
      </c>
      <c r="AD349" s="221">
        <f t="shared" si="1120"/>
        <v>10602</v>
      </c>
      <c r="AE349" s="221">
        <f t="shared" si="1120"/>
        <v>10336</v>
      </c>
      <c r="AF349" s="221">
        <f t="shared" si="1120"/>
        <v>10741</v>
      </c>
      <c r="AG349" s="221">
        <f t="shared" si="1120"/>
        <v>10873</v>
      </c>
      <c r="AH349" s="221">
        <f t="shared" si="1120"/>
        <v>11768</v>
      </c>
      <c r="AI349" s="221">
        <f t="shared" si="1120"/>
        <v>12430</v>
      </c>
      <c r="AJ349" s="221">
        <f t="shared" si="1120"/>
        <v>13384</v>
      </c>
      <c r="AK349" s="221">
        <f t="shared" ref="AK349" si="1121">SUM(AK340:AK348)</f>
        <v>14756</v>
      </c>
      <c r="AL349" s="221">
        <f>AK349+AL184+AL188+AL231</f>
        <v>16212.307325847012</v>
      </c>
      <c r="AM349" s="221">
        <f>AL349+AM184+AM188+AM231</f>
        <v>17537.785920038968</v>
      </c>
      <c r="AN349" s="221">
        <f>AM349+AN184+AN188+AN231</f>
        <v>19420.938174527182</v>
      </c>
      <c r="AO349" s="113"/>
      <c r="AP349" s="113"/>
      <c r="AQ349" s="113"/>
    </row>
    <row r="350" spans="2:44" s="111" customFormat="1" x14ac:dyDescent="0.2">
      <c r="C350" s="130" t="str">
        <f>'Company Data'!B72</f>
        <v>Total Liabilities &amp; Shareholders Equity</v>
      </c>
      <c r="I350" s="221">
        <f t="shared" ref="I350:S350" si="1122">I349+I337</f>
        <v>18797</v>
      </c>
      <c r="J350" s="221">
        <f t="shared" si="1122"/>
        <v>25278</v>
      </c>
      <c r="K350" s="221">
        <f t="shared" si="1122"/>
        <v>32555</v>
      </c>
      <c r="L350" s="221">
        <f t="shared" si="1122"/>
        <v>40159</v>
      </c>
      <c r="M350" s="221">
        <f t="shared" si="1122"/>
        <v>54505.000000000007</v>
      </c>
      <c r="N350" s="221">
        <f t="shared" si="1122"/>
        <v>65444</v>
      </c>
      <c r="O350" s="221">
        <f t="shared" si="1122"/>
        <v>80644.197865791721</v>
      </c>
      <c r="P350" s="221">
        <f t="shared" si="1122"/>
        <v>100239.16143761577</v>
      </c>
      <c r="Q350" s="221">
        <f t="shared" si="1122"/>
        <v>125368.25469430248</v>
      </c>
      <c r="R350" s="221">
        <f t="shared" si="1122"/>
        <v>155636.4822277021</v>
      </c>
      <c r="S350" s="221">
        <f t="shared" si="1122"/>
        <v>191375.00665269207</v>
      </c>
      <c r="T350" s="276"/>
      <c r="U350" s="221">
        <f>U349+U337</f>
        <v>20339</v>
      </c>
      <c r="V350" s="221">
        <f>V349+V337</f>
        <v>21022</v>
      </c>
      <c r="W350" s="221">
        <f>W349+W337</f>
        <v>22834</v>
      </c>
      <c r="X350" s="221">
        <f>X349+X337</f>
        <v>32555</v>
      </c>
      <c r="Y350" s="221">
        <f t="shared" ref="Y350:AJ350" si="1123">Y349+Y337</f>
        <v>28377</v>
      </c>
      <c r="Z350" s="221">
        <f t="shared" si="1123"/>
        <v>29623</v>
      </c>
      <c r="AA350" s="221">
        <f t="shared" si="1123"/>
        <v>31861</v>
      </c>
      <c r="AB350" s="221">
        <f t="shared" si="1123"/>
        <v>40159</v>
      </c>
      <c r="AC350" s="221">
        <f t="shared" si="1123"/>
        <v>36364</v>
      </c>
      <c r="AD350" s="221">
        <f t="shared" si="1123"/>
        <v>37898</v>
      </c>
      <c r="AE350" s="221">
        <f t="shared" si="1123"/>
        <v>40419</v>
      </c>
      <c r="AF350" s="221">
        <f t="shared" si="1123"/>
        <v>54505.000000000007</v>
      </c>
      <c r="AG350" s="221">
        <f t="shared" si="1123"/>
        <v>50075</v>
      </c>
      <c r="AH350" s="221">
        <f t="shared" si="1123"/>
        <v>52440</v>
      </c>
      <c r="AI350" s="221">
        <f t="shared" si="1123"/>
        <v>56230</v>
      </c>
      <c r="AJ350" s="221">
        <f t="shared" si="1123"/>
        <v>65444.000000000007</v>
      </c>
      <c r="AK350" s="221">
        <f t="shared" ref="AK350" si="1124">AK349+AK337</f>
        <v>61128</v>
      </c>
      <c r="AL350" s="221">
        <f t="shared" ref="AL350" si="1125">AL349+AL337</f>
        <v>63742.61431412246</v>
      </c>
      <c r="AM350" s="221">
        <f t="shared" ref="AM350:AN350" si="1126">AM349+AM337</f>
        <v>68306.201777589042</v>
      </c>
      <c r="AN350" s="221">
        <f t="shared" si="1126"/>
        <v>80644.197865791721</v>
      </c>
      <c r="AO350" s="113"/>
      <c r="AP350" s="113"/>
      <c r="AQ350" s="113"/>
    </row>
    <row r="351" spans="2:44" s="111" customFormat="1" x14ac:dyDescent="0.2">
      <c r="C351" s="130" t="s">
        <v>149</v>
      </c>
      <c r="I351" s="285">
        <f t="shared" ref="I351:S351" si="1127">I306-I350</f>
        <v>0</v>
      </c>
      <c r="J351" s="285">
        <f t="shared" si="1127"/>
        <v>0</v>
      </c>
      <c r="K351" s="285">
        <f t="shared" si="1127"/>
        <v>0</v>
      </c>
      <c r="L351" s="285">
        <f t="shared" si="1127"/>
        <v>0</v>
      </c>
      <c r="M351" s="285">
        <f t="shared" si="1127"/>
        <v>0</v>
      </c>
      <c r="N351" s="285">
        <f t="shared" si="1127"/>
        <v>0</v>
      </c>
      <c r="O351" s="285">
        <f t="shared" si="1127"/>
        <v>0</v>
      </c>
      <c r="P351" s="285">
        <f t="shared" si="1127"/>
        <v>0</v>
      </c>
      <c r="Q351" s="285">
        <f t="shared" si="1127"/>
        <v>0</v>
      </c>
      <c r="R351" s="285">
        <f t="shared" si="1127"/>
        <v>0</v>
      </c>
      <c r="S351" s="285">
        <f t="shared" si="1127"/>
        <v>0</v>
      </c>
      <c r="T351" s="286"/>
      <c r="U351" s="285">
        <f t="shared" ref="U351:AN351" si="1128">U306-U350</f>
        <v>0</v>
      </c>
      <c r="V351" s="285">
        <f t="shared" si="1128"/>
        <v>0</v>
      </c>
      <c r="W351" s="285">
        <f t="shared" si="1128"/>
        <v>0</v>
      </c>
      <c r="X351" s="285">
        <f t="shared" si="1128"/>
        <v>0</v>
      </c>
      <c r="Y351" s="285">
        <f t="shared" si="1128"/>
        <v>0</v>
      </c>
      <c r="Z351" s="285">
        <f t="shared" si="1128"/>
        <v>0</v>
      </c>
      <c r="AA351" s="285">
        <f t="shared" si="1128"/>
        <v>0</v>
      </c>
      <c r="AB351" s="285">
        <f t="shared" si="1128"/>
        <v>0</v>
      </c>
      <c r="AC351" s="285">
        <f t="shared" si="1128"/>
        <v>0</v>
      </c>
      <c r="AD351" s="285">
        <f t="shared" si="1128"/>
        <v>0</v>
      </c>
      <c r="AE351" s="285">
        <f t="shared" si="1128"/>
        <v>0</v>
      </c>
      <c r="AF351" s="285">
        <f t="shared" si="1128"/>
        <v>0</v>
      </c>
      <c r="AG351" s="285">
        <f t="shared" si="1128"/>
        <v>0</v>
      </c>
      <c r="AH351" s="285">
        <f t="shared" si="1128"/>
        <v>0</v>
      </c>
      <c r="AI351" s="285">
        <f t="shared" si="1128"/>
        <v>0</v>
      </c>
      <c r="AJ351" s="285">
        <f t="shared" si="1128"/>
        <v>0</v>
      </c>
      <c r="AK351" s="285">
        <f t="shared" ref="AK351" si="1129">AK306-AK350</f>
        <v>0</v>
      </c>
      <c r="AL351" s="285">
        <f t="shared" si="1128"/>
        <v>0</v>
      </c>
      <c r="AM351" s="285">
        <f t="shared" si="1128"/>
        <v>0</v>
      </c>
      <c r="AN351" s="285">
        <f t="shared" si="1128"/>
        <v>0</v>
      </c>
      <c r="AO351" s="113"/>
      <c r="AP351" s="113"/>
      <c r="AQ351" s="113"/>
    </row>
    <row r="352" spans="2:44" s="111" customFormat="1" x14ac:dyDescent="0.2">
      <c r="I352" s="131"/>
      <c r="J352" s="131"/>
      <c r="K352" s="131"/>
      <c r="L352" s="131"/>
      <c r="M352" s="131"/>
      <c r="N352" s="131"/>
      <c r="O352" s="131"/>
      <c r="P352" s="131"/>
      <c r="Q352" s="131"/>
      <c r="R352" s="131"/>
      <c r="S352" s="131"/>
      <c r="T352" s="131"/>
      <c r="U352" s="131"/>
      <c r="V352" s="131"/>
      <c r="W352" s="131"/>
      <c r="X352" s="131"/>
      <c r="Y352" s="131"/>
      <c r="Z352" s="131"/>
      <c r="AA352" s="131"/>
      <c r="AB352" s="131"/>
      <c r="AC352" s="131"/>
      <c r="AD352" s="131"/>
      <c r="AE352" s="131"/>
      <c r="AF352" s="131"/>
      <c r="AG352" s="131"/>
      <c r="AH352" s="131"/>
      <c r="AI352" s="131"/>
      <c r="AJ352" s="131"/>
      <c r="AK352" s="131"/>
      <c r="AL352" s="131"/>
      <c r="AM352" s="131"/>
      <c r="AN352" s="131"/>
      <c r="AO352" s="135"/>
      <c r="AP352" s="135"/>
      <c r="AQ352" s="135"/>
    </row>
    <row r="353" spans="1:40" x14ac:dyDescent="0.2">
      <c r="A353" s="55"/>
      <c r="B353" s="37"/>
      <c r="C353" s="37"/>
      <c r="D353" s="37"/>
      <c r="E353" s="37"/>
      <c r="F353" s="37"/>
      <c r="G353" s="37"/>
      <c r="H353" s="37"/>
      <c r="I353" s="117">
        <f t="shared" ref="I353:O353" si="1130">I295/I79</f>
        <v>3.9439831598643435E-2</v>
      </c>
      <c r="J353" s="117">
        <f t="shared" si="1130"/>
        <v>4.0663934937704101E-2</v>
      </c>
      <c r="K353" s="117">
        <f t="shared" si="1130"/>
        <v>4.1772379814381352E-2</v>
      </c>
      <c r="L353" s="117">
        <f t="shared" si="1130"/>
        <v>3.5660559823779081E-2</v>
      </c>
      <c r="M353" s="117">
        <f t="shared" si="1130"/>
        <v>3.7297163662516293E-2</v>
      </c>
      <c r="N353" s="117">
        <f t="shared" si="1130"/>
        <v>3.5128871278246078E-2</v>
      </c>
      <c r="O353" s="117">
        <f t="shared" si="1130"/>
        <v>2.7979165937622476E-2</v>
      </c>
      <c r="P353" s="117"/>
      <c r="Q353" s="117"/>
      <c r="R353" s="117"/>
      <c r="S353" s="117"/>
      <c r="T353" s="37"/>
      <c r="U353" s="117"/>
      <c r="V353" s="117"/>
      <c r="W353" s="117"/>
      <c r="X353" s="117"/>
      <c r="Y353" s="117"/>
      <c r="Z353" s="117"/>
      <c r="AA353" s="117"/>
      <c r="AB353" s="117"/>
      <c r="AC353" s="117"/>
      <c r="AD353" s="117"/>
      <c r="AE353" s="117"/>
      <c r="AF353" s="117"/>
      <c r="AG353" s="117"/>
      <c r="AH353" s="117"/>
      <c r="AI353" s="117"/>
      <c r="AJ353" s="117"/>
      <c r="AK353" s="221">
        <f>AJ349-AK349</f>
        <v>-1372</v>
      </c>
      <c r="AL353" s="221">
        <f t="shared" ref="AL353:AN353" si="1131">AK349-AL349</f>
        <v>-1456.3073258470122</v>
      </c>
      <c r="AM353" s="221">
        <f t="shared" si="1131"/>
        <v>-1325.4785941919563</v>
      </c>
      <c r="AN353" s="221">
        <f t="shared" si="1131"/>
        <v>-1883.1522544882137</v>
      </c>
    </row>
    <row r="354" spans="1:40" x14ac:dyDescent="0.2">
      <c r="A354" s="37"/>
      <c r="E354" s="37"/>
      <c r="F354" s="111"/>
      <c r="G354" s="37"/>
      <c r="H354" s="37"/>
      <c r="I354" s="151"/>
      <c r="J354" s="151"/>
      <c r="K354" s="151"/>
      <c r="L354" s="151"/>
      <c r="M354" s="151"/>
      <c r="N354" s="151"/>
      <c r="O354" s="151"/>
      <c r="P354" s="182"/>
      <c r="Q354" s="182"/>
      <c r="R354" s="182"/>
      <c r="S354" s="182"/>
      <c r="U354" s="151"/>
      <c r="V354" s="151"/>
      <c r="W354" s="151"/>
      <c r="X354" s="151"/>
      <c r="Y354" s="151"/>
      <c r="Z354" s="151"/>
      <c r="AA354" s="151"/>
      <c r="AB354" s="151"/>
      <c r="AC354" s="151"/>
      <c r="AD354" s="151"/>
      <c r="AE354" s="151"/>
      <c r="AF354" s="151"/>
      <c r="AG354" s="151"/>
      <c r="AH354" s="151"/>
      <c r="AI354" s="151"/>
      <c r="AJ354" s="151"/>
      <c r="AK354" s="149"/>
      <c r="AL354" s="149"/>
      <c r="AM354" s="149"/>
      <c r="AN354" s="149"/>
    </row>
    <row r="355" spans="1:40" x14ac:dyDescent="0.2">
      <c r="F355" s="111"/>
      <c r="P355" s="182"/>
      <c r="Q355" s="182"/>
      <c r="R355" s="182"/>
      <c r="S355" s="182"/>
    </row>
    <row r="356" spans="1:40" x14ac:dyDescent="0.2">
      <c r="F356" s="111"/>
      <c r="P356" s="182"/>
      <c r="Q356" s="182"/>
      <c r="R356" s="182"/>
      <c r="S356" s="182"/>
      <c r="AK356" s="182"/>
    </row>
    <row r="357" spans="1:40" x14ac:dyDescent="0.2">
      <c r="F357" s="37"/>
      <c r="I357" s="150"/>
      <c r="J357" s="150"/>
      <c r="K357" s="150"/>
      <c r="L357" s="150"/>
      <c r="M357" s="150"/>
      <c r="N357" s="150"/>
      <c r="O357" s="149"/>
      <c r="P357" s="149"/>
      <c r="Q357" s="149"/>
      <c r="R357" s="149"/>
      <c r="S357" s="149"/>
    </row>
    <row r="358" spans="1:40" x14ac:dyDescent="0.2">
      <c r="F358" s="37"/>
    </row>
    <row r="359" spans="1:40" x14ac:dyDescent="0.2">
      <c r="F359" s="37"/>
    </row>
    <row r="360" spans="1:40" x14ac:dyDescent="0.2">
      <c r="F360" s="37"/>
    </row>
    <row r="361" spans="1:40" x14ac:dyDescent="0.2">
      <c r="F361" s="37"/>
    </row>
    <row r="362" spans="1:40" x14ac:dyDescent="0.2">
      <c r="F362" s="37"/>
    </row>
    <row r="363" spans="1:40" x14ac:dyDescent="0.2">
      <c r="F363" s="37"/>
    </row>
    <row r="364" spans="1:40" x14ac:dyDescent="0.2">
      <c r="F364" s="37"/>
    </row>
    <row r="365" spans="1:40" x14ac:dyDescent="0.2">
      <c r="F365" s="37"/>
    </row>
    <row r="366" spans="1:40" x14ac:dyDescent="0.2">
      <c r="F366" s="37"/>
    </row>
    <row r="367" spans="1:40" x14ac:dyDescent="0.2">
      <c r="F367" s="37"/>
    </row>
    <row r="368" spans="1:40" x14ac:dyDescent="0.2">
      <c r="F368" s="37"/>
    </row>
    <row r="369" spans="6:6" x14ac:dyDescent="0.2">
      <c r="F369" s="37"/>
    </row>
    <row r="370" spans="6:6" x14ac:dyDescent="0.2">
      <c r="F370" s="37"/>
    </row>
    <row r="371" spans="6:6" x14ac:dyDescent="0.2">
      <c r="F371" s="37"/>
    </row>
    <row r="372" spans="6:6" x14ac:dyDescent="0.2">
      <c r="F372" s="37"/>
    </row>
    <row r="373" spans="6:6" x14ac:dyDescent="0.2">
      <c r="F373" s="37"/>
    </row>
    <row r="374" spans="6:6" x14ac:dyDescent="0.2">
      <c r="F374" s="37"/>
    </row>
    <row r="375" spans="6:6" x14ac:dyDescent="0.2">
      <c r="F375" s="37"/>
    </row>
    <row r="376" spans="6:6" x14ac:dyDescent="0.2">
      <c r="F376" s="37"/>
    </row>
    <row r="377" spans="6:6" x14ac:dyDescent="0.2">
      <c r="F377" s="37"/>
    </row>
    <row r="378" spans="6:6" x14ac:dyDescent="0.2">
      <c r="F378" s="37"/>
    </row>
    <row r="379" spans="6:6" x14ac:dyDescent="0.2">
      <c r="F379" s="37"/>
    </row>
    <row r="380" spans="6:6" x14ac:dyDescent="0.2">
      <c r="F380" s="37"/>
    </row>
    <row r="381" spans="6:6" x14ac:dyDescent="0.2">
      <c r="F381" s="37"/>
    </row>
    <row r="382" spans="6:6" x14ac:dyDescent="0.2">
      <c r="F382" s="37"/>
    </row>
    <row r="383" spans="6:6" x14ac:dyDescent="0.2">
      <c r="F383" s="37"/>
    </row>
  </sheetData>
  <hyperlinks>
    <hyperlink ref="G43" r:id="rId1"/>
  </hyperlinks>
  <pageMargins left="0.7" right="0.7" top="0.75" bottom="0.75" header="0.3" footer="0.3"/>
  <pageSetup orientation="portrait" horizontalDpi="4294967292" verticalDpi="4294967292" r:id="rId2"/>
  <drawing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Q315"/>
  <sheetViews>
    <sheetView workbookViewId="0">
      <pane xSplit="7" ySplit="3" topLeftCell="H78" activePane="bottomRight" state="frozen"/>
      <selection pane="topRight" activeCell="H1" sqref="H1"/>
      <selection pane="bottomLeft" activeCell="A4" sqref="A4"/>
      <selection pane="bottomRight" activeCell="G78" sqref="G78"/>
    </sheetView>
  </sheetViews>
  <sheetFormatPr baseColWidth="10" defaultColWidth="8.83203125" defaultRowHeight="15" x14ac:dyDescent="0.2"/>
  <cols>
    <col min="1" max="1" width="2.6640625" style="17" customWidth="1"/>
    <col min="2" max="4" width="3.5" style="17" customWidth="1"/>
    <col min="5" max="5" width="2.83203125" style="17" customWidth="1"/>
    <col min="6" max="6" width="21.6640625" customWidth="1"/>
    <col min="7" max="7" width="11.83203125" customWidth="1"/>
    <col min="8" max="8" width="16.6640625" bestFit="1" customWidth="1"/>
    <col min="9" max="9" width="13.6640625" bestFit="1" customWidth="1"/>
  </cols>
  <sheetData>
    <row r="2" spans="1:17" x14ac:dyDescent="0.2">
      <c r="A2" s="55" t="s">
        <v>297</v>
      </c>
      <c r="F2" s="55"/>
      <c r="G2" s="55"/>
      <c r="H2" s="60">
        <v>42460</v>
      </c>
      <c r="I2" s="58">
        <v>42460</v>
      </c>
    </row>
    <row r="3" spans="1:17" x14ac:dyDescent="0.2">
      <c r="A3" s="45"/>
      <c r="B3" s="45"/>
      <c r="C3" s="45"/>
      <c r="D3" s="45"/>
      <c r="E3" s="45"/>
      <c r="G3" t="s">
        <v>0</v>
      </c>
      <c r="H3" s="111" t="s">
        <v>298</v>
      </c>
      <c r="I3" s="111" t="s">
        <v>299</v>
      </c>
      <c r="J3" s="138" t="s">
        <v>80</v>
      </c>
      <c r="K3" s="138" t="s">
        <v>78</v>
      </c>
      <c r="L3" s="138"/>
    </row>
    <row r="4" spans="1:17" x14ac:dyDescent="0.2">
      <c r="A4" s="45"/>
      <c r="B4" s="45"/>
      <c r="C4" s="45"/>
      <c r="D4" s="45"/>
      <c r="E4" s="45"/>
      <c r="F4" s="338"/>
      <c r="G4" s="338"/>
      <c r="H4" s="225"/>
      <c r="I4" s="338"/>
      <c r="J4" s="338"/>
      <c r="K4" s="338"/>
      <c r="L4" s="338"/>
      <c r="M4" s="338"/>
      <c r="N4" s="338"/>
      <c r="O4" s="338"/>
      <c r="P4" s="338"/>
      <c r="Q4" s="338"/>
    </row>
    <row r="5" spans="1:17" x14ac:dyDescent="0.2">
      <c r="A5" s="111"/>
      <c r="B5" s="111" t="s">
        <v>77</v>
      </c>
      <c r="E5" s="71"/>
    </row>
    <row r="6" spans="1:17" x14ac:dyDescent="0.2">
      <c r="B6" s="111"/>
      <c r="C6" s="111" t="str">
        <f>'Company Data'!B121</f>
        <v>Media</v>
      </c>
      <c r="D6" s="111"/>
      <c r="H6" s="189">
        <v>3169.5916077687139</v>
      </c>
      <c r="I6" s="188">
        <v>3208</v>
      </c>
      <c r="J6" s="366">
        <f>I6-H6</f>
        <v>38.408392231286143</v>
      </c>
      <c r="K6" s="19">
        <f>I6/H6-1</f>
        <v>1.2117773197388049E-2</v>
      </c>
    </row>
    <row r="7" spans="1:17" x14ac:dyDescent="0.2">
      <c r="B7" s="111"/>
      <c r="C7" s="111"/>
      <c r="E7" s="137" t="s">
        <v>78</v>
      </c>
      <c r="H7" s="268">
        <v>6.7562010026511965E-2</v>
      </c>
      <c r="I7" s="267">
        <v>8.0498484338161092E-2</v>
      </c>
    </row>
    <row r="8" spans="1:17" x14ac:dyDescent="0.2">
      <c r="B8" s="111"/>
      <c r="C8" s="111"/>
      <c r="E8" s="137" t="s">
        <v>80</v>
      </c>
      <c r="H8" s="266">
        <v>200.59160776871386</v>
      </c>
      <c r="I8" s="266">
        <v>239</v>
      </c>
    </row>
    <row r="9" spans="1:17" x14ac:dyDescent="0.2">
      <c r="B9" s="111"/>
      <c r="C9" s="111" t="str">
        <f>'Company Data'!B122</f>
        <v>Electronics and other general merchandise</v>
      </c>
      <c r="H9" s="187">
        <v>13383.194500809226</v>
      </c>
      <c r="I9" s="337">
        <v>13511</v>
      </c>
      <c r="J9" s="366">
        <f>I9-H9</f>
        <v>127.80549919077384</v>
      </c>
      <c r="K9" s="19">
        <f>I9/H9-1</f>
        <v>9.5497004981168754E-3</v>
      </c>
    </row>
    <row r="10" spans="1:17" x14ac:dyDescent="0.2">
      <c r="B10" s="111"/>
      <c r="C10" s="111"/>
      <c r="E10" s="137" t="s">
        <v>78</v>
      </c>
      <c r="H10" s="201">
        <v>0.30567751227407092</v>
      </c>
      <c r="I10" s="195">
        <v>0.31814634146341469</v>
      </c>
    </row>
    <row r="11" spans="1:17" x14ac:dyDescent="0.2">
      <c r="B11" s="111"/>
      <c r="C11" s="111"/>
      <c r="E11" s="137" t="s">
        <v>80</v>
      </c>
      <c r="H11" s="266">
        <v>3133.1945008092262</v>
      </c>
      <c r="I11" s="266">
        <v>3261</v>
      </c>
    </row>
    <row r="12" spans="1:17" x14ac:dyDescent="0.2">
      <c r="B12" s="111"/>
      <c r="C12" s="111" t="str">
        <f>'Company Data'!B123</f>
        <v>Other</v>
      </c>
      <c r="H12" s="187">
        <v>227.07142857142856</v>
      </c>
      <c r="I12" s="337">
        <v>277</v>
      </c>
      <c r="J12" s="366">
        <f>I12-H12</f>
        <v>49.928571428571445</v>
      </c>
      <c r="K12" s="19">
        <f>I12/H12-1</f>
        <v>0.21988046555520602</v>
      </c>
    </row>
    <row r="13" spans="1:17" x14ac:dyDescent="0.2">
      <c r="B13" s="111"/>
      <c r="C13" s="111"/>
      <c r="E13" s="137" t="s">
        <v>78</v>
      </c>
      <c r="H13" s="269">
        <v>0.21428571428571419</v>
      </c>
      <c r="I13" s="267">
        <v>0.48128342245989297</v>
      </c>
    </row>
    <row r="14" spans="1:17" x14ac:dyDescent="0.2">
      <c r="B14" s="111"/>
      <c r="C14" s="111"/>
      <c r="E14" s="137" t="s">
        <v>80</v>
      </c>
      <c r="H14" s="266">
        <v>40.071428571428555</v>
      </c>
      <c r="I14" s="266">
        <v>90</v>
      </c>
    </row>
    <row r="15" spans="1:17" x14ac:dyDescent="0.2">
      <c r="B15" s="111" t="s">
        <v>81</v>
      </c>
      <c r="C15" s="111"/>
      <c r="H15" s="192">
        <v>16779.857537149368</v>
      </c>
      <c r="I15" s="188">
        <v>16996</v>
      </c>
      <c r="J15" s="366">
        <f>I15-H15</f>
        <v>216.142462850632</v>
      </c>
      <c r="K15" s="19">
        <f>I15/H15-1</f>
        <v>1.2881066622413728E-2</v>
      </c>
    </row>
    <row r="16" spans="1:17" x14ac:dyDescent="0.2">
      <c r="C16" s="71"/>
      <c r="E16" s="137" t="s">
        <v>78</v>
      </c>
      <c r="H16" s="195">
        <v>0.25166772617852962</v>
      </c>
      <c r="I16" s="195">
        <v>0.26779054154856041</v>
      </c>
    </row>
    <row r="17" spans="2:11" x14ac:dyDescent="0.2">
      <c r="C17" s="71"/>
      <c r="H17" s="266">
        <v>3373.857537149368</v>
      </c>
      <c r="I17" s="266">
        <v>3590</v>
      </c>
    </row>
    <row r="18" spans="2:11" x14ac:dyDescent="0.2">
      <c r="B18" s="111"/>
      <c r="C18" s="74" t="str">
        <f>'Company Data'!B127</f>
        <v>Media</v>
      </c>
      <c r="H18" s="189">
        <v>2126.3423719767561</v>
      </c>
      <c r="I18" s="188">
        <v>2480</v>
      </c>
      <c r="J18" s="366">
        <f>I18-H18</f>
        <v>353.65762802324389</v>
      </c>
      <c r="K18" s="19">
        <f>I18/H18-1</f>
        <v>0.16632205268734102</v>
      </c>
    </row>
    <row r="19" spans="2:11" x14ac:dyDescent="0.2">
      <c r="B19" s="111"/>
      <c r="C19" s="111"/>
      <c r="E19" s="137" t="s">
        <v>78</v>
      </c>
      <c r="G19" t="s">
        <v>307</v>
      </c>
      <c r="H19" s="201">
        <v>-8.3473115527260291E-2</v>
      </c>
      <c r="I19" s="195">
        <v>6.8965517241379226E-2</v>
      </c>
    </row>
    <row r="20" spans="2:11" x14ac:dyDescent="0.2">
      <c r="B20" s="111"/>
      <c r="C20" s="111"/>
      <c r="E20" s="137" t="s">
        <v>80</v>
      </c>
      <c r="H20" s="266">
        <v>-193.65762802324389</v>
      </c>
      <c r="I20" s="266">
        <v>160</v>
      </c>
    </row>
    <row r="21" spans="2:11" x14ac:dyDescent="0.2">
      <c r="B21" s="111"/>
      <c r="C21" s="111" t="str">
        <f>'Company Data'!B128</f>
        <v>Electronics and other general merchandise</v>
      </c>
      <c r="H21" s="183">
        <v>5801.939565112747</v>
      </c>
      <c r="I21" s="145">
        <v>7034</v>
      </c>
      <c r="J21" s="366">
        <f>I21-H21</f>
        <v>1232.060434887253</v>
      </c>
      <c r="K21" s="19">
        <f>I21/H21-1</f>
        <v>0.2123532003497024</v>
      </c>
    </row>
    <row r="22" spans="2:11" x14ac:dyDescent="0.2">
      <c r="B22" s="111"/>
      <c r="C22" s="111"/>
      <c r="E22" s="137" t="s">
        <v>78</v>
      </c>
      <c r="H22" s="201">
        <v>7.8828479939149612E-2</v>
      </c>
      <c r="I22" s="195">
        <v>0.30792116028263306</v>
      </c>
    </row>
    <row r="23" spans="2:11" x14ac:dyDescent="0.2">
      <c r="B23" s="111"/>
      <c r="C23" s="111"/>
      <c r="E23" s="137" t="s">
        <v>80</v>
      </c>
      <c r="H23" s="266">
        <v>423.939565112747</v>
      </c>
      <c r="I23" s="266">
        <v>1656</v>
      </c>
    </row>
    <row r="24" spans="2:11" x14ac:dyDescent="0.2">
      <c r="B24" s="111"/>
      <c r="C24" s="111" t="str">
        <f>'Company Data'!B129</f>
        <v>Other</v>
      </c>
      <c r="H24" s="187">
        <v>42.939229559748426</v>
      </c>
      <c r="I24" s="337">
        <v>52</v>
      </c>
      <c r="J24" s="366">
        <f>I24-H24</f>
        <v>9.0607704402515736</v>
      </c>
      <c r="K24" s="19">
        <f>I24/H24-1</f>
        <v>0.21101381028841781</v>
      </c>
    </row>
    <row r="25" spans="2:11" x14ac:dyDescent="0.2">
      <c r="B25" s="111"/>
      <c r="C25" s="111"/>
      <c r="E25" s="137" t="s">
        <v>78</v>
      </c>
      <c r="H25" s="201">
        <v>-8.6399371069182385E-2</v>
      </c>
      <c r="I25" s="195">
        <v>0.1063829787234043</v>
      </c>
    </row>
    <row r="26" spans="2:11" x14ac:dyDescent="0.2">
      <c r="B26" s="111"/>
      <c r="C26" s="111"/>
      <c r="E26" s="137" t="s">
        <v>80</v>
      </c>
      <c r="H26" s="266">
        <v>-4.0607704402515736</v>
      </c>
      <c r="I26" s="266">
        <v>5</v>
      </c>
    </row>
    <row r="27" spans="2:11" x14ac:dyDescent="0.2">
      <c r="B27" s="111" t="s">
        <v>83</v>
      </c>
      <c r="C27" s="111"/>
      <c r="H27" s="192">
        <v>7971.2211666492512</v>
      </c>
      <c r="I27" s="188">
        <v>9566</v>
      </c>
      <c r="J27" s="366">
        <f>I27-H27</f>
        <v>1594.7788333507488</v>
      </c>
      <c r="K27" s="19">
        <f>I27/H27-1</f>
        <v>0.20006706626371562</v>
      </c>
    </row>
    <row r="28" spans="2:11" x14ac:dyDescent="0.2">
      <c r="C28" s="71"/>
      <c r="E28" s="137" t="s">
        <v>78</v>
      </c>
      <c r="H28" s="197">
        <v>2.9208672259425583E-2</v>
      </c>
      <c r="I28" s="197">
        <v>0.23511943189154283</v>
      </c>
    </row>
    <row r="29" spans="2:11" x14ac:dyDescent="0.2">
      <c r="C29" s="71"/>
      <c r="H29" s="266">
        <v>226.22116664925124</v>
      </c>
      <c r="I29" s="266">
        <v>1821</v>
      </c>
    </row>
    <row r="30" spans="2:11" x14ac:dyDescent="0.2">
      <c r="H30" s="172"/>
      <c r="I30" s="172"/>
    </row>
    <row r="31" spans="2:11" x14ac:dyDescent="0.2">
      <c r="C31" s="111" t="s">
        <v>84</v>
      </c>
      <c r="H31" s="189">
        <v>5295.9339797454704</v>
      </c>
      <c r="I31" s="189">
        <v>5688</v>
      </c>
      <c r="J31" s="366">
        <f>I31-H31</f>
        <v>392.06602025452958</v>
      </c>
      <c r="K31" s="19">
        <f>I31/H31-1</f>
        <v>7.4031515829691807E-2</v>
      </c>
    </row>
    <row r="32" spans="2:11" x14ac:dyDescent="0.2">
      <c r="E32" s="137" t="s">
        <v>78</v>
      </c>
      <c r="H32" s="195">
        <v>1.311019048113149E-3</v>
      </c>
      <c r="I32" s="195">
        <v>7.5439591605218403E-2</v>
      </c>
    </row>
    <row r="33" spans="1:11" x14ac:dyDescent="0.2">
      <c r="E33" s="137" t="s">
        <v>80</v>
      </c>
      <c r="H33" s="266">
        <v>6.9339797454704239</v>
      </c>
      <c r="I33" s="266">
        <v>399</v>
      </c>
    </row>
    <row r="34" spans="1:11" x14ac:dyDescent="0.2">
      <c r="C34" s="126" t="str">
        <f>C9</f>
        <v>Electronics and other general merchandise</v>
      </c>
      <c r="H34" s="187">
        <v>19185.134065921971</v>
      </c>
      <c r="I34" s="187">
        <v>20545</v>
      </c>
      <c r="J34" s="366">
        <f>I34-H34</f>
        <v>1359.8659340780287</v>
      </c>
      <c r="K34" s="19">
        <f>I34/H34-1</f>
        <v>7.0881231760247188E-2</v>
      </c>
    </row>
    <row r="35" spans="1:11" x14ac:dyDescent="0.2">
      <c r="E35" s="137" t="s">
        <v>78</v>
      </c>
      <c r="H35" s="195">
        <v>0.22761287854632517</v>
      </c>
      <c r="I35" s="195">
        <v>0.31462759150243147</v>
      </c>
    </row>
    <row r="36" spans="1:11" x14ac:dyDescent="0.2">
      <c r="E36" s="137" t="s">
        <v>80</v>
      </c>
      <c r="H36" s="266">
        <v>3557.1340659219713</v>
      </c>
      <c r="I36" s="266">
        <v>4917</v>
      </c>
    </row>
    <row r="37" spans="1:11" x14ac:dyDescent="0.2">
      <c r="C37" s="111" t="str">
        <f>C12</f>
        <v>Other</v>
      </c>
      <c r="H37" s="187">
        <v>270.01065813117697</v>
      </c>
      <c r="I37" s="187">
        <v>329</v>
      </c>
      <c r="J37" s="366">
        <f>I37-H37</f>
        <v>58.989341868823033</v>
      </c>
      <c r="K37" s="19">
        <f>I37/H37-1</f>
        <v>0.21847041993492256</v>
      </c>
    </row>
    <row r="38" spans="1:11" x14ac:dyDescent="0.2">
      <c r="E38" s="137" t="s">
        <v>78</v>
      </c>
      <c r="H38" s="195">
        <v>0.15389170141528608</v>
      </c>
      <c r="I38" s="195">
        <v>0.40598290598290587</v>
      </c>
    </row>
    <row r="39" spans="1:11" x14ac:dyDescent="0.2">
      <c r="E39" s="137" t="s">
        <v>80</v>
      </c>
      <c r="H39" s="266">
        <v>36.010658131176967</v>
      </c>
      <c r="I39" s="266">
        <v>95</v>
      </c>
    </row>
    <row r="40" spans="1:11" x14ac:dyDescent="0.2">
      <c r="C40" s="111" t="str">
        <f>'Company Data'!B135</f>
        <v>AWS</v>
      </c>
      <c r="E40" s="111"/>
      <c r="H40" s="183">
        <v>2258.6194285714282</v>
      </c>
      <c r="I40" s="145">
        <v>2566</v>
      </c>
      <c r="J40" s="366">
        <f>I40-H40</f>
        <v>307.38057142857178</v>
      </c>
      <c r="K40" s="19">
        <f>I40/H40-1</f>
        <v>0.13609223738192555</v>
      </c>
    </row>
    <row r="41" spans="1:11" x14ac:dyDescent="0.2">
      <c r="E41" s="137" t="s">
        <v>78</v>
      </c>
      <c r="H41" s="201">
        <v>0.44228571428571423</v>
      </c>
      <c r="I41" s="195">
        <v>0.63856960408684538</v>
      </c>
    </row>
    <row r="42" spans="1:11" x14ac:dyDescent="0.2">
      <c r="E42" s="137" t="s">
        <v>80</v>
      </c>
      <c r="G42" t="s">
        <v>308</v>
      </c>
      <c r="H42" s="266">
        <v>692.61942857142822</v>
      </c>
      <c r="I42" s="266">
        <v>1000</v>
      </c>
    </row>
    <row r="43" spans="1:11" x14ac:dyDescent="0.2">
      <c r="B43" s="17" t="s">
        <v>85</v>
      </c>
      <c r="H43" s="72"/>
      <c r="I43" s="72"/>
    </row>
    <row r="44" spans="1:11" x14ac:dyDescent="0.2">
      <c r="E44" s="137" t="s">
        <v>78</v>
      </c>
      <c r="H44" s="72"/>
      <c r="I44" s="72"/>
    </row>
    <row r="45" spans="1:11" x14ac:dyDescent="0.2">
      <c r="E45" s="137" t="s">
        <v>80</v>
      </c>
      <c r="H45" s="72"/>
      <c r="I45" s="72"/>
    </row>
    <row r="46" spans="1:11" x14ac:dyDescent="0.2">
      <c r="H46" s="72"/>
      <c r="I46" s="72"/>
    </row>
    <row r="47" spans="1:11" x14ac:dyDescent="0.2">
      <c r="H47" s="72"/>
      <c r="I47" s="72"/>
    </row>
    <row r="48" spans="1:11" x14ac:dyDescent="0.2">
      <c r="A48" s="111" t="s">
        <v>86</v>
      </c>
      <c r="H48" s="23"/>
      <c r="I48" s="23"/>
    </row>
    <row r="49" spans="1:11" x14ac:dyDescent="0.2">
      <c r="A49" s="111"/>
      <c r="H49" s="23"/>
      <c r="I49" s="23"/>
    </row>
    <row r="50" spans="1:11" x14ac:dyDescent="0.2">
      <c r="B50" s="17" t="s">
        <v>87</v>
      </c>
      <c r="H50" s="225">
        <v>27009.698132370046</v>
      </c>
      <c r="I50" s="225">
        <v>29128</v>
      </c>
      <c r="J50" s="366">
        <f>I50-H50</f>
        <v>2118.3018676299544</v>
      </c>
      <c r="K50" s="19">
        <f>I50/H50-1</f>
        <v>7.8427454362818505E-2</v>
      </c>
    </row>
    <row r="51" spans="1:11" x14ac:dyDescent="0.2">
      <c r="E51" s="138" t="s">
        <v>78</v>
      </c>
      <c r="H51" s="195">
        <v>0.18896412961086617</v>
      </c>
      <c r="I51" s="195">
        <v>0.28221155962495037</v>
      </c>
    </row>
    <row r="52" spans="1:11" x14ac:dyDescent="0.2">
      <c r="E52" s="138" t="s">
        <v>80</v>
      </c>
      <c r="H52" s="224">
        <v>4292.6981323700456</v>
      </c>
      <c r="I52" s="224">
        <v>6411</v>
      </c>
    </row>
    <row r="53" spans="1:11" x14ac:dyDescent="0.2">
      <c r="H53" s="80"/>
      <c r="I53" s="80"/>
    </row>
    <row r="54" spans="1:11" x14ac:dyDescent="0.2">
      <c r="D54" s="203" t="s">
        <v>88</v>
      </c>
      <c r="H54" s="236"/>
      <c r="I54" s="236"/>
    </row>
    <row r="55" spans="1:11" x14ac:dyDescent="0.2">
      <c r="E55" s="138" t="s">
        <v>78</v>
      </c>
      <c r="H55" s="241"/>
      <c r="I55" s="241"/>
    </row>
    <row r="56" spans="1:11" x14ac:dyDescent="0.2">
      <c r="D56" s="203" t="s">
        <v>89</v>
      </c>
      <c r="H56" s="238">
        <v>27932</v>
      </c>
      <c r="I56" s="238">
        <f>I50</f>
        <v>29128</v>
      </c>
      <c r="J56" s="366">
        <f>I56-H56</f>
        <v>1196</v>
      </c>
      <c r="K56" s="19">
        <f>I56/H56-1</f>
        <v>4.2818272948589531E-2</v>
      </c>
    </row>
    <row r="57" spans="1:11" x14ac:dyDescent="0.2">
      <c r="E57" s="138" t="s">
        <v>78</v>
      </c>
      <c r="H57" s="195">
        <v>0.2484133369089121</v>
      </c>
      <c r="I57" s="195">
        <v>0.2484133369089121</v>
      </c>
    </row>
    <row r="58" spans="1:11" x14ac:dyDescent="0.2">
      <c r="H58" s="81"/>
      <c r="I58" s="81"/>
    </row>
    <row r="59" spans="1:11" x14ac:dyDescent="0.2">
      <c r="C59" s="17" t="s">
        <v>90</v>
      </c>
      <c r="H59" s="84"/>
      <c r="I59" s="84"/>
    </row>
    <row r="60" spans="1:11" x14ac:dyDescent="0.2">
      <c r="D60" s="17" t="s">
        <v>81</v>
      </c>
      <c r="H60" s="228">
        <v>16161.738929332652</v>
      </c>
      <c r="I60" s="227">
        <v>16072</v>
      </c>
      <c r="J60" s="366">
        <f>I60-H60</f>
        <v>-89.738929332652333</v>
      </c>
      <c r="K60" s="19">
        <f>I60/H60-1</f>
        <v>-5.5525540738553536E-3</v>
      </c>
    </row>
    <row r="61" spans="1:11" x14ac:dyDescent="0.2">
      <c r="E61" s="138" t="s">
        <v>91</v>
      </c>
      <c r="H61" s="195">
        <v>0.96316305985028494</v>
      </c>
      <c r="I61" s="195">
        <v>0.94563426688632624</v>
      </c>
    </row>
    <row r="62" spans="1:11" x14ac:dyDescent="0.2">
      <c r="E62" s="138" t="s">
        <v>92</v>
      </c>
      <c r="H62" s="197">
        <v>0.76239670911258262</v>
      </c>
      <c r="I62" s="197">
        <v>0.49649040711277492</v>
      </c>
    </row>
    <row r="63" spans="1:11" x14ac:dyDescent="0.2">
      <c r="D63" s="17" t="s">
        <v>83</v>
      </c>
      <c r="H63" s="232">
        <v>8034.231393721926</v>
      </c>
      <c r="I63" s="231">
        <v>9546</v>
      </c>
      <c r="J63" s="366">
        <f>I63-H63</f>
        <v>1511.768606278074</v>
      </c>
      <c r="K63" s="19">
        <f>I63/H63-1</f>
        <v>0.18816592803879084</v>
      </c>
    </row>
    <row r="64" spans="1:11" x14ac:dyDescent="0.2">
      <c r="E64" s="138" t="s">
        <v>91</v>
      </c>
      <c r="H64" s="195">
        <v>1.0079047144415341</v>
      </c>
      <c r="I64" s="195">
        <v>0.99790926196947527</v>
      </c>
    </row>
    <row r="65" spans="1:11" x14ac:dyDescent="0.2">
      <c r="E65" s="138" t="s">
        <v>92</v>
      </c>
      <c r="H65" s="197">
        <v>4.9673046449273298E-2</v>
      </c>
      <c r="I65" s="197">
        <v>0.26906878802058959</v>
      </c>
    </row>
    <row r="66" spans="1:11" x14ac:dyDescent="0.2">
      <c r="D66" s="17" t="s">
        <v>94</v>
      </c>
      <c r="H66" s="232">
        <v>1739.633877872966</v>
      </c>
      <c r="I66" s="231">
        <v>1850</v>
      </c>
      <c r="J66" s="366">
        <f>I66-H66</f>
        <v>110.36612212703403</v>
      </c>
      <c r="K66" s="19">
        <f>I66/H66-1</f>
        <v>6.3442155002164879E-2</v>
      </c>
    </row>
    <row r="67" spans="1:11" x14ac:dyDescent="0.2">
      <c r="E67" s="138" t="s">
        <v>91</v>
      </c>
      <c r="G67" t="s">
        <v>309</v>
      </c>
      <c r="H67" s="201">
        <v>0.77022000956277992</v>
      </c>
      <c r="I67" s="195">
        <v>0.72096648480124703</v>
      </c>
    </row>
    <row r="68" spans="1:11" x14ac:dyDescent="0.2">
      <c r="E68" s="138" t="s">
        <v>92</v>
      </c>
      <c r="H68" s="197">
        <v>0.10218139369394498</v>
      </c>
      <c r="I68" s="197">
        <v>8.5634066448291996E-2</v>
      </c>
    </row>
    <row r="69" spans="1:11" x14ac:dyDescent="0.2">
      <c r="D69" s="17" t="s">
        <v>95</v>
      </c>
      <c r="H69" s="232">
        <v>25935.604200927544</v>
      </c>
      <c r="I69" s="232">
        <v>27468</v>
      </c>
      <c r="J69" s="366">
        <f>I69-H69</f>
        <v>1532.3957990724557</v>
      </c>
      <c r="K69" s="19">
        <f>I69/H69-1</f>
        <v>5.9084638522423738E-2</v>
      </c>
    </row>
    <row r="70" spans="1:11" x14ac:dyDescent="0.2">
      <c r="E70" s="138" t="s">
        <v>91</v>
      </c>
      <c r="H70" s="195">
        <v>0.96023302718236447</v>
      </c>
      <c r="I70" s="195">
        <v>0.94301016204339472</v>
      </c>
    </row>
    <row r="71" spans="1:11" x14ac:dyDescent="0.2">
      <c r="E71" s="138"/>
      <c r="H71" s="195"/>
      <c r="I71" s="195"/>
    </row>
    <row r="72" spans="1:11" x14ac:dyDescent="0.2">
      <c r="B72" s="17" t="s">
        <v>49</v>
      </c>
      <c r="H72" s="193">
        <v>1074.0939314425013</v>
      </c>
      <c r="I72" s="193">
        <v>1660</v>
      </c>
      <c r="J72" s="366">
        <f>I72-H72</f>
        <v>585.90606855749866</v>
      </c>
      <c r="K72" s="19">
        <f>I72/H72-1</f>
        <v>0.54548866854748024</v>
      </c>
    </row>
    <row r="73" spans="1:11" x14ac:dyDescent="0.2">
      <c r="A73" s="111"/>
      <c r="E73" s="138" t="s">
        <v>78</v>
      </c>
      <c r="H73" s="263">
        <v>0.52137950629249485</v>
      </c>
      <c r="I73" s="263">
        <v>1.3512747875354107</v>
      </c>
    </row>
    <row r="74" spans="1:11" x14ac:dyDescent="0.2">
      <c r="A74" s="111"/>
      <c r="E74" s="138" t="s">
        <v>80</v>
      </c>
      <c r="H74" s="272">
        <v>368.09393144250134</v>
      </c>
      <c r="I74" s="272">
        <v>954</v>
      </c>
    </row>
    <row r="75" spans="1:11" x14ac:dyDescent="0.2">
      <c r="A75" s="111"/>
      <c r="E75" s="138" t="s">
        <v>91</v>
      </c>
      <c r="H75" s="263">
        <v>3.9766972817635554E-2</v>
      </c>
      <c r="I75" s="263">
        <v>5.6989837956605331E-2</v>
      </c>
    </row>
    <row r="76" spans="1:11" x14ac:dyDescent="0.2">
      <c r="E76" s="138" t="s">
        <v>96</v>
      </c>
      <c r="H76" s="273">
        <v>8.574885074419912E-2</v>
      </c>
      <c r="I76" s="273">
        <v>0.14880673841834346</v>
      </c>
    </row>
    <row r="77" spans="1:11" x14ac:dyDescent="0.2">
      <c r="H77" s="23"/>
      <c r="I77" s="23"/>
    </row>
    <row r="78" spans="1:11" x14ac:dyDescent="0.2">
      <c r="C78" s="17" t="s">
        <v>97</v>
      </c>
      <c r="H78" s="23"/>
      <c r="I78" s="23"/>
    </row>
    <row r="79" spans="1:11" x14ac:dyDescent="0.2">
      <c r="D79" s="130" t="str">
        <f>'Company Data'!B14</f>
        <v>General and Administrative</v>
      </c>
      <c r="H79" s="189">
        <v>511.45165852515987</v>
      </c>
      <c r="I79" s="188">
        <v>497</v>
      </c>
      <c r="J79" s="366">
        <f>I79-H79</f>
        <v>-14.451658525159871</v>
      </c>
      <c r="K79" s="19">
        <f>I79/H79-1</f>
        <v>-2.8256157320582731E-2</v>
      </c>
    </row>
    <row r="80" spans="1:11" x14ac:dyDescent="0.2">
      <c r="D80" s="203"/>
      <c r="E80" s="138" t="s">
        <v>91</v>
      </c>
      <c r="G80" t="s">
        <v>310</v>
      </c>
      <c r="H80" s="263">
        <v>1.8935852448947049E-2</v>
      </c>
      <c r="I80" s="263">
        <v>1.7062620159296896E-2</v>
      </c>
    </row>
    <row r="81" spans="1:11" x14ac:dyDescent="0.2">
      <c r="D81" s="130" t="str">
        <f>'Company Data'!B17</f>
        <v>Other Operating Income/expense, Net</v>
      </c>
      <c r="H81" s="187">
        <v>49.672339303423087</v>
      </c>
      <c r="I81" s="337">
        <v>45</v>
      </c>
      <c r="J81" s="366">
        <f>I81-H81</f>
        <v>-4.6723393034230867</v>
      </c>
      <c r="K81" s="19">
        <f>I81/H81-1</f>
        <v>-9.4063202356590048E-2</v>
      </c>
    </row>
    <row r="82" spans="1:11" x14ac:dyDescent="0.2">
      <c r="E82" s="138" t="s">
        <v>91</v>
      </c>
      <c r="H82" s="263">
        <v>1.8390556999188662E-3</v>
      </c>
      <c r="I82" s="263">
        <v>1.5449052458115903E-3</v>
      </c>
    </row>
    <row r="83" spans="1:11" x14ac:dyDescent="0.2">
      <c r="D83" s="126" t="s">
        <v>98</v>
      </c>
      <c r="H83" s="193">
        <v>561.12399782858301</v>
      </c>
      <c r="I83" s="193">
        <v>542</v>
      </c>
      <c r="J83" s="366">
        <f>I83-H83</f>
        <v>-19.123997828583015</v>
      </c>
      <c r="K83" s="19">
        <f>I83/H83-1</f>
        <v>-3.4081589635425291E-2</v>
      </c>
    </row>
    <row r="84" spans="1:11" x14ac:dyDescent="0.2">
      <c r="E84" s="138" t="s">
        <v>78</v>
      </c>
      <c r="H84" s="263">
        <v>0.19134606757660944</v>
      </c>
      <c r="I84" s="263">
        <v>0.15074309978768574</v>
      </c>
    </row>
    <row r="85" spans="1:11" x14ac:dyDescent="0.2">
      <c r="H85" s="91"/>
      <c r="I85" s="91"/>
    </row>
    <row r="86" spans="1:11" x14ac:dyDescent="0.2">
      <c r="C86" s="17" t="s">
        <v>99</v>
      </c>
      <c r="H86" s="193">
        <v>26496.728198756129</v>
      </c>
      <c r="I86" s="193">
        <v>28010</v>
      </c>
      <c r="J86" s="366">
        <f>I86-H86</f>
        <v>1513.2718012438709</v>
      </c>
      <c r="K86" s="19">
        <f>I86/H86-1</f>
        <v>5.7111647517104069E-2</v>
      </c>
    </row>
    <row r="87" spans="1:11" x14ac:dyDescent="0.2">
      <c r="H87" s="87"/>
      <c r="I87" s="87"/>
    </row>
    <row r="88" spans="1:11" x14ac:dyDescent="0.2">
      <c r="B88" s="17" t="s">
        <v>100</v>
      </c>
      <c r="H88" s="193">
        <v>512.96993361391651</v>
      </c>
      <c r="I88" s="193">
        <v>1118</v>
      </c>
    </row>
    <row r="89" spans="1:11" x14ac:dyDescent="0.2">
      <c r="A89" s="111"/>
      <c r="E89" s="138" t="s">
        <v>78</v>
      </c>
      <c r="H89" s="263">
        <v>1.1828507813358149</v>
      </c>
      <c r="I89" s="263">
        <v>3.7574468085106387</v>
      </c>
    </row>
    <row r="90" spans="1:11" x14ac:dyDescent="0.2">
      <c r="A90" s="111"/>
      <c r="E90" s="138" t="s">
        <v>80</v>
      </c>
      <c r="H90" s="243">
        <v>277.96993361391651</v>
      </c>
      <c r="I90" s="243">
        <v>883</v>
      </c>
    </row>
    <row r="91" spans="1:11" x14ac:dyDescent="0.2">
      <c r="A91" s="111"/>
      <c r="E91" s="138" t="s">
        <v>91</v>
      </c>
      <c r="H91" s="195">
        <v>1.8992064668769567E-2</v>
      </c>
      <c r="I91" s="195">
        <v>3.8382312551496843E-2</v>
      </c>
    </row>
    <row r="92" spans="1:11" x14ac:dyDescent="0.2">
      <c r="E92" s="138" t="s">
        <v>96</v>
      </c>
      <c r="H92" s="197">
        <v>6.4754130162990586E-2</v>
      </c>
      <c r="I92" s="197">
        <v>0.13773202308532209</v>
      </c>
    </row>
    <row r="93" spans="1:11" x14ac:dyDescent="0.2">
      <c r="H93" s="208"/>
      <c r="I93" s="208"/>
    </row>
    <row r="94" spans="1:11" x14ac:dyDescent="0.2">
      <c r="C94" s="126" t="str">
        <f>'Company Data'!B18</f>
        <v>Interest Expense</v>
      </c>
      <c r="H94" s="187">
        <v>118.81000645453216</v>
      </c>
      <c r="I94" s="337">
        <v>117</v>
      </c>
      <c r="J94" s="366">
        <f>I94-H94</f>
        <v>-1.8100064545321572</v>
      </c>
      <c r="K94" s="19">
        <f>I94/H94-1</f>
        <v>-1.5234461376995467E-2</v>
      </c>
    </row>
    <row r="95" spans="1:11" x14ac:dyDescent="0.2">
      <c r="C95" s="205"/>
      <c r="E95" s="138" t="s">
        <v>101</v>
      </c>
      <c r="H95" s="264">
        <v>6.332250426738616E-3</v>
      </c>
      <c r="I95" s="264">
        <v>6.4338740720373934E-3</v>
      </c>
    </row>
    <row r="96" spans="1:11" x14ac:dyDescent="0.2">
      <c r="C96" s="126" t="str">
        <f>'Company Data'!B19</f>
        <v>Interest Income</v>
      </c>
      <c r="H96" s="187">
        <v>13</v>
      </c>
      <c r="I96" s="337">
        <v>21</v>
      </c>
      <c r="J96" s="366">
        <f>I96-H96</f>
        <v>8</v>
      </c>
      <c r="K96" s="19">
        <f>I96/H96-1</f>
        <v>0.61538461538461542</v>
      </c>
    </row>
    <row r="97" spans="1:11" x14ac:dyDescent="0.2">
      <c r="C97" s="205"/>
      <c r="E97" s="138" t="s">
        <v>103</v>
      </c>
      <c r="H97" s="264">
        <v>3.318019397651863E-3</v>
      </c>
      <c r="I97" s="264">
        <v>6.1965181469460021E-3</v>
      </c>
    </row>
    <row r="98" spans="1:11" x14ac:dyDescent="0.2">
      <c r="C98" s="205" t="s">
        <v>104</v>
      </c>
      <c r="H98" s="211">
        <v>105.81000645453216</v>
      </c>
      <c r="I98" s="211">
        <v>96</v>
      </c>
      <c r="J98" s="366">
        <f>I98-H98</f>
        <v>-9.8100064545321572</v>
      </c>
      <c r="K98" s="19">
        <f>I98/H98-1</f>
        <v>-9.2713409470848496E-2</v>
      </c>
    </row>
    <row r="99" spans="1:11" x14ac:dyDescent="0.2">
      <c r="C99" s="205" t="str">
        <f>'Company Data'!B20</f>
        <v>Other Income/expense-net</v>
      </c>
      <c r="H99" s="187">
        <v>0</v>
      </c>
      <c r="I99" s="337">
        <v>102</v>
      </c>
      <c r="J99" s="366"/>
      <c r="K99" s="19"/>
    </row>
    <row r="100" spans="1:11" x14ac:dyDescent="0.2">
      <c r="C100" s="205" t="s">
        <v>105</v>
      </c>
      <c r="H100" s="187">
        <v>0</v>
      </c>
      <c r="I100" s="211">
        <v>1124</v>
      </c>
    </row>
    <row r="101" spans="1:11" x14ac:dyDescent="0.2">
      <c r="C101" s="205" t="str">
        <f>'Company Data'!B25</f>
        <v>Income(Loss) from Equity Investments, After-Tax</v>
      </c>
      <c r="H101" s="211">
        <v>407.15992715938432</v>
      </c>
      <c r="I101" s="337">
        <v>-68</v>
      </c>
      <c r="J101" s="366">
        <f>I101-H101</f>
        <v>-475.15992715938432</v>
      </c>
      <c r="K101" s="19">
        <f>I101/H101-1</f>
        <v>-1.1670105417161576</v>
      </c>
    </row>
    <row r="102" spans="1:11" x14ac:dyDescent="0.2">
      <c r="C102" s="205" t="str">
        <f>'Company Data'!B24</f>
        <v>Provision for Income Tax</v>
      </c>
      <c r="H102" s="187">
        <v>122.14797814781529</v>
      </c>
      <c r="I102" s="337">
        <v>475</v>
      </c>
      <c r="J102" s="366">
        <f>I102-H102</f>
        <v>352.85202185218469</v>
      </c>
      <c r="K102" s="19">
        <f>I102/H102-1</f>
        <v>2.8887258487830789</v>
      </c>
    </row>
    <row r="103" spans="1:11" x14ac:dyDescent="0.2">
      <c r="E103" s="138" t="s">
        <v>106</v>
      </c>
      <c r="H103" s="353">
        <v>0.3</v>
      </c>
      <c r="I103" s="353">
        <v>0.42259786476868327</v>
      </c>
    </row>
    <row r="104" spans="1:11" x14ac:dyDescent="0.2">
      <c r="H104" s="23"/>
      <c r="I104" s="231">
        <v>-21</v>
      </c>
    </row>
    <row r="105" spans="1:11" x14ac:dyDescent="0.2">
      <c r="H105" s="94"/>
      <c r="I105" s="94"/>
    </row>
    <row r="106" spans="1:11" x14ac:dyDescent="0.2">
      <c r="A106" s="71"/>
      <c r="B106" s="111" t="s">
        <v>108</v>
      </c>
      <c r="C106" s="71"/>
      <c r="D106" s="71"/>
      <c r="E106" s="71"/>
      <c r="H106" s="234">
        <v>285.01194901156902</v>
      </c>
      <c r="I106" s="234">
        <v>581</v>
      </c>
      <c r="J106" s="366">
        <f>I106-H106</f>
        <v>295.98805098843098</v>
      </c>
      <c r="K106" s="19">
        <f>I106/H106-1</f>
        <v>1.0385110238883928</v>
      </c>
    </row>
    <row r="107" spans="1:11" x14ac:dyDescent="0.2">
      <c r="E107" s="138" t="s">
        <v>78</v>
      </c>
      <c r="H107" s="196">
        <v>6.0002096317819129</v>
      </c>
      <c r="I107" s="196">
        <v>11.192982456140351</v>
      </c>
    </row>
    <row r="108" spans="1:11" x14ac:dyDescent="0.2">
      <c r="E108" s="138" t="s">
        <v>80</v>
      </c>
      <c r="H108" s="243">
        <v>342.01194901156902</v>
      </c>
      <c r="I108" s="243">
        <v>638</v>
      </c>
    </row>
    <row r="109" spans="1:11" x14ac:dyDescent="0.2">
      <c r="A109" s="111"/>
      <c r="B109" s="111"/>
      <c r="C109" s="111"/>
      <c r="D109" s="111"/>
      <c r="E109" s="138" t="s">
        <v>91</v>
      </c>
      <c r="H109" s="195">
        <v>1.0552207863070989E-2</v>
      </c>
      <c r="I109" s="195">
        <v>1.9946443284811866E-2</v>
      </c>
    </row>
    <row r="110" spans="1:11" x14ac:dyDescent="0.2">
      <c r="E110" s="138" t="s">
        <v>96</v>
      </c>
      <c r="H110" s="197">
        <v>7.9672955904481563E-2</v>
      </c>
      <c r="I110" s="197">
        <v>9.9516456091093428E-2</v>
      </c>
    </row>
    <row r="111" spans="1:11" x14ac:dyDescent="0.2">
      <c r="H111" s="101"/>
      <c r="I111" s="102"/>
    </row>
    <row r="112" spans="1:11" x14ac:dyDescent="0.2">
      <c r="B112" s="17" t="s">
        <v>50</v>
      </c>
      <c r="H112" s="245">
        <v>2360.3779919930503</v>
      </c>
      <c r="I112" s="245">
        <v>2945</v>
      </c>
      <c r="J112" s="366">
        <f>I112-H112</f>
        <v>584.62200800694973</v>
      </c>
      <c r="K112" s="19">
        <f>I112/H112-1</f>
        <v>0.24768151965071827</v>
      </c>
    </row>
    <row r="113" spans="2:11" x14ac:dyDescent="0.2">
      <c r="E113" s="138" t="s">
        <v>78</v>
      </c>
      <c r="H113" s="196">
        <v>0.42105839373452758</v>
      </c>
      <c r="I113" s="196">
        <v>0.77302829620710423</v>
      </c>
    </row>
    <row r="114" spans="2:11" x14ac:dyDescent="0.2">
      <c r="E114" s="138" t="s">
        <v>80</v>
      </c>
      <c r="H114" s="243">
        <v>699.37799199305027</v>
      </c>
      <c r="I114" s="243">
        <v>1284</v>
      </c>
    </row>
    <row r="115" spans="2:11" x14ac:dyDescent="0.2">
      <c r="E115" s="138" t="s">
        <v>91</v>
      </c>
      <c r="H115" s="195">
        <v>8.739001748280302E-2</v>
      </c>
      <c r="I115" s="195">
        <v>0.10110546553144741</v>
      </c>
    </row>
    <row r="116" spans="2:11" x14ac:dyDescent="0.2">
      <c r="E116" s="138" t="s">
        <v>96</v>
      </c>
      <c r="H116" s="197">
        <v>0.16292270512087373</v>
      </c>
      <c r="I116" s="197">
        <v>0.200280767430978</v>
      </c>
    </row>
    <row r="117" spans="2:11" x14ac:dyDescent="0.2">
      <c r="E117" s="78"/>
      <c r="H117" s="64"/>
      <c r="I117" s="64"/>
    </row>
    <row r="118" spans="2:11" x14ac:dyDescent="0.2">
      <c r="C118" s="17" t="s">
        <v>109</v>
      </c>
      <c r="H118" s="246">
        <v>512.96993361391651</v>
      </c>
      <c r="I118" s="246">
        <v>1118</v>
      </c>
      <c r="J118" s="366">
        <f>I118-H118</f>
        <v>605.03006638608349</v>
      </c>
      <c r="K118" s="19">
        <f>I118/H118-1</f>
        <v>1.1794649680997784</v>
      </c>
    </row>
    <row r="119" spans="2:11" x14ac:dyDescent="0.2">
      <c r="E119" s="138" t="s">
        <v>78</v>
      </c>
      <c r="H119" s="196">
        <v>1.1828507813358149</v>
      </c>
      <c r="I119" s="196">
        <v>3.7574468085106387</v>
      </c>
    </row>
    <row r="120" spans="2:11" x14ac:dyDescent="0.2">
      <c r="E120" s="138" t="s">
        <v>80</v>
      </c>
      <c r="H120" s="243">
        <v>277.96993361391651</v>
      </c>
      <c r="I120" s="243">
        <v>883</v>
      </c>
    </row>
    <row r="121" spans="2:11" x14ac:dyDescent="0.2">
      <c r="E121" s="138" t="s">
        <v>91</v>
      </c>
      <c r="H121" s="195">
        <v>1.8992064668769567E-2</v>
      </c>
      <c r="I121" s="195">
        <v>3.8382312551496843E-2</v>
      </c>
    </row>
    <row r="122" spans="2:11" x14ac:dyDescent="0.2">
      <c r="E122" s="138" t="s">
        <v>96</v>
      </c>
      <c r="H122" s="197">
        <v>6.4754130162990586E-2</v>
      </c>
      <c r="I122" s="197">
        <v>0.13773202308532209</v>
      </c>
    </row>
    <row r="123" spans="2:11" x14ac:dyDescent="0.2">
      <c r="H123" s="23"/>
      <c r="I123" s="23"/>
    </row>
    <row r="124" spans="2:11" x14ac:dyDescent="0.2">
      <c r="B124" s="17" t="s">
        <v>110</v>
      </c>
      <c r="H124" s="248">
        <v>0.59632386522140146</v>
      </c>
      <c r="I124" s="248">
        <v>1.2079002079002079</v>
      </c>
      <c r="J124" s="366">
        <f>I124-H124</f>
        <v>0.61157634267880645</v>
      </c>
      <c r="K124" s="19">
        <f>I124/H124-1</f>
        <v>1.0255775063634962</v>
      </c>
    </row>
    <row r="125" spans="2:11" x14ac:dyDescent="0.2">
      <c r="E125" s="138" t="s">
        <v>78</v>
      </c>
      <c r="H125" s="195">
        <v>5.8647473215430121</v>
      </c>
      <c r="I125" s="195">
        <v>10.853922748659592</v>
      </c>
    </row>
    <row r="126" spans="2:11" x14ac:dyDescent="0.2">
      <c r="E126" s="138" t="s">
        <v>80</v>
      </c>
      <c r="H126" s="249">
        <v>0.71890451038269176</v>
      </c>
      <c r="I126" s="249">
        <v>1.3304808530614982</v>
      </c>
    </row>
    <row r="127" spans="2:11" x14ac:dyDescent="0.2">
      <c r="H127" s="65"/>
      <c r="I127" s="65"/>
    </row>
    <row r="128" spans="2:11" x14ac:dyDescent="0.2">
      <c r="B128" s="17" t="s">
        <v>110</v>
      </c>
      <c r="H128" s="218">
        <v>2.3852954608856058</v>
      </c>
      <c r="I128" s="218">
        <v>4.8316008316008316</v>
      </c>
      <c r="J128" s="366">
        <f>I128-H128</f>
        <v>2.4463053707152258</v>
      </c>
      <c r="K128" s="19">
        <f>I128/H128-1</f>
        <v>1.0255775063634962</v>
      </c>
    </row>
    <row r="129" spans="1:9" x14ac:dyDescent="0.2">
      <c r="H129" s="104"/>
      <c r="I129" s="104"/>
    </row>
    <row r="130" spans="1:9" x14ac:dyDescent="0.2">
      <c r="D130" s="205" t="s">
        <v>88</v>
      </c>
      <c r="H130" s="17"/>
      <c r="I130" s="17"/>
    </row>
    <row r="131" spans="1:9" x14ac:dyDescent="0.2">
      <c r="E131" s="138" t="s">
        <v>78</v>
      </c>
      <c r="H131" s="17"/>
      <c r="I131" s="17"/>
    </row>
    <row r="132" spans="1:9" x14ac:dyDescent="0.2">
      <c r="D132" s="205" t="s">
        <v>111</v>
      </c>
      <c r="H132" s="17"/>
      <c r="I132" s="17"/>
    </row>
    <row r="133" spans="1:9" x14ac:dyDescent="0.2">
      <c r="H133" s="106"/>
      <c r="I133" s="106"/>
    </row>
    <row r="134" spans="1:9" x14ac:dyDescent="0.2">
      <c r="D134" s="17" t="s">
        <v>112</v>
      </c>
      <c r="H134" s="231">
        <v>470</v>
      </c>
      <c r="I134" s="231">
        <v>471</v>
      </c>
    </row>
    <row r="135" spans="1:9" x14ac:dyDescent="0.2">
      <c r="H135" s="211"/>
      <c r="I135" s="211"/>
    </row>
    <row r="136" spans="1:9" x14ac:dyDescent="0.2">
      <c r="D136" s="17" t="s">
        <v>113</v>
      </c>
      <c r="H136" s="231">
        <v>477.94825200522632</v>
      </c>
      <c r="I136" s="231">
        <v>481</v>
      </c>
    </row>
    <row r="137" spans="1:9" x14ac:dyDescent="0.2">
      <c r="E137" s="138" t="s">
        <v>78</v>
      </c>
      <c r="H137" s="195">
        <v>2.7845703237045827E-2</v>
      </c>
      <c r="I137" s="195">
        <v>3.4408602150537648E-2</v>
      </c>
    </row>
    <row r="138" spans="1:9" x14ac:dyDescent="0.2">
      <c r="E138" s="138" t="s">
        <v>114</v>
      </c>
      <c r="H138" s="252">
        <v>-6.3445904257249386E-3</v>
      </c>
      <c r="I138" s="198">
        <v>0</v>
      </c>
    </row>
    <row r="139" spans="1:9" x14ac:dyDescent="0.2">
      <c r="E139" s="219" t="s">
        <v>115</v>
      </c>
      <c r="H139" s="254">
        <v>12.948252005226323</v>
      </c>
      <c r="I139" s="254">
        <v>16</v>
      </c>
    </row>
    <row r="140" spans="1:9" x14ac:dyDescent="0.2">
      <c r="A140" s="111"/>
      <c r="B140" s="111"/>
      <c r="C140" s="111"/>
      <c r="D140" s="111"/>
      <c r="E140" s="111"/>
      <c r="H140" s="96"/>
      <c r="I140" s="96"/>
    </row>
    <row r="141" spans="1:9" x14ac:dyDescent="0.2">
      <c r="A141" s="111"/>
      <c r="B141" s="111"/>
      <c r="C141" s="111"/>
      <c r="D141" s="111"/>
      <c r="E141" s="111"/>
      <c r="H141" s="96"/>
      <c r="I141" s="96"/>
    </row>
    <row r="142" spans="1:9" x14ac:dyDescent="0.2">
      <c r="A142" s="111"/>
      <c r="B142" s="111"/>
      <c r="C142" s="111"/>
      <c r="D142" s="111"/>
      <c r="E142" s="111"/>
      <c r="H142" s="96"/>
      <c r="I142" s="96"/>
    </row>
    <row r="143" spans="1:9" x14ac:dyDescent="0.2">
      <c r="A143" s="111" t="s">
        <v>116</v>
      </c>
      <c r="H143" s="17"/>
      <c r="I143" s="17"/>
    </row>
    <row r="144" spans="1:9" x14ac:dyDescent="0.2">
      <c r="A144" s="111"/>
      <c r="H144" s="17"/>
      <c r="I144" s="17"/>
    </row>
    <row r="145" spans="1:11" x14ac:dyDescent="0.2">
      <c r="B145" s="111" t="str">
        <f>'Company Data'!B80</f>
        <v>Net Income</v>
      </c>
      <c r="H145" s="307">
        <v>285.01194901156902</v>
      </c>
      <c r="I145" s="188">
        <v>513</v>
      </c>
      <c r="J145" s="366">
        <f>I145-H145</f>
        <v>227.98805098843098</v>
      </c>
      <c r="K145" s="19">
        <f>I145/H145-1</f>
        <v>0.79992453572245359</v>
      </c>
    </row>
    <row r="146" spans="1:11" x14ac:dyDescent="0.2">
      <c r="C146" s="17" t="str">
        <f>'Company Data'!B81</f>
        <v>Depreciation of Property and Equipment &amp; Software</v>
      </c>
      <c r="H146" s="261">
        <v>1847.4080583791338</v>
      </c>
      <c r="I146" s="260">
        <v>1827</v>
      </c>
      <c r="J146" s="366">
        <f>I146-H146</f>
        <v>-20.408058379133763</v>
      </c>
      <c r="K146" s="19">
        <f>I146/H146-1</f>
        <v>-1.1046860105741518E-2</v>
      </c>
    </row>
    <row r="147" spans="1:11" x14ac:dyDescent="0.2">
      <c r="A147" s="37"/>
      <c r="E147" s="37"/>
      <c r="H147" s="309">
        <v>8.4596027950322089E-2</v>
      </c>
      <c r="I147" s="308">
        <v>8.0937403092189789E-2</v>
      </c>
    </row>
    <row r="148" spans="1:11" x14ac:dyDescent="0.2">
      <c r="C148" s="17" t="str">
        <f>'Company Data'!B82</f>
        <v>Gain/loss on Sale of Marketable Securities, Net</v>
      </c>
      <c r="H148" s="260">
        <v>0</v>
      </c>
      <c r="I148" s="260">
        <v>2</v>
      </c>
    </row>
    <row r="149" spans="1:11" x14ac:dyDescent="0.2">
      <c r="C149" s="17" t="str">
        <f>'Company Data'!B83</f>
        <v>Stock based Compensation</v>
      </c>
      <c r="H149" s="261">
        <v>461.55080390376793</v>
      </c>
      <c r="I149" s="260">
        <v>544</v>
      </c>
      <c r="J149" s="366">
        <f>I149-H149</f>
        <v>82.449196096232072</v>
      </c>
      <c r="K149" s="19">
        <f>I149/H149-1</f>
        <v>0.17863514785129153</v>
      </c>
    </row>
    <row r="150" spans="1:11" x14ac:dyDescent="0.2">
      <c r="H150" s="312">
        <v>1.7088336257657679E-2</v>
      </c>
      <c r="I150" s="308">
        <v>1.8676187860477891E-2</v>
      </c>
    </row>
    <row r="151" spans="1:11" x14ac:dyDescent="0.2">
      <c r="C151" s="17" t="str">
        <f>'Company Data'!B84</f>
        <v>Excess Tax Charges (benefits) from Stock-based Compensation</v>
      </c>
      <c r="H151" s="315">
        <v>0</v>
      </c>
      <c r="I151" s="315">
        <v>-207</v>
      </c>
    </row>
    <row r="152" spans="1:11" x14ac:dyDescent="0.2">
      <c r="C152" s="17" t="str">
        <f>'Company Data'!B85</f>
        <v>Deferred Income Taxes</v>
      </c>
      <c r="H152" s="315">
        <v>0</v>
      </c>
      <c r="I152" s="315">
        <v>11</v>
      </c>
    </row>
    <row r="153" spans="1:11" x14ac:dyDescent="0.2">
      <c r="C153" s="17" t="str">
        <f>'Company Data'!B86</f>
        <v>Other Gain/loss, Net</v>
      </c>
      <c r="H153" s="317">
        <v>185.30245760458547</v>
      </c>
      <c r="I153" s="315">
        <v>-52</v>
      </c>
    </row>
    <row r="154" spans="1:11" x14ac:dyDescent="0.2">
      <c r="C154" s="17" t="str">
        <f>'Company Data'!B87</f>
        <v>Other Operating Income/expense</v>
      </c>
      <c r="H154" s="315">
        <v>0</v>
      </c>
      <c r="I154" s="315">
        <v>43</v>
      </c>
    </row>
    <row r="155" spans="1:11" x14ac:dyDescent="0.2">
      <c r="C155" s="17" t="str">
        <f>'Company Data'!B88</f>
        <v>Accounts Receivable, Net and Other Current Assets</v>
      </c>
      <c r="H155" s="317">
        <v>887.35089853106183</v>
      </c>
      <c r="I155" s="315">
        <v>412</v>
      </c>
    </row>
    <row r="156" spans="1:11" x14ac:dyDescent="0.2">
      <c r="C156" s="17" t="str">
        <f>'Company Data'!B89</f>
        <v>Inventories</v>
      </c>
      <c r="H156" s="317">
        <v>1374.7124904538359</v>
      </c>
      <c r="I156" s="315">
        <v>769</v>
      </c>
    </row>
    <row r="157" spans="1:11" x14ac:dyDescent="0.2">
      <c r="C157" s="17" t="str">
        <f>'Company Data'!B90</f>
        <v>Accounts Payable</v>
      </c>
      <c r="H157" s="317">
        <v>-6804.6797859003927</v>
      </c>
      <c r="I157" s="315">
        <v>-5770</v>
      </c>
    </row>
    <row r="158" spans="1:11" x14ac:dyDescent="0.2">
      <c r="C158" s="17" t="str">
        <f>'Company Data'!B91</f>
        <v>Amortization of Previously Unearned Revenue</v>
      </c>
      <c r="H158" s="317"/>
      <c r="I158" s="315">
        <v>-2110</v>
      </c>
    </row>
    <row r="159" spans="1:11" x14ac:dyDescent="0.2">
      <c r="C159" s="17" t="str">
        <f>'Company Data'!B92</f>
        <v>Additions to Unearned Revenue</v>
      </c>
      <c r="H159" s="317"/>
      <c r="I159" s="315">
        <v>2814</v>
      </c>
    </row>
    <row r="160" spans="1:11" x14ac:dyDescent="0.2">
      <c r="C160" s="17" t="s">
        <v>119</v>
      </c>
      <c r="H160" s="317">
        <v>-282.59330237759514</v>
      </c>
      <c r="I160" s="315"/>
    </row>
    <row r="161" spans="1:11" x14ac:dyDescent="0.2">
      <c r="C161" s="17" t="str">
        <f>'Company Data'!B93</f>
        <v>Accrued Expenses and Other Current Liabilities</v>
      </c>
      <c r="H161" s="317">
        <v>-588.71350032337068</v>
      </c>
      <c r="I161" s="315">
        <v>-956</v>
      </c>
    </row>
    <row r="162" spans="1:11" x14ac:dyDescent="0.2">
      <c r="H162" s="220"/>
      <c r="I162" s="220"/>
    </row>
    <row r="163" spans="1:11" x14ac:dyDescent="0.2">
      <c r="H163" s="220"/>
      <c r="I163" s="220"/>
    </row>
    <row r="164" spans="1:11" x14ac:dyDescent="0.2">
      <c r="H164" s="220"/>
      <c r="I164" s="220"/>
    </row>
    <row r="165" spans="1:11" x14ac:dyDescent="0.2">
      <c r="H165" s="220"/>
      <c r="I165" s="220"/>
    </row>
    <row r="166" spans="1:11" x14ac:dyDescent="0.2">
      <c r="A166" s="111"/>
      <c r="B166" s="111"/>
      <c r="C166" s="111" t="s">
        <v>121</v>
      </c>
      <c r="D166" s="111"/>
      <c r="E166" s="111"/>
      <c r="H166" s="221">
        <v>-5413.9231996164608</v>
      </c>
      <c r="I166" s="221">
        <v>-4841</v>
      </c>
      <c r="J166" s="366">
        <f>I166-H166</f>
        <v>572.92319961646081</v>
      </c>
      <c r="K166" s="19">
        <f>I166/H166-1</f>
        <v>-0.10582403526837036</v>
      </c>
    </row>
    <row r="167" spans="1:11" x14ac:dyDescent="0.2">
      <c r="A167" s="111"/>
      <c r="B167" s="111"/>
      <c r="C167" s="111"/>
      <c r="D167" s="111"/>
      <c r="E167" s="111"/>
      <c r="H167" s="221"/>
      <c r="I167" s="221"/>
    </row>
    <row r="168" spans="1:11" x14ac:dyDescent="0.2">
      <c r="A168" s="111"/>
      <c r="B168" s="20" t="s">
        <v>122</v>
      </c>
      <c r="C168" s="20"/>
      <c r="D168" s="20"/>
      <c r="E168" s="111"/>
      <c r="H168" s="319">
        <v>-2634.649930717404</v>
      </c>
      <c r="I168" s="319">
        <v>-2160</v>
      </c>
      <c r="J168" s="366">
        <f>I168-H168</f>
        <v>474.649930717404</v>
      </c>
      <c r="K168" s="19">
        <f>I168/H168-1</f>
        <v>-0.18015673550533484</v>
      </c>
    </row>
    <row r="169" spans="1:11" x14ac:dyDescent="0.2">
      <c r="A169" s="111"/>
      <c r="B169" s="111"/>
      <c r="C169" s="111" t="s">
        <v>123</v>
      </c>
      <c r="D169" s="111"/>
      <c r="E169" s="111"/>
      <c r="H169" s="115">
        <v>2779.2732688990568</v>
      </c>
      <c r="I169" s="115">
        <v>2681</v>
      </c>
    </row>
    <row r="170" spans="1:11" x14ac:dyDescent="0.2">
      <c r="E170" s="138" t="s">
        <v>78</v>
      </c>
      <c r="H170" s="273">
        <v>-0.75760502382748762</v>
      </c>
      <c r="I170" s="273">
        <v>-0.44096064042695127</v>
      </c>
    </row>
    <row r="171" spans="1:11" x14ac:dyDescent="0.2">
      <c r="E171" s="138" t="s">
        <v>80</v>
      </c>
      <c r="H171" s="293">
        <v>-1135.649930717404</v>
      </c>
      <c r="I171" s="293">
        <v>-661</v>
      </c>
    </row>
    <row r="172" spans="1:11" x14ac:dyDescent="0.2">
      <c r="E172" s="138" t="s">
        <v>91</v>
      </c>
      <c r="H172" s="263">
        <v>-9.7544590013758106E-2</v>
      </c>
      <c r="I172" s="263">
        <v>-7.4155451798956329E-2</v>
      </c>
    </row>
    <row r="173" spans="1:11" x14ac:dyDescent="0.2">
      <c r="B173" s="71"/>
      <c r="C173" s="71"/>
      <c r="D173" s="71"/>
      <c r="E173" s="138" t="s">
        <v>96</v>
      </c>
      <c r="H173" s="273">
        <v>-0.26455387630306054</v>
      </c>
      <c r="I173" s="273">
        <v>-0.10310403993136796</v>
      </c>
    </row>
    <row r="174" spans="1:11" x14ac:dyDescent="0.2">
      <c r="B174" s="71"/>
      <c r="C174" s="71"/>
      <c r="D174" s="71"/>
      <c r="H174" s="157"/>
      <c r="I174" s="157"/>
    </row>
    <row r="175" spans="1:11" x14ac:dyDescent="0.2">
      <c r="C175" s="17" t="str">
        <f>'Company Data'!B97</f>
        <v>Purchases of Property and Equipment, Including Internal-use Software and Website Development, Net2</v>
      </c>
      <c r="H175" s="228">
        <v>-1121</v>
      </c>
      <c r="I175" s="227">
        <v>-1179</v>
      </c>
      <c r="J175" s="366">
        <f>I175-H175</f>
        <v>-58</v>
      </c>
      <c r="K175" s="19">
        <f>I175/H175-1</f>
        <v>5.1739518287243547E-2</v>
      </c>
    </row>
    <row r="176" spans="1:11" x14ac:dyDescent="0.2">
      <c r="E176" s="138" t="s">
        <v>80</v>
      </c>
      <c r="H176" s="280">
        <v>-250</v>
      </c>
      <c r="I176" s="293">
        <v>-308</v>
      </c>
    </row>
    <row r="177" spans="1:11" x14ac:dyDescent="0.2">
      <c r="A177" s="37"/>
      <c r="E177" s="37"/>
      <c r="H177" s="151">
        <v>4.1503610832900287E-2</v>
      </c>
      <c r="I177" s="151">
        <v>4.1025817083218896E-2</v>
      </c>
    </row>
    <row r="178" spans="1:11" x14ac:dyDescent="0.2">
      <c r="A178" s="37"/>
      <c r="E178" s="37"/>
      <c r="H178" s="149"/>
      <c r="I178" s="151"/>
    </row>
    <row r="179" spans="1:11" x14ac:dyDescent="0.2">
      <c r="C179" s="17" t="str">
        <f>'Company Data'!B98</f>
        <v>Acquisitions, Net of Cash Acquired: Other</v>
      </c>
      <c r="H179" s="231">
        <v>0</v>
      </c>
      <c r="I179" s="231">
        <v>-16</v>
      </c>
    </row>
    <row r="180" spans="1:11" x14ac:dyDescent="0.2">
      <c r="C180" s="17" t="str">
        <f>'Company Data'!B99</f>
        <v>Purchase of Marketable Securities and Other Investments</v>
      </c>
      <c r="H180" s="231">
        <v>0</v>
      </c>
      <c r="I180" s="231">
        <v>-636</v>
      </c>
    </row>
    <row r="181" spans="1:11" x14ac:dyDescent="0.2">
      <c r="C181" s="17" t="str">
        <f>'Company Data'!B100</f>
        <v>Sales and Maturities of Marketable Securities and Other Investments</v>
      </c>
      <c r="H181" s="231">
        <v>0</v>
      </c>
      <c r="I181" s="231">
        <v>1138</v>
      </c>
    </row>
    <row r="182" spans="1:11" x14ac:dyDescent="0.2">
      <c r="H182" s="207"/>
      <c r="I182" s="206"/>
    </row>
    <row r="183" spans="1:11" x14ac:dyDescent="0.2">
      <c r="A183" s="111"/>
      <c r="B183" s="20" t="s">
        <v>125</v>
      </c>
      <c r="C183" s="20"/>
      <c r="D183" s="20"/>
      <c r="E183" s="111"/>
      <c r="H183" s="257">
        <v>-1121</v>
      </c>
      <c r="I183" s="257">
        <v>-693</v>
      </c>
      <c r="J183" s="366">
        <f>I183-H183</f>
        <v>428</v>
      </c>
      <c r="K183" s="19">
        <f>I183/H183-1</f>
        <v>-0.38180196253345222</v>
      </c>
    </row>
    <row r="184" spans="1:11" x14ac:dyDescent="0.2">
      <c r="A184" s="111"/>
      <c r="B184" s="20"/>
      <c r="C184" s="20"/>
      <c r="D184" s="20"/>
      <c r="E184" s="111"/>
      <c r="H184" s="257"/>
      <c r="I184" s="257"/>
    </row>
    <row r="185" spans="1:11" x14ac:dyDescent="0.2">
      <c r="A185" s="111"/>
      <c r="B185" s="20"/>
      <c r="C185" s="20"/>
      <c r="D185" s="20"/>
      <c r="E185" s="111"/>
      <c r="H185" s="257"/>
      <c r="I185" s="257"/>
    </row>
    <row r="186" spans="1:11" x14ac:dyDescent="0.2">
      <c r="C186" s="17" t="str">
        <f>'Company Data'!B104</f>
        <v xml:space="preserve">  Proceeds from Long-term Debt and Other</v>
      </c>
      <c r="H186" s="206">
        <v>600.54913637722893</v>
      </c>
      <c r="I186" s="206">
        <v>9</v>
      </c>
    </row>
    <row r="187" spans="1:11" x14ac:dyDescent="0.2">
      <c r="C187" s="17" t="str">
        <f>'Company Data'!B105</f>
        <v xml:space="preserve">  Repayment of Long-term Debt and Other</v>
      </c>
      <c r="H187" s="337">
        <v>0</v>
      </c>
      <c r="I187" s="337">
        <v>-175</v>
      </c>
    </row>
    <row r="188" spans="1:11" x14ac:dyDescent="0.2">
      <c r="C188" s="17" t="str">
        <f>'Company Data'!B106</f>
        <v xml:space="preserve">  Principal Repayment of Capital Lease Obligations</v>
      </c>
      <c r="H188" s="231">
        <v>-819.29039999999986</v>
      </c>
      <c r="I188" s="231">
        <v>-801</v>
      </c>
    </row>
    <row r="189" spans="1:11" x14ac:dyDescent="0.2">
      <c r="E189" s="138" t="s">
        <v>80</v>
      </c>
      <c r="H189" s="293">
        <v>-317.29039999999986</v>
      </c>
      <c r="I189" s="293">
        <v>-299</v>
      </c>
    </row>
    <row r="190" spans="1:11" x14ac:dyDescent="0.2">
      <c r="A190" s="71"/>
      <c r="B190" s="71"/>
      <c r="C190" s="17" t="str">
        <f>'Company Data'!B107</f>
        <v xml:space="preserve">  Principal Repayments of Finance Lease Obligations</v>
      </c>
      <c r="D190" s="71"/>
      <c r="E190" s="71"/>
      <c r="H190" s="231">
        <v>0</v>
      </c>
      <c r="I190" s="231">
        <v>-29</v>
      </c>
    </row>
    <row r="191" spans="1:11" x14ac:dyDescent="0.2">
      <c r="H191" s="149">
        <v>0.36273946360153259</v>
      </c>
      <c r="I191" s="150">
        <v>0.32346063912704598</v>
      </c>
    </row>
    <row r="192" spans="1:11" x14ac:dyDescent="0.2">
      <c r="C192" s="17" t="str">
        <f>'Company Data'!B108</f>
        <v xml:space="preserve">  Common Stock-repurchased</v>
      </c>
      <c r="H192" s="231">
        <v>-100</v>
      </c>
      <c r="I192" s="231">
        <v>0</v>
      </c>
    </row>
    <row r="193" spans="1:11" x14ac:dyDescent="0.2">
      <c r="C193" s="17" t="str">
        <f>'Company Data'!B109</f>
        <v xml:space="preserve">  Excess Tax Benefits from Stock-based Compensation</v>
      </c>
      <c r="H193" s="231">
        <v>0</v>
      </c>
      <c r="I193" s="231">
        <v>207</v>
      </c>
    </row>
    <row r="194" spans="1:11" x14ac:dyDescent="0.2">
      <c r="H194" s="157"/>
      <c r="I194" s="157"/>
    </row>
    <row r="195" spans="1:11" x14ac:dyDescent="0.2">
      <c r="H195" s="157"/>
      <c r="I195" s="157"/>
    </row>
    <row r="196" spans="1:11" x14ac:dyDescent="0.2">
      <c r="H196" s="157"/>
      <c r="I196" s="157"/>
    </row>
    <row r="197" spans="1:11" x14ac:dyDescent="0.2">
      <c r="H197" s="157"/>
      <c r="I197" s="157"/>
    </row>
    <row r="198" spans="1:11" x14ac:dyDescent="0.2">
      <c r="H198" s="157"/>
      <c r="I198" s="157"/>
    </row>
    <row r="199" spans="1:11" x14ac:dyDescent="0.2">
      <c r="A199" s="111"/>
      <c r="B199" s="20" t="s">
        <v>129</v>
      </c>
      <c r="C199" s="20"/>
      <c r="D199" s="20"/>
      <c r="E199" s="111"/>
      <c r="H199" s="191">
        <v>-318.74126362277093</v>
      </c>
      <c r="I199" s="282">
        <v>-789</v>
      </c>
      <c r="J199" s="366">
        <f>I199-H199</f>
        <v>-470.25873637722907</v>
      </c>
      <c r="K199" s="19">
        <f>I199/H199-1</f>
        <v>1.4753619629674883</v>
      </c>
    </row>
    <row r="200" spans="1:11" x14ac:dyDescent="0.2">
      <c r="C200" s="111" t="str">
        <f>'Company Data'!B113</f>
        <v xml:space="preserve">  Foreign Exchange Rate Effect on Cash and Cash Equivalents</v>
      </c>
      <c r="H200" s="337">
        <v>0</v>
      </c>
      <c r="I200" s="280">
        <v>222</v>
      </c>
    </row>
    <row r="201" spans="1:11" x14ac:dyDescent="0.2">
      <c r="E201" s="111"/>
      <c r="H201" s="159"/>
      <c r="I201" s="157"/>
    </row>
    <row r="202" spans="1:11" x14ac:dyDescent="0.2">
      <c r="E202" s="111"/>
      <c r="H202" s="159"/>
      <c r="I202" s="157"/>
    </row>
    <row r="203" spans="1:11" x14ac:dyDescent="0.2">
      <c r="A203" s="111"/>
      <c r="B203" s="111" t="s">
        <v>131</v>
      </c>
      <c r="C203" s="111"/>
      <c r="D203" s="111"/>
      <c r="E203" s="111"/>
      <c r="H203" s="191">
        <v>-4074.3911943401749</v>
      </c>
      <c r="I203" s="191">
        <v>-3420</v>
      </c>
      <c r="J203" s="366">
        <f>I203-H203</f>
        <v>654.39119434017493</v>
      </c>
      <c r="K203" s="19">
        <f>I203/H203-1</f>
        <v>-0.16061079143534474</v>
      </c>
    </row>
    <row r="204" spans="1:11" x14ac:dyDescent="0.2">
      <c r="C204" s="17" t="s">
        <v>132</v>
      </c>
      <c r="H204" s="170">
        <v>15890</v>
      </c>
      <c r="I204" s="170">
        <v>15890</v>
      </c>
    </row>
    <row r="205" spans="1:11" x14ac:dyDescent="0.2">
      <c r="C205" s="17" t="s">
        <v>133</v>
      </c>
      <c r="H205" s="161">
        <v>11815.608805659826</v>
      </c>
      <c r="I205" s="161">
        <v>12470</v>
      </c>
    </row>
    <row r="206" spans="1:11" x14ac:dyDescent="0.2">
      <c r="D206" s="17" t="s">
        <v>134</v>
      </c>
      <c r="H206" s="157"/>
      <c r="I206" s="157"/>
    </row>
    <row r="207" spans="1:11" x14ac:dyDescent="0.2">
      <c r="D207" s="130" t="s">
        <v>135</v>
      </c>
      <c r="H207" s="277">
        <v>11815.608805659826</v>
      </c>
      <c r="I207" s="277">
        <v>12470</v>
      </c>
    </row>
    <row r="208" spans="1:11" x14ac:dyDescent="0.2">
      <c r="D208" s="17" t="s">
        <v>136</v>
      </c>
      <c r="H208" s="170">
        <v>11815.608805659826</v>
      </c>
      <c r="I208" s="170">
        <v>12470</v>
      </c>
    </row>
    <row r="209" spans="2:11" x14ac:dyDescent="0.2">
      <c r="H209" s="277">
        <v>0</v>
      </c>
      <c r="I209" s="277">
        <v>0</v>
      </c>
    </row>
    <row r="210" spans="2:11" x14ac:dyDescent="0.2">
      <c r="H210" s="166"/>
      <c r="I210" s="166"/>
    </row>
    <row r="211" spans="2:11" x14ac:dyDescent="0.2">
      <c r="H211" s="166"/>
      <c r="I211" s="166"/>
    </row>
    <row r="212" spans="2:11" x14ac:dyDescent="0.2">
      <c r="H212" s="166"/>
      <c r="I212" s="166"/>
    </row>
    <row r="213" spans="2:11" x14ac:dyDescent="0.2">
      <c r="B213" s="130" t="s">
        <v>137</v>
      </c>
      <c r="C213" s="130"/>
      <c r="D213" s="130"/>
      <c r="H213" s="191">
        <v>-4574.9403307174034</v>
      </c>
      <c r="I213" s="191">
        <v>-4169</v>
      </c>
      <c r="J213" s="366">
        <f>I213-H213</f>
        <v>405.94033071740341</v>
      </c>
      <c r="K213" s="19">
        <f>I213/H213-1</f>
        <v>-8.8731284207535732E-2</v>
      </c>
    </row>
    <row r="214" spans="2:11" x14ac:dyDescent="0.2">
      <c r="E214" s="138" t="s">
        <v>78</v>
      </c>
      <c r="H214" s="263">
        <v>0.57160437331412006</v>
      </c>
      <c r="I214" s="263">
        <v>0.43215389900377876</v>
      </c>
    </row>
    <row r="215" spans="2:11" x14ac:dyDescent="0.2">
      <c r="E215" s="138" t="s">
        <v>80</v>
      </c>
      <c r="H215" s="326">
        <v>-1663.9403307174034</v>
      </c>
      <c r="I215" s="326">
        <v>-1258</v>
      </c>
    </row>
    <row r="216" spans="2:11" x14ac:dyDescent="0.2">
      <c r="E216" s="138" t="s">
        <v>91</v>
      </c>
      <c r="H216" s="263">
        <v>-0.16938139435310903</v>
      </c>
      <c r="I216" s="263">
        <v>-0.14312688821752265</v>
      </c>
    </row>
    <row r="217" spans="2:11" x14ac:dyDescent="0.2">
      <c r="E217" s="138" t="s">
        <v>96</v>
      </c>
      <c r="H217" s="273">
        <v>-0.38762109037439435</v>
      </c>
      <c r="I217" s="273">
        <v>-0.19622523787240681</v>
      </c>
    </row>
    <row r="218" spans="2:11" x14ac:dyDescent="0.2">
      <c r="E218" s="177"/>
      <c r="H218" s="178"/>
      <c r="I218" s="178"/>
    </row>
    <row r="219" spans="2:11" x14ac:dyDescent="0.2">
      <c r="E219" s="177"/>
      <c r="H219" s="178"/>
      <c r="I219" s="178"/>
    </row>
    <row r="220" spans="2:11" x14ac:dyDescent="0.2">
      <c r="B220" s="111" t="s">
        <v>138</v>
      </c>
      <c r="C220" s="111"/>
      <c r="D220" s="111"/>
      <c r="H220" s="169">
        <v>100</v>
      </c>
      <c r="I220" s="169">
        <v>0</v>
      </c>
    </row>
    <row r="221" spans="2:11" x14ac:dyDescent="0.2">
      <c r="E221" s="138" t="s">
        <v>78</v>
      </c>
      <c r="H221" s="289"/>
      <c r="I221" s="289"/>
    </row>
    <row r="222" spans="2:11" x14ac:dyDescent="0.2">
      <c r="E222" s="138" t="s">
        <v>80</v>
      </c>
      <c r="H222" s="297"/>
      <c r="I222" s="297"/>
    </row>
    <row r="223" spans="2:11" x14ac:dyDescent="0.2">
      <c r="E223" s="138" t="s">
        <v>91</v>
      </c>
      <c r="H223" s="289"/>
      <c r="I223" s="289"/>
    </row>
    <row r="224" spans="2:11" x14ac:dyDescent="0.2">
      <c r="E224" s="138" t="s">
        <v>96</v>
      </c>
      <c r="H224" s="289"/>
      <c r="I224" s="289"/>
    </row>
    <row r="225" spans="1:11" x14ac:dyDescent="0.2">
      <c r="E225" s="138"/>
      <c r="H225" s="163"/>
      <c r="I225" s="163"/>
    </row>
    <row r="226" spans="1:11" x14ac:dyDescent="0.2">
      <c r="E226" s="138"/>
      <c r="H226" s="163"/>
      <c r="I226" s="163"/>
    </row>
    <row r="227" spans="1:11" x14ac:dyDescent="0.2">
      <c r="B227" s="111" t="s">
        <v>139</v>
      </c>
      <c r="C227" s="111"/>
      <c r="D227" s="111"/>
      <c r="H227" s="306">
        <v>-500.54913637722893</v>
      </c>
      <c r="I227" s="306">
        <v>166</v>
      </c>
      <c r="J227" s="366">
        <f>I227-H227</f>
        <v>666.54913637722893</v>
      </c>
      <c r="K227" s="19">
        <f>I227/H227-1</f>
        <v>-1.3316357734655992</v>
      </c>
    </row>
    <row r="228" spans="1:11" x14ac:dyDescent="0.2">
      <c r="E228" s="138" t="s">
        <v>78</v>
      </c>
      <c r="H228" s="291">
        <v>-4.7635273411821721</v>
      </c>
      <c r="I228" s="291">
        <v>0.24812030075187974</v>
      </c>
    </row>
    <row r="229" spans="1:11" x14ac:dyDescent="0.2">
      <c r="E229" s="138" t="s">
        <v>80</v>
      </c>
      <c r="H229" s="266">
        <v>-633.54913637722893</v>
      </c>
      <c r="I229" s="266">
        <v>33</v>
      </c>
    </row>
    <row r="230" spans="1:11" x14ac:dyDescent="0.2">
      <c r="E230" s="138" t="s">
        <v>91</v>
      </c>
      <c r="H230" s="291">
        <v>-1.8532200320200573E-2</v>
      </c>
      <c r="I230" s="291">
        <v>5.6989837956605326E-3</v>
      </c>
    </row>
    <row r="231" spans="1:11" x14ac:dyDescent="0.2">
      <c r="E231" s="138" t="s">
        <v>96</v>
      </c>
      <c r="H231" s="273">
        <v>-0.14758762830300381</v>
      </c>
      <c r="I231" s="273">
        <v>5.1474029012634533E-3</v>
      </c>
    </row>
    <row r="232" spans="1:11" x14ac:dyDescent="0.2">
      <c r="H232" s="17"/>
      <c r="I232" s="17"/>
    </row>
    <row r="233" spans="1:11" x14ac:dyDescent="0.2">
      <c r="H233" s="17"/>
      <c r="I233" s="17"/>
    </row>
    <row r="234" spans="1:11" x14ac:dyDescent="0.2">
      <c r="H234" s="17"/>
      <c r="I234" s="17"/>
    </row>
    <row r="235" spans="1:11" x14ac:dyDescent="0.2">
      <c r="H235" s="17"/>
      <c r="I235" s="17"/>
    </row>
    <row r="236" spans="1:11" x14ac:dyDescent="0.2">
      <c r="A236" s="111" t="s">
        <v>140</v>
      </c>
      <c r="B236" s="111"/>
      <c r="C236" s="111"/>
      <c r="D236" s="111"/>
      <c r="E236" s="111"/>
      <c r="H236" s="111"/>
      <c r="I236" s="111"/>
    </row>
    <row r="237" spans="1:11" x14ac:dyDescent="0.2">
      <c r="A237" s="111"/>
      <c r="B237" s="111" t="s">
        <v>141</v>
      </c>
      <c r="C237" s="111"/>
      <c r="D237" s="111"/>
      <c r="E237" s="111"/>
      <c r="H237" s="111"/>
      <c r="I237" s="111"/>
    </row>
    <row r="238" spans="1:11" x14ac:dyDescent="0.2">
      <c r="A238" s="111"/>
      <c r="B238" s="111"/>
      <c r="C238" s="111"/>
      <c r="D238" s="130" t="str">
        <f>'Company Data'!B40</f>
        <v>Cash and Cash Equivalents</v>
      </c>
      <c r="E238" s="111"/>
      <c r="H238" s="190">
        <v>11815.608805659826</v>
      </c>
      <c r="I238" s="188">
        <v>12470</v>
      </c>
      <c r="J238" s="366">
        <f>I238-H238</f>
        <v>654.39119434017448</v>
      </c>
      <c r="K238" s="19">
        <f>I238/H238-1</f>
        <v>5.5383620522940102E-2</v>
      </c>
    </row>
    <row r="239" spans="1:11" x14ac:dyDescent="0.2">
      <c r="A239" s="37"/>
      <c r="B239" s="37"/>
      <c r="C239" s="37"/>
      <c r="E239" s="138" t="s">
        <v>91</v>
      </c>
      <c r="H239" s="287">
        <v>0.43745801036921955</v>
      </c>
      <c r="I239" s="287">
        <v>0.42811040922823401</v>
      </c>
    </row>
    <row r="240" spans="1:11" x14ac:dyDescent="0.2">
      <c r="A240" s="111"/>
      <c r="B240" s="111"/>
      <c r="C240" s="111"/>
      <c r="D240" s="130" t="str">
        <f>'Company Data'!B41</f>
        <v>Marketable Securities</v>
      </c>
      <c r="E240" s="111"/>
      <c r="H240" s="169">
        <v>3918</v>
      </c>
      <c r="I240" s="337">
        <v>3389</v>
      </c>
      <c r="J240" s="366">
        <f>I240-H240</f>
        <v>-529</v>
      </c>
      <c r="K240" s="19">
        <f>I240/H240-1</f>
        <v>-0.13501786625829504</v>
      </c>
    </row>
    <row r="241" spans="1:11" x14ac:dyDescent="0.2">
      <c r="A241" s="111"/>
      <c r="B241" s="111"/>
      <c r="C241" s="111"/>
      <c r="D241" s="130" t="str">
        <f>'Company Data'!B42</f>
        <v>Accounts Receivable, Net and Other Current Assets</v>
      </c>
      <c r="E241" s="111"/>
      <c r="H241" s="187">
        <v>5535.6491014689382</v>
      </c>
      <c r="I241" s="337">
        <v>5072</v>
      </c>
      <c r="J241" s="366">
        <f>I241-H241</f>
        <v>-463.64910146893817</v>
      </c>
      <c r="K241" s="19">
        <f>I241/H241-1</f>
        <v>-8.3756952973392806E-2</v>
      </c>
    </row>
    <row r="242" spans="1:11" x14ac:dyDescent="0.2">
      <c r="E242" s="138" t="s">
        <v>91</v>
      </c>
      <c r="H242" s="289">
        <v>0.20495042463413107</v>
      </c>
      <c r="I242" s="287">
        <v>0.32896182367481464</v>
      </c>
    </row>
    <row r="243" spans="1:11" x14ac:dyDescent="0.2">
      <c r="A243" s="111"/>
      <c r="B243" s="111"/>
      <c r="C243" s="111"/>
      <c r="D243" s="130" t="str">
        <f>'Company Data'!B43</f>
        <v>Inventories</v>
      </c>
      <c r="E243" s="111"/>
      <c r="H243" s="317">
        <v>8868.2875095461641</v>
      </c>
      <c r="I243" s="337">
        <v>9582</v>
      </c>
      <c r="J243" s="366">
        <f>I243-H243</f>
        <v>713.71249045383593</v>
      </c>
      <c r="K243" s="19">
        <f>I243/H243-1</f>
        <v>8.047917815988348E-2</v>
      </c>
    </row>
    <row r="244" spans="1:11" x14ac:dyDescent="0.2">
      <c r="E244" s="290" t="s">
        <v>142</v>
      </c>
      <c r="H244" s="289">
        <v>0.34193487226447589</v>
      </c>
      <c r="I244" s="287">
        <v>0.18465123052279014</v>
      </c>
    </row>
    <row r="245" spans="1:11" x14ac:dyDescent="0.2">
      <c r="A245" s="111"/>
      <c r="B245" s="111"/>
      <c r="C245" s="111"/>
      <c r="D245" s="130"/>
      <c r="E245" s="111"/>
      <c r="H245" s="157"/>
      <c r="I245" s="145"/>
    </row>
    <row r="246" spans="1:11" x14ac:dyDescent="0.2">
      <c r="A246" s="111"/>
      <c r="B246" s="111"/>
      <c r="C246" s="111"/>
      <c r="D246" s="130"/>
      <c r="E246" s="111"/>
      <c r="H246" s="157"/>
      <c r="I246" s="145"/>
    </row>
    <row r="247" spans="1:11" x14ac:dyDescent="0.2">
      <c r="A247" s="111"/>
      <c r="B247" s="111"/>
      <c r="C247" s="111"/>
      <c r="D247" s="130"/>
      <c r="E247" s="111"/>
      <c r="H247" s="157"/>
      <c r="I247" s="145"/>
    </row>
    <row r="248" spans="1:11" x14ac:dyDescent="0.2">
      <c r="A248" s="111"/>
      <c r="B248" s="111"/>
      <c r="C248" s="111"/>
      <c r="D248" s="130"/>
      <c r="E248" s="111"/>
      <c r="H248" s="157"/>
      <c r="I248" s="145"/>
    </row>
    <row r="249" spans="1:11" x14ac:dyDescent="0.2">
      <c r="A249" s="111"/>
      <c r="B249" s="111"/>
      <c r="C249" s="111"/>
      <c r="D249" s="130"/>
      <c r="E249" s="111"/>
      <c r="H249" s="157"/>
      <c r="I249" s="145"/>
    </row>
    <row r="250" spans="1:11" x14ac:dyDescent="0.2">
      <c r="H250" s="17"/>
      <c r="I250" s="17"/>
    </row>
    <row r="251" spans="1:11" x14ac:dyDescent="0.2">
      <c r="A251" s="74"/>
      <c r="B251" s="74"/>
      <c r="C251" s="130" t="str">
        <f>'Company Data'!B45</f>
        <v>Total Current Assets</v>
      </c>
      <c r="D251" s="74"/>
      <c r="E251" s="74"/>
      <c r="H251" s="221">
        <v>30137.545416674926</v>
      </c>
      <c r="I251" s="221">
        <v>30513</v>
      </c>
      <c r="J251" s="366">
        <f>I251-H251</f>
        <v>375.45458332507405</v>
      </c>
      <c r="K251" s="19">
        <f>I251/H251-1</f>
        <v>1.2458034592204514E-2</v>
      </c>
    </row>
    <row r="252" spans="1:11" x14ac:dyDescent="0.2">
      <c r="A252" s="111"/>
      <c r="B252" s="111"/>
      <c r="C252" s="111"/>
      <c r="D252" s="111"/>
      <c r="E252" s="111"/>
      <c r="H252" s="84"/>
      <c r="I252" s="131"/>
    </row>
    <row r="253" spans="1:11" x14ac:dyDescent="0.2">
      <c r="A253" s="111"/>
      <c r="B253" s="111"/>
      <c r="C253" s="127" t="str">
        <f>'Company Data'!B47</f>
        <v>Non Current Assets</v>
      </c>
      <c r="D253" s="111"/>
      <c r="E253" s="111"/>
      <c r="H253" s="84"/>
      <c r="I253" s="84"/>
    </row>
    <row r="254" spans="1:11" x14ac:dyDescent="0.2">
      <c r="A254" s="111"/>
      <c r="B254" s="111"/>
      <c r="C254" s="111"/>
      <c r="D254" s="130" t="str">
        <f>'Company Data'!B48</f>
        <v>Property and Equipment, net</v>
      </c>
      <c r="E254" s="111"/>
      <c r="H254" s="187">
        <v>21930.882341620869</v>
      </c>
      <c r="I254" s="337">
        <v>23308</v>
      </c>
      <c r="J254" s="366">
        <f>I254-H254</f>
        <v>1377.1176583791312</v>
      </c>
      <c r="K254" s="19">
        <f>I254/H254-1</f>
        <v>6.2793536389806226E-2</v>
      </c>
    </row>
    <row r="255" spans="1:11" x14ac:dyDescent="0.2">
      <c r="E255" s="138" t="s">
        <v>91</v>
      </c>
      <c r="H255" s="329">
        <v>0.81196325238961409</v>
      </c>
      <c r="I255" s="287">
        <v>0.80019225487503431</v>
      </c>
    </row>
    <row r="256" spans="1:11" x14ac:dyDescent="0.2">
      <c r="A256" s="74"/>
      <c r="B256" s="74"/>
      <c r="C256" s="74"/>
      <c r="D256" s="130" t="str">
        <f>'Company Data'!B49</f>
        <v>Goodwill</v>
      </c>
      <c r="E256" s="74"/>
      <c r="H256" s="169">
        <v>3759</v>
      </c>
      <c r="I256" s="337">
        <v>3785</v>
      </c>
      <c r="J256" s="366">
        <f>I256-H256</f>
        <v>26</v>
      </c>
      <c r="K256" s="19">
        <f>I256/H256-1</f>
        <v>6.9167331737163273E-3</v>
      </c>
    </row>
    <row r="257" spans="1:11" x14ac:dyDescent="0.2">
      <c r="A257" s="74"/>
      <c r="B257" s="74"/>
      <c r="C257" s="74"/>
      <c r="D257" s="130" t="str">
        <f>'Company Data'!B50</f>
        <v>Other Assets</v>
      </c>
      <c r="E257" s="74"/>
      <c r="H257" s="187">
        <v>3187.6975423954145</v>
      </c>
      <c r="I257" s="337">
        <v>3522</v>
      </c>
      <c r="J257" s="366">
        <f>I257-H257</f>
        <v>334.30245760458547</v>
      </c>
      <c r="K257" s="19">
        <f>I257/H257-1</f>
        <v>0.10487270299595997</v>
      </c>
    </row>
    <row r="258" spans="1:11" x14ac:dyDescent="0.2">
      <c r="E258" s="138" t="s">
        <v>91</v>
      </c>
      <c r="H258" s="329">
        <v>0.11802048015394463</v>
      </c>
      <c r="I258" s="287">
        <v>0.12091458390552046</v>
      </c>
    </row>
    <row r="259" spans="1:11" x14ac:dyDescent="0.2">
      <c r="A259" s="74"/>
      <c r="B259" s="74"/>
      <c r="C259" s="74"/>
      <c r="D259" s="130"/>
      <c r="E259" s="74"/>
      <c r="H259" s="159"/>
      <c r="I259" s="145"/>
    </row>
    <row r="260" spans="1:11" x14ac:dyDescent="0.2">
      <c r="A260" s="74"/>
      <c r="B260" s="74"/>
      <c r="C260" s="74"/>
      <c r="D260" s="130"/>
      <c r="E260" s="74"/>
      <c r="H260" s="159"/>
      <c r="I260" s="145"/>
    </row>
    <row r="261" spans="1:11" x14ac:dyDescent="0.2">
      <c r="A261" s="74"/>
      <c r="B261" s="74"/>
      <c r="C261" s="74"/>
      <c r="D261" s="130"/>
      <c r="E261" s="74"/>
      <c r="H261" s="159"/>
      <c r="I261" s="145"/>
    </row>
    <row r="262" spans="1:11" x14ac:dyDescent="0.2">
      <c r="A262" s="74"/>
      <c r="B262" s="74"/>
      <c r="C262" s="74"/>
      <c r="D262" s="130"/>
      <c r="E262" s="74"/>
      <c r="H262" s="159"/>
      <c r="I262" s="145"/>
    </row>
    <row r="263" spans="1:11" x14ac:dyDescent="0.2">
      <c r="A263" s="74"/>
      <c r="B263" s="74"/>
      <c r="C263" s="74"/>
      <c r="D263" s="130"/>
      <c r="E263" s="74"/>
      <c r="H263" s="159"/>
      <c r="I263" s="145"/>
    </row>
    <row r="264" spans="1:11" x14ac:dyDescent="0.2">
      <c r="A264" s="74"/>
      <c r="B264" s="74"/>
      <c r="C264" s="74"/>
      <c r="D264" s="130"/>
      <c r="E264" s="74"/>
      <c r="H264" s="159"/>
      <c r="I264" s="145"/>
    </row>
    <row r="265" spans="1:11" x14ac:dyDescent="0.2">
      <c r="A265" s="74"/>
      <c r="B265" s="74"/>
      <c r="C265" s="74"/>
      <c r="D265" s="130"/>
      <c r="E265" s="74"/>
      <c r="H265" s="159"/>
      <c r="I265" s="145"/>
    </row>
    <row r="266" spans="1:11" x14ac:dyDescent="0.2">
      <c r="A266" s="74"/>
      <c r="B266" s="74"/>
      <c r="C266" s="74"/>
      <c r="D266" s="130"/>
      <c r="E266" s="74"/>
      <c r="H266" s="159"/>
      <c r="I266" s="145"/>
    </row>
    <row r="267" spans="1:11" x14ac:dyDescent="0.2">
      <c r="A267" s="111"/>
      <c r="B267" s="127" t="str">
        <f>'Company Data'!B51</f>
        <v>Total Assets</v>
      </c>
      <c r="C267" s="127"/>
      <c r="D267" s="127"/>
      <c r="E267" s="111"/>
      <c r="H267" s="221">
        <v>59015.125300691208</v>
      </c>
      <c r="I267" s="221">
        <v>61128.000000000007</v>
      </c>
      <c r="J267" s="366">
        <f>I267-H267</f>
        <v>2112.8746993087989</v>
      </c>
      <c r="K267" s="19">
        <f>I267/H267-1</f>
        <v>3.5802257278000793E-2</v>
      </c>
    </row>
    <row r="268" spans="1:11" x14ac:dyDescent="0.2">
      <c r="A268" s="111"/>
      <c r="B268" s="111"/>
      <c r="C268" s="111"/>
      <c r="D268" s="111"/>
      <c r="E268" s="111"/>
      <c r="H268" s="84"/>
      <c r="I268" s="84"/>
    </row>
    <row r="269" spans="1:11" x14ac:dyDescent="0.2">
      <c r="A269" s="111"/>
      <c r="B269" s="111" t="s">
        <v>144</v>
      </c>
      <c r="C269" s="111"/>
      <c r="D269" s="111"/>
      <c r="E269" s="111"/>
      <c r="H269" s="48"/>
      <c r="I269" s="48"/>
    </row>
    <row r="270" spans="1:11" x14ac:dyDescent="0.2">
      <c r="A270" s="111"/>
      <c r="B270" s="111"/>
      <c r="C270" s="111" t="str">
        <f>'Company Data'!B53</f>
        <v>Current Liabilities</v>
      </c>
      <c r="D270" s="111"/>
      <c r="E270" s="111"/>
      <c r="H270" s="84"/>
      <c r="I270" s="84"/>
    </row>
    <row r="271" spans="1:11" x14ac:dyDescent="0.2">
      <c r="A271" s="111"/>
      <c r="B271" s="111"/>
      <c r="C271" s="111"/>
      <c r="D271" s="130" t="str">
        <f>'Company Data'!B54</f>
        <v>Accounts Payable</v>
      </c>
      <c r="E271" s="111"/>
      <c r="H271" s="188">
        <v>13592.320214099607</v>
      </c>
      <c r="I271" s="188">
        <v>14990</v>
      </c>
      <c r="J271" s="366">
        <f>I271-H271</f>
        <v>1397.6797859003927</v>
      </c>
      <c r="K271" s="19">
        <f>I271/H271-1</f>
        <v>0.10282863881109483</v>
      </c>
    </row>
    <row r="272" spans="1:11" x14ac:dyDescent="0.2">
      <c r="E272" s="290" t="s">
        <v>145</v>
      </c>
      <c r="H272" s="329">
        <v>0.535009205984876</v>
      </c>
      <c r="I272" s="287">
        <v>0.54572593563419247</v>
      </c>
    </row>
    <row r="273" spans="1:11" x14ac:dyDescent="0.2">
      <c r="A273" s="111"/>
      <c r="B273" s="111"/>
      <c r="C273" s="111"/>
      <c r="D273" s="130" t="str">
        <f>'Company Data'!B55</f>
        <v>Accrued Expenses and Other Current Liabilities</v>
      </c>
      <c r="E273" s="111"/>
      <c r="H273" s="187">
        <v>9795.2864996766293</v>
      </c>
      <c r="I273" s="337">
        <v>9431</v>
      </c>
      <c r="J273" s="366">
        <f>I273-H273</f>
        <v>-364.28649967662932</v>
      </c>
      <c r="K273" s="19">
        <f>I273/H273-1</f>
        <v>-3.718997904641741E-2</v>
      </c>
    </row>
    <row r="274" spans="1:11" x14ac:dyDescent="0.2">
      <c r="D274" s="130"/>
      <c r="E274" s="138" t="s">
        <v>91</v>
      </c>
      <c r="H274" s="329">
        <v>0.36967909495091783</v>
      </c>
      <c r="I274" s="287">
        <v>0.3237778082944246</v>
      </c>
    </row>
    <row r="275" spans="1:11" x14ac:dyDescent="0.2">
      <c r="A275" s="111"/>
      <c r="B275" s="111"/>
      <c r="C275" s="111"/>
      <c r="D275" s="130" t="str">
        <f>'Company Data'!B56</f>
        <v>Unearned Revenue</v>
      </c>
      <c r="E275" s="111"/>
      <c r="H275" s="187">
        <v>2835.4066976224049</v>
      </c>
      <c r="I275" s="337">
        <v>3766</v>
      </c>
      <c r="J275" s="366">
        <f>I275-H275</f>
        <v>930.59330237759514</v>
      </c>
      <c r="K275" s="19">
        <f>I275/H275-1</f>
        <v>0.32820452288482382</v>
      </c>
    </row>
    <row r="276" spans="1:11" x14ac:dyDescent="0.2">
      <c r="D276" s="130"/>
      <c r="E276" s="138" t="s">
        <v>91</v>
      </c>
      <c r="H276" s="329">
        <v>0.10497735604916972</v>
      </c>
      <c r="I276" s="287">
        <v>0.12929140346058776</v>
      </c>
    </row>
    <row r="277" spans="1:11" x14ac:dyDescent="0.2">
      <c r="A277" s="111"/>
      <c r="B277" s="111"/>
      <c r="C277" s="111"/>
      <c r="D277" s="130"/>
      <c r="E277" s="111"/>
      <c r="H277" s="170"/>
      <c r="I277" s="280"/>
    </row>
    <row r="278" spans="1:11" x14ac:dyDescent="0.2">
      <c r="A278" s="111"/>
      <c r="B278" s="111"/>
      <c r="C278" s="111"/>
      <c r="D278" s="130"/>
      <c r="E278" s="111"/>
      <c r="H278" s="170"/>
      <c r="I278" s="280"/>
    </row>
    <row r="279" spans="1:11" x14ac:dyDescent="0.2">
      <c r="A279" s="111"/>
      <c r="B279" s="111"/>
      <c r="C279" s="111"/>
      <c r="D279" s="130"/>
      <c r="E279" s="111"/>
      <c r="H279" s="170"/>
      <c r="I279" s="280"/>
    </row>
    <row r="280" spans="1:11" x14ac:dyDescent="0.2">
      <c r="A280" s="111"/>
      <c r="B280" s="111"/>
      <c r="C280" s="111"/>
      <c r="D280" s="130"/>
      <c r="E280" s="111"/>
      <c r="H280" s="170"/>
      <c r="I280" s="280"/>
    </row>
    <row r="281" spans="1:11" x14ac:dyDescent="0.2">
      <c r="A281" s="111"/>
      <c r="B281" s="111"/>
      <c r="C281" s="127" t="str">
        <f>'Company Data'!B57</f>
        <v>Total Current Liabilities</v>
      </c>
      <c r="D281" s="111"/>
      <c r="E281" s="111"/>
      <c r="H281" s="221">
        <v>26223.013411398642</v>
      </c>
      <c r="I281" s="221">
        <v>28187</v>
      </c>
      <c r="J281" s="366">
        <f>I281-H281</f>
        <v>1963.9865886013577</v>
      </c>
      <c r="K281" s="19">
        <f>I281/H281-1</f>
        <v>7.4895533849959728E-2</v>
      </c>
    </row>
    <row r="282" spans="1:11" x14ac:dyDescent="0.2">
      <c r="A282" s="111"/>
      <c r="B282" s="111"/>
      <c r="C282" s="111"/>
      <c r="D282" s="111"/>
      <c r="E282" s="111"/>
      <c r="H282" s="84"/>
      <c r="I282" s="84"/>
    </row>
    <row r="283" spans="1:11" x14ac:dyDescent="0.2">
      <c r="A283" s="111"/>
      <c r="B283" s="111"/>
      <c r="C283" s="127" t="str">
        <f>'Company Data'!B59</f>
        <v>Non Current Liabilities</v>
      </c>
      <c r="D283" s="111"/>
      <c r="E283" s="111"/>
      <c r="H283" s="364">
        <v>10963.3474658416</v>
      </c>
      <c r="I283" s="48"/>
    </row>
    <row r="284" spans="1:11" x14ac:dyDescent="0.2">
      <c r="A284" s="111"/>
      <c r="B284" s="111"/>
      <c r="C284" s="111"/>
      <c r="D284" s="130" t="str">
        <f>'Company Data'!B60</f>
        <v>Long-term Debt</v>
      </c>
      <c r="E284" s="111"/>
      <c r="H284" s="187">
        <v>8835.5491363772289</v>
      </c>
      <c r="I284" s="337">
        <v>8219</v>
      </c>
      <c r="J284" s="366">
        <f>I284-H284</f>
        <v>-616.54913637722893</v>
      </c>
      <c r="K284" s="19">
        <f>I284/H284-1</f>
        <v>-6.9780511302778847E-2</v>
      </c>
    </row>
    <row r="285" spans="1:11" x14ac:dyDescent="0.2">
      <c r="E285" s="290" t="s">
        <v>295</v>
      </c>
      <c r="H285" s="329">
        <v>0.80658396014457356</v>
      </c>
      <c r="I285" s="287">
        <v>0.6591018444266239</v>
      </c>
    </row>
    <row r="286" spans="1:11" x14ac:dyDescent="0.2">
      <c r="E286" s="290" t="s">
        <v>146</v>
      </c>
      <c r="H286" s="329">
        <v>0.32712506052735835</v>
      </c>
      <c r="I286" s="287">
        <v>0.2821683603405658</v>
      </c>
    </row>
    <row r="287" spans="1:11" x14ac:dyDescent="0.2">
      <c r="A287" s="111"/>
      <c r="B287" s="111"/>
      <c r="C287" s="111"/>
      <c r="D287" s="130" t="str">
        <f>'Company Data'!B61</f>
        <v>Long-term Liabilities</v>
      </c>
      <c r="E287" s="111"/>
      <c r="H287" s="187">
        <v>9926</v>
      </c>
      <c r="I287" s="337">
        <v>9966</v>
      </c>
      <c r="J287" s="366">
        <f>I287-H287</f>
        <v>40</v>
      </c>
      <c r="K287" s="19">
        <f>I287/H287-1</f>
        <v>4.0298206729800778E-3</v>
      </c>
    </row>
    <row r="288" spans="1:11" x14ac:dyDescent="0.2">
      <c r="E288" s="290" t="s">
        <v>296</v>
      </c>
      <c r="H288" s="329"/>
      <c r="I288" s="287">
        <v>5.4384908689544452E-2</v>
      </c>
    </row>
    <row r="289" spans="1:11" x14ac:dyDescent="0.2">
      <c r="A289" s="111"/>
      <c r="B289" s="111"/>
      <c r="C289" s="111"/>
      <c r="D289" s="111"/>
      <c r="E289" s="111"/>
      <c r="H289" s="159"/>
      <c r="I289" s="145"/>
    </row>
    <row r="290" spans="1:11" x14ac:dyDescent="0.2">
      <c r="A290" s="111"/>
      <c r="B290" s="111"/>
      <c r="C290" s="111"/>
      <c r="D290" s="111"/>
      <c r="E290" s="111"/>
      <c r="H290" s="159"/>
      <c r="I290" s="145"/>
    </row>
    <row r="291" spans="1:11" x14ac:dyDescent="0.2">
      <c r="A291" s="111"/>
      <c r="B291" s="111"/>
      <c r="C291" s="111"/>
      <c r="D291" s="111"/>
      <c r="E291" s="111"/>
      <c r="H291" s="159"/>
      <c r="I291" s="145"/>
    </row>
    <row r="292" spans="1:11" x14ac:dyDescent="0.2">
      <c r="A292" s="111"/>
      <c r="B292" s="111"/>
      <c r="C292" s="111"/>
      <c r="D292" s="111"/>
      <c r="E292" s="111"/>
      <c r="H292" s="159"/>
      <c r="I292" s="145"/>
    </row>
    <row r="293" spans="1:11" x14ac:dyDescent="0.2">
      <c r="A293" s="111"/>
      <c r="B293" s="111"/>
      <c r="C293" s="111"/>
      <c r="D293" s="111"/>
      <c r="E293" s="111"/>
      <c r="H293" s="159"/>
      <c r="I293" s="145"/>
    </row>
    <row r="294" spans="1:11" x14ac:dyDescent="0.2">
      <c r="A294" s="111"/>
      <c r="B294" s="111"/>
      <c r="C294" s="111"/>
      <c r="D294" s="111"/>
      <c r="E294" s="111"/>
      <c r="H294" s="159"/>
      <c r="I294" s="145"/>
    </row>
    <row r="295" spans="1:11" x14ac:dyDescent="0.2">
      <c r="A295" s="111"/>
      <c r="B295" s="111"/>
      <c r="C295" s="111"/>
      <c r="D295" s="111"/>
      <c r="E295" s="111"/>
      <c r="H295" s="159"/>
      <c r="I295" s="145"/>
    </row>
    <row r="296" spans="1:11" x14ac:dyDescent="0.2">
      <c r="A296" s="111"/>
      <c r="B296" s="111"/>
      <c r="C296" s="111"/>
      <c r="D296" s="111"/>
      <c r="E296" s="111"/>
      <c r="H296" s="159"/>
      <c r="I296" s="145"/>
    </row>
    <row r="297" spans="1:11" x14ac:dyDescent="0.2">
      <c r="A297" s="111"/>
      <c r="B297" s="111"/>
      <c r="C297" s="111"/>
      <c r="D297" s="111"/>
      <c r="E297" s="111"/>
      <c r="H297" s="159"/>
      <c r="I297" s="145"/>
    </row>
    <row r="298" spans="1:11" x14ac:dyDescent="0.2">
      <c r="A298" s="74"/>
      <c r="B298" s="127" t="s">
        <v>148</v>
      </c>
      <c r="C298" s="127"/>
      <c r="D298" s="127"/>
      <c r="E298" s="74"/>
      <c r="H298" s="221">
        <v>44984.562547775866</v>
      </c>
      <c r="I298" s="221">
        <v>46372</v>
      </c>
      <c r="J298" s="366">
        <f>I298-H298</f>
        <v>1387.4374522241342</v>
      </c>
      <c r="K298" s="19">
        <f>I298/H298-1</f>
        <v>3.084252404923582E-2</v>
      </c>
    </row>
    <row r="299" spans="1:11" x14ac:dyDescent="0.2">
      <c r="A299" s="74"/>
      <c r="B299" s="74"/>
      <c r="C299" s="74"/>
      <c r="D299" s="74"/>
      <c r="E299" s="74"/>
      <c r="H299" s="212"/>
      <c r="I299" s="212"/>
    </row>
    <row r="300" spans="1:11" x14ac:dyDescent="0.2">
      <c r="A300" s="111"/>
      <c r="B300" s="271" t="str">
        <f>'Company Data'!B65</f>
        <v>Shareholders' Equity</v>
      </c>
      <c r="C300" s="111"/>
      <c r="D300" s="111"/>
      <c r="E300" s="111"/>
      <c r="H300" s="84"/>
      <c r="I300" s="84"/>
    </row>
    <row r="301" spans="1:11" x14ac:dyDescent="0.2">
      <c r="A301" s="111"/>
      <c r="B301" s="111"/>
      <c r="C301" s="130" t="str">
        <f>'Company Data'!B66</f>
        <v>Common Stock - Par Value</v>
      </c>
      <c r="D301" s="111"/>
      <c r="E301" s="111"/>
      <c r="H301" s="169"/>
      <c r="I301" s="337">
        <v>5</v>
      </c>
    </row>
    <row r="302" spans="1:11" x14ac:dyDescent="0.2">
      <c r="A302" s="74"/>
      <c r="B302" s="74"/>
      <c r="C302" s="130" t="str">
        <f>'Company Data'!B67</f>
        <v>Additional Paid in Capital</v>
      </c>
      <c r="D302" s="74"/>
      <c r="E302" s="74"/>
      <c r="H302" s="169"/>
      <c r="I302" s="337">
        <v>-1837</v>
      </c>
    </row>
    <row r="303" spans="1:11" x14ac:dyDescent="0.2">
      <c r="A303" s="74"/>
      <c r="B303" s="74"/>
      <c r="C303" s="130" t="str">
        <f>'Company Data'!B68</f>
        <v>Treasury Stock - Common</v>
      </c>
      <c r="D303" s="74"/>
      <c r="E303" s="74"/>
      <c r="H303" s="207"/>
      <c r="I303" s="206">
        <v>14144</v>
      </c>
    </row>
    <row r="304" spans="1:11" x14ac:dyDescent="0.2">
      <c r="A304" s="111"/>
      <c r="B304" s="111"/>
      <c r="C304" s="130" t="str">
        <f>'Company Data'!B69</f>
        <v>Retained Earnings (Accumulated Deficit)</v>
      </c>
      <c r="D304" s="111"/>
      <c r="E304" s="111"/>
      <c r="H304" s="207"/>
      <c r="I304" s="206">
        <v>-614</v>
      </c>
    </row>
    <row r="305" spans="1:11" x14ac:dyDescent="0.2">
      <c r="A305" s="111"/>
      <c r="B305" s="111"/>
      <c r="C305" s="130" t="str">
        <f>'Company Data'!B70</f>
        <v>Accumulated Other Comprehensive (Loss) income</v>
      </c>
      <c r="D305" s="111"/>
      <c r="E305" s="111"/>
      <c r="H305" s="207"/>
      <c r="I305" s="206">
        <v>3058</v>
      </c>
    </row>
    <row r="306" spans="1:11" x14ac:dyDescent="0.2">
      <c r="A306" s="111"/>
      <c r="B306" s="111"/>
      <c r="C306" s="130"/>
      <c r="D306" s="111"/>
      <c r="E306" s="111"/>
      <c r="H306" s="159"/>
      <c r="I306" s="145"/>
    </row>
    <row r="307" spans="1:11" x14ac:dyDescent="0.2">
      <c r="A307" s="111"/>
      <c r="B307" s="111"/>
      <c r="C307" s="130"/>
      <c r="D307" s="111"/>
      <c r="E307" s="111"/>
      <c r="H307" s="159"/>
      <c r="I307" s="145"/>
    </row>
    <row r="308" spans="1:11" x14ac:dyDescent="0.2">
      <c r="A308" s="111"/>
      <c r="B308" s="111"/>
      <c r="C308" s="130"/>
      <c r="D308" s="111"/>
      <c r="E308" s="111"/>
      <c r="H308" s="159"/>
      <c r="I308" s="145"/>
    </row>
    <row r="309" spans="1:11" x14ac:dyDescent="0.2">
      <c r="A309" s="111"/>
      <c r="B309" s="111"/>
      <c r="C309" s="130"/>
      <c r="D309" s="111"/>
      <c r="E309" s="111"/>
      <c r="H309" s="159"/>
      <c r="I309" s="145"/>
    </row>
    <row r="310" spans="1:11" x14ac:dyDescent="0.2">
      <c r="A310" s="111"/>
      <c r="B310" s="111"/>
      <c r="C310" s="130" t="str">
        <f>'Company Data'!B71</f>
        <v>Total Shareholders Equity</v>
      </c>
      <c r="D310" s="111"/>
      <c r="E310" s="111"/>
      <c r="H310" s="221">
        <v>14030.562752915337</v>
      </c>
      <c r="I310" s="221">
        <v>14756</v>
      </c>
      <c r="J310" s="366">
        <f>I310-H310</f>
        <v>725.43724708466289</v>
      </c>
      <c r="K310" s="19">
        <f>I310/H310-1</f>
        <v>5.1704073447369714E-2</v>
      </c>
    </row>
    <row r="311" spans="1:11" x14ac:dyDescent="0.2">
      <c r="A311" s="111"/>
      <c r="B311" s="111"/>
      <c r="C311" s="130" t="str">
        <f>'Company Data'!B72</f>
        <v>Total Liabilities &amp; Shareholders Equity</v>
      </c>
      <c r="D311" s="111"/>
      <c r="E311" s="111"/>
      <c r="H311" s="221">
        <v>59015.125300691201</v>
      </c>
      <c r="I311" s="221">
        <v>61128</v>
      </c>
      <c r="J311" s="366">
        <f>I311-H311</f>
        <v>2112.8746993087989</v>
      </c>
      <c r="K311" s="19">
        <f>I311/H311-1</f>
        <v>3.5802257278000793E-2</v>
      </c>
    </row>
    <row r="312" spans="1:11" x14ac:dyDescent="0.2">
      <c r="A312" s="111"/>
      <c r="B312" s="111"/>
      <c r="C312" s="130" t="s">
        <v>149</v>
      </c>
      <c r="D312" s="111"/>
      <c r="E312" s="111"/>
      <c r="H312" s="285">
        <v>0</v>
      </c>
      <c r="I312" s="285">
        <v>0</v>
      </c>
    </row>
    <row r="313" spans="1:11" x14ac:dyDescent="0.2">
      <c r="A313" s="111"/>
      <c r="B313" s="111"/>
      <c r="C313" s="111"/>
      <c r="D313" s="111"/>
      <c r="E313" s="111"/>
    </row>
    <row r="314" spans="1:11" x14ac:dyDescent="0.2">
      <c r="A314" s="55"/>
      <c r="B314" s="37"/>
      <c r="C314" s="37"/>
      <c r="D314" s="37"/>
      <c r="E314" s="37"/>
    </row>
    <row r="315" spans="1:11" x14ac:dyDescent="0.2">
      <c r="A315" s="37"/>
      <c r="E315" s="3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dimension ref="A2:AY239"/>
  <sheetViews>
    <sheetView workbookViewId="0">
      <pane xSplit="2" ySplit="3" topLeftCell="P19" activePane="bottomRight" state="frozen"/>
      <selection pane="topRight" activeCell="C1" sqref="C1"/>
      <selection pane="bottomLeft" activeCell="A4" sqref="A4"/>
      <selection pane="bottomRight" activeCell="S26" sqref="S26"/>
    </sheetView>
  </sheetViews>
  <sheetFormatPr baseColWidth="10" defaultColWidth="8.83203125" defaultRowHeight="15" x14ac:dyDescent="0.2"/>
  <cols>
    <col min="2" max="2" width="37.83203125" customWidth="1"/>
    <col min="3" max="3" width="10.33203125" bestFit="1" customWidth="1"/>
    <col min="4" max="4" width="10.1640625" bestFit="1" customWidth="1"/>
    <col min="5" max="5" width="10.33203125" bestFit="1" customWidth="1"/>
    <col min="6" max="6" width="10.1640625" bestFit="1" customWidth="1"/>
    <col min="7" max="18" width="11.5" customWidth="1"/>
    <col min="19" max="19" width="10.33203125" bestFit="1" customWidth="1"/>
    <col min="20" max="20" width="9.1640625" customWidth="1"/>
    <col min="21" max="21" width="12" customWidth="1"/>
    <col min="22" max="22" width="10.5" customWidth="1"/>
    <col min="23" max="23" width="11.5" customWidth="1"/>
    <col min="24" max="24" width="11.83203125" customWidth="1"/>
    <col min="25" max="26" width="12.1640625" customWidth="1"/>
    <col min="27" max="31" width="10.1640625" bestFit="1" customWidth="1"/>
  </cols>
  <sheetData>
    <row r="2" spans="1:31" x14ac:dyDescent="0.2">
      <c r="B2" s="56" t="s">
        <v>150</v>
      </c>
      <c r="C2" s="56"/>
      <c r="D2" s="56"/>
      <c r="E2" s="56"/>
    </row>
    <row r="3" spans="1:31" x14ac:dyDescent="0.2">
      <c r="B3" s="57" t="s">
        <v>151</v>
      </c>
      <c r="C3" s="59">
        <v>40999</v>
      </c>
      <c r="D3" s="58">
        <v>41090</v>
      </c>
      <c r="E3" s="58">
        <v>41182</v>
      </c>
      <c r="F3" s="59">
        <v>41274</v>
      </c>
      <c r="G3" s="59">
        <v>41364</v>
      </c>
      <c r="H3" s="58">
        <v>41455</v>
      </c>
      <c r="I3" s="58">
        <v>41547</v>
      </c>
      <c r="J3" s="58">
        <v>41639</v>
      </c>
      <c r="K3" s="58">
        <v>41729</v>
      </c>
      <c r="L3" s="58">
        <v>41820</v>
      </c>
      <c r="M3" s="59">
        <v>41912</v>
      </c>
      <c r="N3" s="59">
        <v>42004</v>
      </c>
      <c r="O3" s="58">
        <v>42094</v>
      </c>
      <c r="P3" s="58">
        <v>42185</v>
      </c>
      <c r="Q3" s="58">
        <v>42277</v>
      </c>
      <c r="R3" s="58">
        <v>42369</v>
      </c>
      <c r="S3" s="58">
        <v>42460</v>
      </c>
      <c r="T3" s="58"/>
      <c r="U3" s="58">
        <v>40543</v>
      </c>
      <c r="V3" s="58">
        <v>40908</v>
      </c>
      <c r="W3" s="58">
        <v>41274</v>
      </c>
      <c r="X3" s="58">
        <v>41639</v>
      </c>
      <c r="Y3" s="58">
        <v>42004</v>
      </c>
      <c r="Z3" s="58">
        <f>Y3+365</f>
        <v>42369</v>
      </c>
      <c r="AA3" s="60">
        <f>Z3+366</f>
        <v>42735</v>
      </c>
      <c r="AB3" s="60">
        <f>AA3+365</f>
        <v>43100</v>
      </c>
      <c r="AC3" s="60">
        <f t="shared" ref="AC3" si="0">AB3+365</f>
        <v>43465</v>
      </c>
      <c r="AD3" s="60">
        <f t="shared" ref="AD3" si="1">AC3+365</f>
        <v>43830</v>
      </c>
      <c r="AE3" s="60">
        <f>AD3+366</f>
        <v>44196</v>
      </c>
    </row>
    <row r="4" spans="1:31" ht="20" x14ac:dyDescent="0.25">
      <c r="A4" s="55" t="s">
        <v>152</v>
      </c>
      <c r="U4" s="30"/>
      <c r="V4" s="30"/>
    </row>
    <row r="6" spans="1:31" x14ac:dyDescent="0.2">
      <c r="B6" s="31" t="s">
        <v>153</v>
      </c>
      <c r="C6" s="31"/>
      <c r="D6" s="31"/>
      <c r="E6" s="31"/>
      <c r="F6" s="32"/>
      <c r="G6" s="32"/>
      <c r="H6" s="32"/>
      <c r="I6" s="32"/>
      <c r="J6" s="32"/>
      <c r="K6" s="32"/>
      <c r="L6" s="32"/>
      <c r="M6" s="32"/>
      <c r="N6" s="32"/>
      <c r="O6" s="32"/>
      <c r="P6" s="32"/>
      <c r="Q6" s="32"/>
      <c r="R6" s="32"/>
      <c r="U6" s="32"/>
      <c r="V6" s="32"/>
      <c r="W6" s="32"/>
      <c r="X6" s="32"/>
      <c r="Y6" s="32"/>
      <c r="Z6" s="32"/>
    </row>
    <row r="7" spans="1:31" x14ac:dyDescent="0.2">
      <c r="B7" s="32" t="s">
        <v>154</v>
      </c>
      <c r="C7" s="33">
        <v>11249</v>
      </c>
      <c r="D7" s="33">
        <v>10791</v>
      </c>
      <c r="E7" s="33">
        <v>11546</v>
      </c>
      <c r="F7" s="33">
        <v>18147</v>
      </c>
      <c r="G7" s="33">
        <v>13271</v>
      </c>
      <c r="H7" s="33">
        <v>12752</v>
      </c>
      <c r="I7" s="33">
        <v>13808</v>
      </c>
      <c r="J7" s="33">
        <v>21072</v>
      </c>
      <c r="K7" s="33">
        <v>15705</v>
      </c>
      <c r="L7" s="33">
        <v>15251</v>
      </c>
      <c r="M7" s="33">
        <v>16022</v>
      </c>
      <c r="N7" s="33">
        <v>23102</v>
      </c>
      <c r="O7" s="33">
        <v>17084</v>
      </c>
      <c r="P7" s="33">
        <v>17104</v>
      </c>
      <c r="Q7" s="33">
        <v>18463</v>
      </c>
      <c r="R7" s="33">
        <v>26618</v>
      </c>
      <c r="S7" s="33">
        <v>20581</v>
      </c>
      <c r="U7" s="33">
        <v>30792</v>
      </c>
      <c r="V7" s="33">
        <v>42000</v>
      </c>
      <c r="W7" s="33">
        <v>51733</v>
      </c>
      <c r="X7" s="33">
        <v>60903</v>
      </c>
      <c r="Y7" s="33">
        <v>70080</v>
      </c>
      <c r="Z7" s="33">
        <v>79268</v>
      </c>
    </row>
    <row r="8" spans="1:31" x14ac:dyDescent="0.2">
      <c r="B8" s="32" t="s">
        <v>155</v>
      </c>
      <c r="C8" s="33">
        <v>1936</v>
      </c>
      <c r="D8" s="33">
        <v>2043</v>
      </c>
      <c r="E8" s="33">
        <v>2260</v>
      </c>
      <c r="F8" s="33">
        <v>3121</v>
      </c>
      <c r="G8" s="33">
        <v>2799</v>
      </c>
      <c r="H8" s="33">
        <v>2952</v>
      </c>
      <c r="I8" s="33">
        <v>3284</v>
      </c>
      <c r="J8" s="33">
        <v>4515</v>
      </c>
      <c r="K8" s="33">
        <v>4036</v>
      </c>
      <c r="L8" s="33">
        <v>4089</v>
      </c>
      <c r="M8" s="33">
        <v>4557</v>
      </c>
      <c r="N8" s="33">
        <v>6226</v>
      </c>
      <c r="O8" s="33">
        <v>5633</v>
      </c>
      <c r="P8" s="33">
        <v>6081</v>
      </c>
      <c r="Q8" s="33">
        <v>6895</v>
      </c>
      <c r="R8" s="33">
        <v>9129</v>
      </c>
      <c r="S8" s="33">
        <v>8547</v>
      </c>
      <c r="U8" s="33">
        <v>3412</v>
      </c>
      <c r="V8" s="33">
        <v>6077</v>
      </c>
      <c r="W8" s="33">
        <v>9360</v>
      </c>
      <c r="X8" s="33">
        <v>13549</v>
      </c>
      <c r="Y8" s="33">
        <v>18908</v>
      </c>
      <c r="Z8" s="33">
        <v>27738</v>
      </c>
    </row>
    <row r="9" spans="1:31" x14ac:dyDescent="0.2">
      <c r="B9" s="31" t="s">
        <v>156</v>
      </c>
      <c r="C9" s="34">
        <v>13185</v>
      </c>
      <c r="D9" s="34">
        <v>12834</v>
      </c>
      <c r="E9" s="34">
        <v>13806</v>
      </c>
      <c r="F9" s="34">
        <v>21268</v>
      </c>
      <c r="G9" s="34">
        <v>16070</v>
      </c>
      <c r="H9" s="34">
        <v>15704</v>
      </c>
      <c r="I9" s="34">
        <v>17092</v>
      </c>
      <c r="J9" s="34">
        <v>25587</v>
      </c>
      <c r="K9" s="34">
        <v>19741</v>
      </c>
      <c r="L9" s="34">
        <v>19340</v>
      </c>
      <c r="M9" s="34">
        <v>20579</v>
      </c>
      <c r="N9" s="34">
        <v>29328</v>
      </c>
      <c r="O9" s="34">
        <v>22717</v>
      </c>
      <c r="P9" s="34">
        <v>23185</v>
      </c>
      <c r="Q9" s="34">
        <v>25358</v>
      </c>
      <c r="R9" s="34">
        <v>35747</v>
      </c>
      <c r="S9" s="34">
        <v>29128</v>
      </c>
      <c r="U9" s="34">
        <v>34204</v>
      </c>
      <c r="V9" s="34">
        <v>48077</v>
      </c>
      <c r="W9" s="34">
        <v>61093</v>
      </c>
      <c r="X9" s="34">
        <v>74452</v>
      </c>
      <c r="Y9" s="34">
        <v>88988</v>
      </c>
      <c r="Z9" s="34">
        <v>107006</v>
      </c>
    </row>
    <row r="10" spans="1:31" x14ac:dyDescent="0.2">
      <c r="B10" s="32"/>
      <c r="C10" s="32"/>
      <c r="D10" s="32"/>
      <c r="E10" s="32"/>
      <c r="F10" s="32"/>
      <c r="G10" s="32"/>
      <c r="H10" s="32"/>
      <c r="I10" s="32"/>
      <c r="J10" s="32"/>
      <c r="K10" s="32"/>
      <c r="L10" s="32"/>
      <c r="M10" s="32"/>
      <c r="N10" s="32"/>
      <c r="O10" s="32"/>
      <c r="P10" s="32"/>
      <c r="Q10" s="32"/>
      <c r="R10" s="32"/>
      <c r="S10" s="32" t="s">
        <v>300</v>
      </c>
      <c r="U10" s="32"/>
      <c r="V10" s="32"/>
      <c r="W10" s="32"/>
      <c r="X10" s="32"/>
      <c r="Y10" s="32"/>
      <c r="Z10" s="32"/>
    </row>
    <row r="11" spans="1:31" x14ac:dyDescent="0.2">
      <c r="B11" s="31" t="s">
        <v>157</v>
      </c>
      <c r="C11" s="32"/>
      <c r="D11" s="32"/>
      <c r="E11" s="32"/>
      <c r="F11" s="32"/>
      <c r="G11" s="32"/>
      <c r="H11" s="32"/>
      <c r="I11" s="32"/>
      <c r="J11" s="32"/>
      <c r="K11" s="32"/>
      <c r="L11" s="32"/>
      <c r="M11" s="32"/>
      <c r="N11" s="32"/>
      <c r="O11" s="32"/>
      <c r="P11" s="32"/>
      <c r="Q11" s="32"/>
      <c r="R11" s="32"/>
      <c r="S11" s="33"/>
      <c r="U11" s="32"/>
      <c r="V11" s="32"/>
      <c r="W11" s="32"/>
      <c r="X11" s="32"/>
      <c r="Y11" s="32"/>
      <c r="Z11" s="32"/>
    </row>
    <row r="12" spans="1:31" x14ac:dyDescent="0.2">
      <c r="B12" s="32" t="s">
        <v>158</v>
      </c>
      <c r="C12" s="33">
        <v>-10027</v>
      </c>
      <c r="D12" s="33">
        <v>-9488</v>
      </c>
      <c r="E12" s="33">
        <v>-10319</v>
      </c>
      <c r="F12" s="33">
        <v>-16136</v>
      </c>
      <c r="G12" s="33">
        <v>-11801</v>
      </c>
      <c r="H12" s="33">
        <v>-11209</v>
      </c>
      <c r="I12" s="33">
        <v>-12366</v>
      </c>
      <c r="J12" s="33">
        <v>-18806</v>
      </c>
      <c r="K12" s="33">
        <v>-14055</v>
      </c>
      <c r="L12" s="33">
        <v>-13399</v>
      </c>
      <c r="M12" s="33">
        <v>-14627</v>
      </c>
      <c r="N12" s="33">
        <v>-20671</v>
      </c>
      <c r="O12" s="33">
        <v>-15395</v>
      </c>
      <c r="P12" s="33">
        <v>-15160</v>
      </c>
      <c r="Q12" s="33">
        <v>-16755</v>
      </c>
      <c r="R12" s="33">
        <v>-24341</v>
      </c>
      <c r="S12" s="33">
        <v>-18866</v>
      </c>
      <c r="U12" s="33">
        <v>-26561</v>
      </c>
      <c r="V12" s="33">
        <v>-37288</v>
      </c>
      <c r="W12" s="33">
        <v>-45971</v>
      </c>
      <c r="X12" s="33">
        <v>-54181</v>
      </c>
      <c r="Y12" s="33">
        <v>-62752</v>
      </c>
      <c r="Z12" s="33">
        <v>-71651</v>
      </c>
    </row>
    <row r="13" spans="1:31" x14ac:dyDescent="0.2">
      <c r="B13" s="32" t="s">
        <v>159</v>
      </c>
      <c r="C13" s="33">
        <v>-480</v>
      </c>
      <c r="D13" s="33">
        <v>-537</v>
      </c>
      <c r="E13" s="33">
        <v>-540</v>
      </c>
      <c r="F13" s="33">
        <v>-851</v>
      </c>
      <c r="G13" s="33">
        <v>-632</v>
      </c>
      <c r="H13" s="33">
        <v>-675</v>
      </c>
      <c r="I13" s="33">
        <v>-694</v>
      </c>
      <c r="J13" s="33">
        <v>-1133</v>
      </c>
      <c r="K13" s="33">
        <v>-870</v>
      </c>
      <c r="L13" s="33">
        <v>-943</v>
      </c>
      <c r="M13" s="33">
        <v>-993</v>
      </c>
      <c r="N13" s="33">
        <v>-1526</v>
      </c>
      <c r="O13" s="33">
        <v>-1083</v>
      </c>
      <c r="P13" s="33">
        <v>-1150</v>
      </c>
      <c r="Q13" s="33">
        <v>-1264</v>
      </c>
      <c r="R13" s="33">
        <v>-1755</v>
      </c>
      <c r="S13" s="33">
        <v>-1436</v>
      </c>
      <c r="U13" s="33">
        <v>-1029</v>
      </c>
      <c r="V13" s="33">
        <v>-1630</v>
      </c>
      <c r="W13" s="33">
        <v>-2408</v>
      </c>
      <c r="X13" s="33">
        <v>-3133</v>
      </c>
      <c r="Y13" s="33">
        <v>-4332</v>
      </c>
      <c r="Z13" s="33">
        <v>-5254</v>
      </c>
    </row>
    <row r="14" spans="1:31" x14ac:dyDescent="0.2">
      <c r="B14" s="32" t="s">
        <v>160</v>
      </c>
      <c r="C14" s="33">
        <v>-200</v>
      </c>
      <c r="D14" s="33">
        <v>-232</v>
      </c>
      <c r="E14" s="33">
        <v>-230</v>
      </c>
      <c r="F14" s="33">
        <v>-235</v>
      </c>
      <c r="G14" s="33">
        <v>-246</v>
      </c>
      <c r="H14" s="33">
        <v>-286</v>
      </c>
      <c r="I14" s="33">
        <v>-278</v>
      </c>
      <c r="J14" s="33">
        <v>-318</v>
      </c>
      <c r="K14" s="33">
        <v>-327</v>
      </c>
      <c r="L14" s="33">
        <v>-377</v>
      </c>
      <c r="M14" s="33">
        <v>-406</v>
      </c>
      <c r="N14" s="33">
        <v>-442</v>
      </c>
      <c r="O14" s="33">
        <v>-427</v>
      </c>
      <c r="P14" s="33">
        <v>-467</v>
      </c>
      <c r="Q14" s="33">
        <v>-463</v>
      </c>
      <c r="R14" s="33">
        <v>-390</v>
      </c>
      <c r="S14" s="33">
        <v>-497</v>
      </c>
      <c r="U14" s="33">
        <v>-470</v>
      </c>
      <c r="V14" s="33">
        <v>-658</v>
      </c>
      <c r="W14" s="33">
        <v>-896</v>
      </c>
      <c r="X14" s="33">
        <v>-1129</v>
      </c>
      <c r="Y14" s="33">
        <v>-1552</v>
      </c>
      <c r="Z14" s="33">
        <v>-1747</v>
      </c>
    </row>
    <row r="15" spans="1:31" x14ac:dyDescent="0.2">
      <c r="B15" s="32" t="s">
        <v>161</v>
      </c>
      <c r="C15" s="33">
        <v>-1295</v>
      </c>
      <c r="D15" s="33">
        <v>-1356</v>
      </c>
      <c r="E15" s="33">
        <v>-1510</v>
      </c>
      <c r="F15" s="33">
        <v>-2258</v>
      </c>
      <c r="G15" s="33">
        <v>-1796</v>
      </c>
      <c r="H15" s="33">
        <v>-1837</v>
      </c>
      <c r="I15" s="33">
        <v>-2034</v>
      </c>
      <c r="J15" s="33">
        <v>-2918</v>
      </c>
      <c r="K15" s="33">
        <v>-2317</v>
      </c>
      <c r="L15" s="33">
        <v>-2382</v>
      </c>
      <c r="M15" s="33">
        <v>-2643</v>
      </c>
      <c r="N15" s="33">
        <v>-3424</v>
      </c>
      <c r="O15" s="33">
        <v>-2759</v>
      </c>
      <c r="P15" s="33">
        <v>-2876</v>
      </c>
      <c r="Q15" s="33">
        <v>-3230</v>
      </c>
      <c r="R15" s="33">
        <v>-4546</v>
      </c>
      <c r="S15" s="33">
        <v>-3687</v>
      </c>
      <c r="U15" s="33">
        <v>-2898</v>
      </c>
      <c r="V15" s="33">
        <v>-4576</v>
      </c>
      <c r="W15" s="33">
        <v>-6419</v>
      </c>
      <c r="X15" s="33">
        <v>-8585</v>
      </c>
      <c r="Y15" s="33">
        <v>-10766</v>
      </c>
      <c r="Z15" s="33">
        <v>-13410</v>
      </c>
    </row>
    <row r="16" spans="1:31" x14ac:dyDescent="0.2">
      <c r="B16" s="32" t="s">
        <v>162</v>
      </c>
      <c r="C16" s="33">
        <v>-945</v>
      </c>
      <c r="D16" s="33">
        <v>-1082</v>
      </c>
      <c r="E16" s="33">
        <v>-1192</v>
      </c>
      <c r="F16" s="33">
        <v>-1345</v>
      </c>
      <c r="G16" s="33">
        <v>-1383</v>
      </c>
      <c r="H16" s="33">
        <v>-1586</v>
      </c>
      <c r="I16" s="33">
        <v>-1734</v>
      </c>
      <c r="J16" s="33">
        <v>-1862</v>
      </c>
      <c r="K16" s="33">
        <v>-1991</v>
      </c>
      <c r="L16" s="33">
        <v>-2226</v>
      </c>
      <c r="M16" s="33">
        <v>-2423</v>
      </c>
      <c r="N16" s="33">
        <v>-2635</v>
      </c>
      <c r="O16" s="33">
        <v>-2754</v>
      </c>
      <c r="P16" s="33">
        <v>-3020</v>
      </c>
      <c r="Q16" s="33">
        <v>-3197</v>
      </c>
      <c r="R16" s="33">
        <v>-3571</v>
      </c>
      <c r="S16" s="33">
        <v>-3526</v>
      </c>
      <c r="U16" s="33">
        <v>-1734</v>
      </c>
      <c r="V16" s="33">
        <v>-2909</v>
      </c>
      <c r="W16" s="33">
        <v>-4564</v>
      </c>
      <c r="X16" s="33">
        <v>-6565</v>
      </c>
      <c r="Y16" s="33">
        <v>-9275</v>
      </c>
      <c r="Z16" s="33">
        <v>-12540</v>
      </c>
    </row>
    <row r="17" spans="2:26" x14ac:dyDescent="0.2">
      <c r="B17" s="32" t="s">
        <v>163</v>
      </c>
      <c r="C17" s="33">
        <v>-46</v>
      </c>
      <c r="D17" s="33">
        <v>-32</v>
      </c>
      <c r="E17" s="33">
        <v>-43</v>
      </c>
      <c r="F17" s="33">
        <v>-38</v>
      </c>
      <c r="G17" s="33">
        <v>-31</v>
      </c>
      <c r="H17" s="33">
        <v>-32</v>
      </c>
      <c r="I17" s="33">
        <v>-11</v>
      </c>
      <c r="J17" s="33">
        <v>-40</v>
      </c>
      <c r="K17" s="33">
        <v>-35</v>
      </c>
      <c r="L17" s="33">
        <v>-28</v>
      </c>
      <c r="M17" s="33">
        <v>-31</v>
      </c>
      <c r="N17" s="33">
        <v>-39</v>
      </c>
      <c r="O17" s="33">
        <v>-44</v>
      </c>
      <c r="P17" s="33">
        <v>-48</v>
      </c>
      <c r="Q17" s="33">
        <v>-43</v>
      </c>
      <c r="R17" s="33">
        <v>-36</v>
      </c>
      <c r="S17" s="33">
        <v>-45</v>
      </c>
      <c r="U17" s="33">
        <v>-106</v>
      </c>
      <c r="V17" s="33">
        <v>-154</v>
      </c>
      <c r="W17" s="33">
        <v>-159</v>
      </c>
      <c r="X17" s="33">
        <v>-114</v>
      </c>
      <c r="Y17" s="33">
        <v>-133</v>
      </c>
      <c r="Z17" s="33">
        <v>-171</v>
      </c>
    </row>
    <row r="18" spans="2:26" x14ac:dyDescent="0.2">
      <c r="B18" s="32" t="s">
        <v>164</v>
      </c>
      <c r="C18" s="33">
        <v>-21</v>
      </c>
      <c r="D18" s="33">
        <v>-21</v>
      </c>
      <c r="E18" s="33">
        <v>-22</v>
      </c>
      <c r="F18" s="33">
        <v>-28</v>
      </c>
      <c r="G18" s="33">
        <v>-33</v>
      </c>
      <c r="H18" s="33">
        <v>-33</v>
      </c>
      <c r="I18" s="33">
        <v>-36</v>
      </c>
      <c r="J18" s="33">
        <v>-39</v>
      </c>
      <c r="K18" s="33">
        <v>-42</v>
      </c>
      <c r="L18" s="33">
        <v>-45</v>
      </c>
      <c r="M18" s="33">
        <v>-49</v>
      </c>
      <c r="N18" s="33">
        <v>-74</v>
      </c>
      <c r="O18" s="33">
        <v>-115</v>
      </c>
      <c r="P18" s="33">
        <v>-114</v>
      </c>
      <c r="Q18" s="33">
        <v>-116</v>
      </c>
      <c r="R18" s="33">
        <v>-115</v>
      </c>
      <c r="S18" s="33">
        <v>-117</v>
      </c>
      <c r="U18" s="33">
        <v>-39</v>
      </c>
      <c r="V18" s="33">
        <v>-65</v>
      </c>
      <c r="W18" s="33">
        <v>-92</v>
      </c>
      <c r="X18" s="33">
        <v>-141</v>
      </c>
      <c r="Y18" s="33">
        <v>-210</v>
      </c>
      <c r="Z18" s="33">
        <v>-459</v>
      </c>
    </row>
    <row r="19" spans="2:26" x14ac:dyDescent="0.2">
      <c r="B19" s="32" t="s">
        <v>165</v>
      </c>
      <c r="C19" s="33">
        <v>12</v>
      </c>
      <c r="D19" s="33">
        <v>10</v>
      </c>
      <c r="E19" s="33">
        <v>10</v>
      </c>
      <c r="F19" s="33">
        <v>9</v>
      </c>
      <c r="G19" s="33">
        <v>10</v>
      </c>
      <c r="H19" s="33">
        <v>9</v>
      </c>
      <c r="I19" s="33">
        <v>9</v>
      </c>
      <c r="J19" s="33">
        <v>10</v>
      </c>
      <c r="K19" s="33">
        <v>11</v>
      </c>
      <c r="L19" s="33">
        <v>11</v>
      </c>
      <c r="M19" s="33">
        <v>9</v>
      </c>
      <c r="N19" s="33">
        <v>8</v>
      </c>
      <c r="O19" s="33">
        <v>11</v>
      </c>
      <c r="P19" s="33">
        <v>12</v>
      </c>
      <c r="Q19" s="33">
        <v>13</v>
      </c>
      <c r="R19" s="33">
        <v>13</v>
      </c>
      <c r="S19" s="33">
        <v>21</v>
      </c>
      <c r="U19" s="33">
        <v>51</v>
      </c>
      <c r="V19" s="33">
        <v>61</v>
      </c>
      <c r="W19" s="33">
        <v>40</v>
      </c>
      <c r="X19" s="33">
        <v>38</v>
      </c>
      <c r="Y19" s="33">
        <v>39</v>
      </c>
      <c r="Z19" s="33">
        <v>50</v>
      </c>
    </row>
    <row r="20" spans="2:26" x14ac:dyDescent="0.2">
      <c r="B20" s="32" t="s">
        <v>166</v>
      </c>
      <c r="C20" s="33">
        <v>-99</v>
      </c>
      <c r="D20" s="33">
        <v>50</v>
      </c>
      <c r="E20" s="33">
        <v>18</v>
      </c>
      <c r="F20" s="33">
        <v>-49</v>
      </c>
      <c r="G20" s="33">
        <v>-77</v>
      </c>
      <c r="H20" s="33">
        <v>-38</v>
      </c>
      <c r="I20" s="33">
        <v>9</v>
      </c>
      <c r="J20" s="33">
        <v>-30</v>
      </c>
      <c r="K20" s="33">
        <v>5</v>
      </c>
      <c r="L20" s="33">
        <v>22</v>
      </c>
      <c r="M20" s="33">
        <v>-50</v>
      </c>
      <c r="N20" s="33">
        <v>-96</v>
      </c>
      <c r="O20" s="33">
        <v>-130</v>
      </c>
      <c r="P20" s="33">
        <v>0</v>
      </c>
      <c r="Q20" s="33">
        <v>-56</v>
      </c>
      <c r="R20" s="33">
        <v>-68</v>
      </c>
      <c r="S20" s="33">
        <v>81</v>
      </c>
      <c r="U20" s="33">
        <v>79</v>
      </c>
      <c r="V20" s="33">
        <v>76</v>
      </c>
      <c r="W20" s="33">
        <v>-80</v>
      </c>
      <c r="X20" s="33">
        <v>-136</v>
      </c>
      <c r="Y20" s="33">
        <v>-118</v>
      </c>
      <c r="Z20" s="33">
        <v>-256</v>
      </c>
    </row>
    <row r="21" spans="2:26" x14ac:dyDescent="0.2">
      <c r="B21" s="31" t="s">
        <v>167</v>
      </c>
      <c r="C21" s="34">
        <v>84</v>
      </c>
      <c r="D21" s="34">
        <v>146</v>
      </c>
      <c r="E21" s="34">
        <v>-22</v>
      </c>
      <c r="F21" s="34">
        <v>337</v>
      </c>
      <c r="G21" s="34">
        <v>81</v>
      </c>
      <c r="H21" s="34">
        <v>17</v>
      </c>
      <c r="I21" s="34">
        <v>-43</v>
      </c>
      <c r="J21" s="34">
        <v>451</v>
      </c>
      <c r="K21" s="34">
        <v>120</v>
      </c>
      <c r="L21" s="34">
        <v>-27</v>
      </c>
      <c r="M21" s="34">
        <v>-634</v>
      </c>
      <c r="N21" s="34">
        <v>429</v>
      </c>
      <c r="O21" s="34">
        <v>21</v>
      </c>
      <c r="P21" s="34">
        <v>362</v>
      </c>
      <c r="Q21" s="34">
        <v>247</v>
      </c>
      <c r="R21" s="34">
        <v>938</v>
      </c>
      <c r="S21" s="34">
        <v>1056</v>
      </c>
      <c r="U21" s="34">
        <v>1497</v>
      </c>
      <c r="V21" s="34">
        <v>934</v>
      </c>
      <c r="W21" s="34">
        <v>544</v>
      </c>
      <c r="X21" s="34">
        <v>506</v>
      </c>
      <c r="Y21" s="34">
        <v>-111</v>
      </c>
      <c r="Z21" s="34">
        <v>1568</v>
      </c>
    </row>
    <row r="22" spans="2:26" x14ac:dyDescent="0.2">
      <c r="B22" s="32"/>
      <c r="C22" s="41"/>
      <c r="D22" s="41"/>
      <c r="E22" s="41"/>
      <c r="F22" s="41">
        <f>F9+SUM(F12:F17)+F20</f>
        <v>356</v>
      </c>
      <c r="G22" s="32"/>
      <c r="H22" s="41">
        <f>H9+SUM(H12:H17)+H20</f>
        <v>41</v>
      </c>
      <c r="I22" s="32"/>
      <c r="J22" s="32"/>
      <c r="K22" s="32"/>
      <c r="L22" s="32"/>
      <c r="M22" s="32"/>
      <c r="N22" s="32"/>
      <c r="O22" s="32"/>
      <c r="P22" s="32"/>
      <c r="Q22" s="32"/>
      <c r="R22" s="32"/>
      <c r="S22" s="33"/>
      <c r="U22" s="32"/>
      <c r="V22" s="32"/>
      <c r="W22" s="32"/>
      <c r="X22" s="32"/>
      <c r="Y22" s="32"/>
      <c r="Z22" s="32"/>
    </row>
    <row r="23" spans="2:26" x14ac:dyDescent="0.2">
      <c r="B23" s="31" t="s">
        <v>168</v>
      </c>
      <c r="C23" s="32"/>
      <c r="D23" s="32"/>
      <c r="E23" s="32"/>
      <c r="F23" s="32"/>
      <c r="G23" s="32"/>
      <c r="H23" s="32"/>
      <c r="I23" s="32"/>
      <c r="J23" s="32"/>
      <c r="K23" s="32"/>
      <c r="L23" s="32"/>
      <c r="M23" s="32"/>
      <c r="N23" s="32"/>
      <c r="O23" s="32"/>
      <c r="P23" s="32"/>
      <c r="Q23" s="32"/>
      <c r="R23" s="32"/>
      <c r="S23" s="34"/>
      <c r="U23" s="32"/>
      <c r="V23" s="32"/>
      <c r="W23" s="32"/>
      <c r="X23" s="32"/>
      <c r="Y23" s="32"/>
      <c r="Z23" s="32"/>
    </row>
    <row r="24" spans="2:26" x14ac:dyDescent="0.2">
      <c r="B24" s="32" t="s">
        <v>169</v>
      </c>
      <c r="C24" s="33">
        <v>-43</v>
      </c>
      <c r="D24" s="33">
        <v>-109</v>
      </c>
      <c r="E24" s="33">
        <v>-83</v>
      </c>
      <c r="F24" s="33">
        <v>-194</v>
      </c>
      <c r="G24" s="33">
        <v>18</v>
      </c>
      <c r="H24" s="33">
        <v>-13</v>
      </c>
      <c r="I24" s="33">
        <v>12</v>
      </c>
      <c r="J24" s="33">
        <v>-179</v>
      </c>
      <c r="K24" s="33">
        <v>-73</v>
      </c>
      <c r="L24" s="33">
        <v>-94</v>
      </c>
      <c r="M24" s="33">
        <v>205</v>
      </c>
      <c r="N24" s="33">
        <v>-205</v>
      </c>
      <c r="O24" s="33">
        <v>-71</v>
      </c>
      <c r="P24" s="33">
        <v>-266</v>
      </c>
      <c r="Q24" s="33">
        <v>-161</v>
      </c>
      <c r="R24" s="33">
        <v>-453</v>
      </c>
      <c r="S24" s="33">
        <v>-475</v>
      </c>
      <c r="U24" s="33">
        <v>-352</v>
      </c>
      <c r="V24" s="33">
        <v>-291</v>
      </c>
      <c r="W24" s="33">
        <v>-428</v>
      </c>
      <c r="X24" s="33">
        <v>-161</v>
      </c>
      <c r="Y24" s="33">
        <v>-167</v>
      </c>
      <c r="Z24" s="33">
        <v>-950</v>
      </c>
    </row>
    <row r="25" spans="2:26" x14ac:dyDescent="0.2">
      <c r="B25" s="32" t="s">
        <v>170</v>
      </c>
      <c r="C25" s="33">
        <v>89</v>
      </c>
      <c r="D25" s="33">
        <v>-30</v>
      </c>
      <c r="E25" s="33">
        <v>-169</v>
      </c>
      <c r="F25" s="33">
        <v>-46</v>
      </c>
      <c r="G25" s="33">
        <v>-17</v>
      </c>
      <c r="H25" s="33">
        <v>-11</v>
      </c>
      <c r="I25" s="33">
        <v>-10</v>
      </c>
      <c r="J25" s="33">
        <v>-33</v>
      </c>
      <c r="K25" s="33">
        <v>61</v>
      </c>
      <c r="L25" s="33">
        <v>-5</v>
      </c>
      <c r="M25" s="33">
        <v>-8</v>
      </c>
      <c r="N25" s="33">
        <v>-10</v>
      </c>
      <c r="O25" s="33">
        <v>-7</v>
      </c>
      <c r="P25" s="33">
        <v>-4</v>
      </c>
      <c r="Q25" s="33">
        <v>-7</v>
      </c>
      <c r="R25" s="33">
        <v>-3</v>
      </c>
      <c r="S25" s="33">
        <v>-68</v>
      </c>
      <c r="U25" s="33">
        <v>7</v>
      </c>
      <c r="V25" s="33">
        <v>-12</v>
      </c>
      <c r="W25" s="33">
        <v>-155</v>
      </c>
      <c r="X25" s="33">
        <v>-71</v>
      </c>
      <c r="Y25" s="33">
        <v>37</v>
      </c>
      <c r="Z25" s="33">
        <v>-22</v>
      </c>
    </row>
    <row r="26" spans="2:26" x14ac:dyDescent="0.2">
      <c r="B26" s="31" t="s">
        <v>171</v>
      </c>
      <c r="C26" s="34">
        <v>130</v>
      </c>
      <c r="D26" s="34">
        <v>7</v>
      </c>
      <c r="E26" s="34">
        <v>-274</v>
      </c>
      <c r="F26" s="34">
        <v>97</v>
      </c>
      <c r="G26" s="34">
        <v>82</v>
      </c>
      <c r="H26" s="34">
        <v>-7</v>
      </c>
      <c r="I26" s="34">
        <v>-41</v>
      </c>
      <c r="J26" s="34">
        <v>239</v>
      </c>
      <c r="K26" s="34">
        <v>108</v>
      </c>
      <c r="L26" s="34">
        <v>-126</v>
      </c>
      <c r="M26" s="34">
        <v>-437</v>
      </c>
      <c r="N26" s="34">
        <v>214</v>
      </c>
      <c r="O26" s="34">
        <v>-57</v>
      </c>
      <c r="P26" s="34">
        <v>92</v>
      </c>
      <c r="Q26" s="34">
        <v>79</v>
      </c>
      <c r="R26" s="34">
        <v>482</v>
      </c>
      <c r="S26" s="34">
        <f>S21+S24+S25</f>
        <v>513</v>
      </c>
      <c r="U26" s="34">
        <v>1152</v>
      </c>
      <c r="V26" s="34">
        <v>631</v>
      </c>
      <c r="W26" s="34">
        <v>-39</v>
      </c>
      <c r="X26" s="34">
        <v>274</v>
      </c>
      <c r="Y26" s="34">
        <v>-241</v>
      </c>
      <c r="Z26" s="34">
        <v>596</v>
      </c>
    </row>
    <row r="27" spans="2:26" x14ac:dyDescent="0.2">
      <c r="B27" s="32"/>
      <c r="C27" s="32"/>
      <c r="D27" s="32"/>
      <c r="E27" s="32"/>
      <c r="F27" s="32"/>
      <c r="G27" s="32"/>
      <c r="H27" s="32"/>
      <c r="I27" s="32"/>
      <c r="J27" s="32"/>
      <c r="K27" s="32"/>
      <c r="L27" s="32"/>
      <c r="M27" s="32"/>
      <c r="N27" s="32"/>
      <c r="O27" s="32"/>
      <c r="P27" s="32"/>
      <c r="Q27" s="32"/>
      <c r="R27" s="32"/>
      <c r="U27" s="32"/>
      <c r="V27" s="32"/>
      <c r="W27" s="32"/>
      <c r="X27" s="32"/>
      <c r="Y27" s="32"/>
      <c r="Z27" s="32"/>
    </row>
    <row r="28" spans="2:26" x14ac:dyDescent="0.2">
      <c r="B28" s="31" t="s">
        <v>172</v>
      </c>
      <c r="C28" s="32"/>
      <c r="D28" s="32"/>
      <c r="E28" s="32"/>
      <c r="F28" s="32"/>
      <c r="G28" s="32"/>
      <c r="H28" s="32"/>
      <c r="I28" s="32"/>
      <c r="J28" s="32"/>
      <c r="K28" s="32"/>
      <c r="L28" s="32"/>
      <c r="M28" s="32"/>
      <c r="N28" s="32"/>
      <c r="O28" s="32"/>
      <c r="P28" s="32"/>
      <c r="Q28" s="32"/>
      <c r="R28" s="32"/>
      <c r="U28" s="32"/>
      <c r="V28" s="32"/>
      <c r="W28" s="32"/>
      <c r="X28" s="32"/>
      <c r="Y28" s="32"/>
      <c r="Z28" s="32"/>
    </row>
    <row r="29" spans="2:26" x14ac:dyDescent="0.2">
      <c r="B29" s="32" t="s">
        <v>173</v>
      </c>
      <c r="C29" s="35">
        <v>192</v>
      </c>
      <c r="D29" s="35">
        <v>107</v>
      </c>
      <c r="E29" s="35">
        <v>-28</v>
      </c>
      <c r="F29" s="35">
        <v>405</v>
      </c>
      <c r="G29" s="35">
        <v>181</v>
      </c>
      <c r="H29" s="35">
        <v>79</v>
      </c>
      <c r="I29" s="35">
        <v>-25</v>
      </c>
      <c r="J29" s="35">
        <v>510</v>
      </c>
      <c r="K29" s="35">
        <v>146</v>
      </c>
      <c r="L29" s="35">
        <v>-15</v>
      </c>
      <c r="M29" s="35">
        <v>-544</v>
      </c>
      <c r="N29" s="35">
        <v>591</v>
      </c>
      <c r="O29" s="35">
        <v>255</v>
      </c>
      <c r="P29" s="35">
        <v>464</v>
      </c>
      <c r="Q29" s="35">
        <v>406</v>
      </c>
      <c r="R29" s="35">
        <v>1108</v>
      </c>
      <c r="S29" s="35">
        <v>1071</v>
      </c>
      <c r="U29" s="35">
        <v>1406</v>
      </c>
      <c r="V29" s="35">
        <v>862</v>
      </c>
      <c r="W29" s="35">
        <v>676</v>
      </c>
      <c r="X29" s="35">
        <v>745</v>
      </c>
      <c r="Y29" s="35">
        <v>178</v>
      </c>
      <c r="Z29" s="35">
        <v>2233</v>
      </c>
    </row>
    <row r="30" spans="2:26" x14ac:dyDescent="0.2">
      <c r="B30" s="32" t="s">
        <v>174</v>
      </c>
      <c r="C30" s="35">
        <v>0.28999999999999998</v>
      </c>
      <c r="D30" s="35">
        <v>0.02</v>
      </c>
      <c r="E30" s="35">
        <v>-0.6</v>
      </c>
      <c r="F30" s="35">
        <v>0.21</v>
      </c>
      <c r="G30" s="35">
        <v>0.18</v>
      </c>
      <c r="H30" s="35">
        <v>-0.02</v>
      </c>
      <c r="I30" s="35">
        <v>-0.09</v>
      </c>
      <c r="J30" s="35">
        <v>0.52</v>
      </c>
      <c r="K30" s="35">
        <v>0.23</v>
      </c>
      <c r="L30" s="35">
        <v>-0.27</v>
      </c>
      <c r="M30" s="35">
        <v>-0.95</v>
      </c>
      <c r="N30" s="35">
        <v>0.46</v>
      </c>
      <c r="O30" s="35">
        <v>-0.12</v>
      </c>
      <c r="P30" s="35">
        <v>0.2</v>
      </c>
      <c r="Q30" s="35">
        <v>0.17</v>
      </c>
      <c r="R30" s="35">
        <v>1.03</v>
      </c>
      <c r="S30" s="35">
        <v>1.0900000000000001</v>
      </c>
      <c r="U30" s="35">
        <v>2.58</v>
      </c>
      <c r="V30" s="35">
        <v>1.39</v>
      </c>
      <c r="W30" s="35">
        <v>-0.09</v>
      </c>
      <c r="X30" s="35">
        <v>0.6</v>
      </c>
      <c r="Y30" s="35">
        <v>-0.52</v>
      </c>
      <c r="Z30" s="35">
        <v>1.28</v>
      </c>
    </row>
    <row r="31" spans="2:26" x14ac:dyDescent="0.2">
      <c r="B31" s="32" t="s">
        <v>175</v>
      </c>
      <c r="C31" s="35">
        <v>0.28000000000000003</v>
      </c>
      <c r="D31" s="35">
        <v>0.01</v>
      </c>
      <c r="E31" s="35">
        <v>-0.6</v>
      </c>
      <c r="F31" s="35">
        <v>0.21</v>
      </c>
      <c r="G31" s="35">
        <v>0.18</v>
      </c>
      <c r="H31" s="35">
        <v>-0.02</v>
      </c>
      <c r="I31" s="35">
        <v>-0.09</v>
      </c>
      <c r="J31" s="35">
        <v>0.51</v>
      </c>
      <c r="K31" s="35">
        <v>0.23</v>
      </c>
      <c r="L31" s="35">
        <v>-0.27</v>
      </c>
      <c r="M31" s="35">
        <v>-0.95</v>
      </c>
      <c r="N31" s="35">
        <v>0.45</v>
      </c>
      <c r="O31" s="35">
        <v>-0.12</v>
      </c>
      <c r="P31" s="35">
        <v>0.19</v>
      </c>
      <c r="Q31" s="35">
        <v>0.17</v>
      </c>
      <c r="R31" s="35">
        <v>1</v>
      </c>
      <c r="S31" s="35">
        <v>1.07</v>
      </c>
      <c r="U31" s="35">
        <v>2.5299999999999998</v>
      </c>
      <c r="V31" s="35">
        <v>1.37</v>
      </c>
      <c r="W31" s="35">
        <v>-0.09</v>
      </c>
      <c r="X31" s="35">
        <v>0.59</v>
      </c>
      <c r="Y31" s="35">
        <v>-0.52</v>
      </c>
      <c r="Z31" s="35">
        <v>1.25</v>
      </c>
    </row>
    <row r="32" spans="2:26" x14ac:dyDescent="0.2">
      <c r="B32" s="31" t="s">
        <v>176</v>
      </c>
    </row>
    <row r="33" spans="1:32" x14ac:dyDescent="0.2">
      <c r="B33" s="32" t="s">
        <v>177</v>
      </c>
      <c r="C33" s="35">
        <v>453</v>
      </c>
      <c r="D33" s="35">
        <v>451</v>
      </c>
      <c r="E33" s="35">
        <v>452</v>
      </c>
      <c r="F33" s="35">
        <v>454</v>
      </c>
      <c r="G33" s="35">
        <v>455</v>
      </c>
      <c r="H33" s="35">
        <v>456</v>
      </c>
      <c r="I33" s="35">
        <v>457</v>
      </c>
      <c r="J33" s="35">
        <v>458</v>
      </c>
      <c r="K33" s="35">
        <v>460</v>
      </c>
      <c r="L33" s="35">
        <v>461</v>
      </c>
      <c r="M33" s="35">
        <v>463</v>
      </c>
      <c r="N33" s="35">
        <v>464</v>
      </c>
      <c r="O33" s="35">
        <v>465</v>
      </c>
      <c r="P33" s="35">
        <v>467</v>
      </c>
      <c r="Q33" s="35">
        <v>468</v>
      </c>
      <c r="R33" s="35">
        <v>470</v>
      </c>
      <c r="S33" s="35">
        <v>471</v>
      </c>
      <c r="U33" s="35">
        <v>447</v>
      </c>
      <c r="V33" s="35">
        <v>453</v>
      </c>
      <c r="W33" s="35">
        <v>453</v>
      </c>
      <c r="X33" s="35">
        <v>457</v>
      </c>
      <c r="Y33" s="35">
        <v>462</v>
      </c>
      <c r="Z33" s="35">
        <v>467</v>
      </c>
    </row>
    <row r="34" spans="1:32" x14ac:dyDescent="0.2">
      <c r="B34" s="32" t="s">
        <v>178</v>
      </c>
      <c r="C34" s="35">
        <v>460</v>
      </c>
      <c r="D34" s="35">
        <v>458</v>
      </c>
      <c r="E34" s="35">
        <v>460</v>
      </c>
      <c r="F34" s="35">
        <v>461</v>
      </c>
      <c r="G34" s="35">
        <v>463</v>
      </c>
      <c r="H34" s="35">
        <v>456</v>
      </c>
      <c r="I34" s="35">
        <v>457</v>
      </c>
      <c r="J34" s="35">
        <v>467</v>
      </c>
      <c r="K34" s="35">
        <v>468</v>
      </c>
      <c r="L34" s="35">
        <v>461</v>
      </c>
      <c r="M34" s="35">
        <v>463</v>
      </c>
      <c r="N34" s="35">
        <v>472</v>
      </c>
      <c r="O34" s="35">
        <v>465</v>
      </c>
      <c r="P34" s="35">
        <v>476</v>
      </c>
      <c r="Q34" s="35">
        <v>478</v>
      </c>
      <c r="R34" s="35">
        <v>481</v>
      </c>
      <c r="S34" s="35">
        <v>481</v>
      </c>
      <c r="U34" s="35">
        <v>456</v>
      </c>
      <c r="V34" s="35">
        <v>461</v>
      </c>
      <c r="W34" s="35">
        <v>453</v>
      </c>
      <c r="X34" s="35">
        <v>465</v>
      </c>
      <c r="Y34" s="35">
        <v>462</v>
      </c>
      <c r="Z34" s="35">
        <v>477</v>
      </c>
    </row>
    <row r="36" spans="1:32" x14ac:dyDescent="0.2">
      <c r="A36" s="55" t="s">
        <v>179</v>
      </c>
    </row>
    <row r="38" spans="1:32" s="17" customFormat="1" x14ac:dyDescent="0.2">
      <c r="B38" s="52" t="s">
        <v>180</v>
      </c>
      <c r="C38" s="53">
        <v>40999</v>
      </c>
      <c r="D38" s="53">
        <v>41090</v>
      </c>
      <c r="E38" s="53">
        <v>41182</v>
      </c>
      <c r="F38" s="53">
        <v>41274</v>
      </c>
      <c r="G38" s="53">
        <v>41364</v>
      </c>
      <c r="H38" s="53">
        <v>41455</v>
      </c>
      <c r="I38" s="53">
        <v>41547</v>
      </c>
      <c r="J38" s="53">
        <v>41639</v>
      </c>
      <c r="K38" s="53">
        <v>41729</v>
      </c>
      <c r="L38" s="53">
        <v>41820</v>
      </c>
      <c r="M38" s="53">
        <v>41912</v>
      </c>
      <c r="N38" s="53">
        <v>42004</v>
      </c>
      <c r="O38" s="53">
        <v>42094</v>
      </c>
      <c r="P38" s="53">
        <v>42185</v>
      </c>
      <c r="Q38" s="53">
        <v>42277</v>
      </c>
      <c r="R38" s="53">
        <v>42369</v>
      </c>
      <c r="S38" s="53">
        <v>42460</v>
      </c>
      <c r="U38" s="53">
        <v>40543</v>
      </c>
      <c r="V38" s="53">
        <v>40908</v>
      </c>
      <c r="W38" s="53">
        <v>41274</v>
      </c>
      <c r="X38" s="53">
        <v>41639</v>
      </c>
      <c r="Y38" s="53">
        <v>42004</v>
      </c>
      <c r="Z38" s="53">
        <v>42369</v>
      </c>
    </row>
    <row r="39" spans="1:32" x14ac:dyDescent="0.2">
      <c r="B39" s="31" t="s">
        <v>181</v>
      </c>
      <c r="C39" s="31"/>
      <c r="D39" s="31">
        <f>C40-D40</f>
        <v>-47</v>
      </c>
      <c r="E39" s="31">
        <f>D40-E40</f>
        <v>-645</v>
      </c>
      <c r="F39" s="32"/>
      <c r="G39" s="32"/>
      <c r="H39" s="32"/>
      <c r="I39" s="32"/>
      <c r="J39" s="32"/>
      <c r="K39" s="32"/>
      <c r="L39" s="32"/>
      <c r="M39" s="32"/>
      <c r="N39" s="32"/>
      <c r="O39" s="32"/>
      <c r="P39" s="32"/>
      <c r="Q39" s="32"/>
      <c r="R39" s="32"/>
      <c r="U39" s="32"/>
      <c r="V39" s="32"/>
      <c r="W39" s="32"/>
      <c r="X39" s="32"/>
      <c r="Y39" s="32"/>
      <c r="Z39" s="32"/>
    </row>
    <row r="40" spans="1:32" x14ac:dyDescent="0.2">
      <c r="B40" s="32" t="s">
        <v>182</v>
      </c>
      <c r="C40" s="32">
        <v>2288</v>
      </c>
      <c r="D40" s="32">
        <v>2335</v>
      </c>
      <c r="E40" s="32">
        <v>2980</v>
      </c>
      <c r="F40" s="33">
        <v>8084</v>
      </c>
      <c r="G40" s="33">
        <v>4481</v>
      </c>
      <c r="H40" s="33">
        <v>3704</v>
      </c>
      <c r="I40" s="33">
        <v>3872</v>
      </c>
      <c r="J40" s="33">
        <v>8658</v>
      </c>
      <c r="K40" s="33">
        <v>5074</v>
      </c>
      <c r="L40" s="33">
        <v>5057</v>
      </c>
      <c r="M40" s="33">
        <v>5258</v>
      </c>
      <c r="N40" s="33">
        <v>14557</v>
      </c>
      <c r="O40" s="33">
        <v>10237</v>
      </c>
      <c r="P40" s="33">
        <v>10269</v>
      </c>
      <c r="Q40" s="33">
        <v>10709</v>
      </c>
      <c r="R40" s="33">
        <v>15890</v>
      </c>
      <c r="S40" s="33">
        <v>12470</v>
      </c>
      <c r="U40" s="33">
        <v>3777</v>
      </c>
      <c r="V40" s="33">
        <v>5269</v>
      </c>
      <c r="W40" s="33">
        <v>8084</v>
      </c>
      <c r="X40" s="33">
        <v>8658</v>
      </c>
      <c r="Y40" s="33">
        <v>14557</v>
      </c>
      <c r="Z40" s="33">
        <v>15890</v>
      </c>
    </row>
    <row r="41" spans="1:32" x14ac:dyDescent="0.2">
      <c r="B41" s="32" t="s">
        <v>183</v>
      </c>
      <c r="C41" s="32">
        <v>3427</v>
      </c>
      <c r="D41" s="32">
        <v>2635</v>
      </c>
      <c r="E41" s="32">
        <v>2268</v>
      </c>
      <c r="F41" s="33">
        <v>3364</v>
      </c>
      <c r="G41" s="33">
        <v>3414</v>
      </c>
      <c r="H41" s="33">
        <v>3759</v>
      </c>
      <c r="I41" s="33">
        <v>3817</v>
      </c>
      <c r="J41" s="33">
        <v>3789</v>
      </c>
      <c r="K41" s="33">
        <v>3592</v>
      </c>
      <c r="L41" s="33">
        <v>2929</v>
      </c>
      <c r="M41" s="33">
        <v>1625</v>
      </c>
      <c r="N41" s="33">
        <v>2859</v>
      </c>
      <c r="O41" s="33">
        <v>3544</v>
      </c>
      <c r="P41" s="33">
        <v>3732</v>
      </c>
      <c r="Q41" s="33">
        <v>3719</v>
      </c>
      <c r="R41" s="33">
        <v>3918</v>
      </c>
      <c r="S41" s="33">
        <v>3389</v>
      </c>
      <c r="U41" s="33">
        <v>4985</v>
      </c>
      <c r="V41" s="33">
        <v>4307</v>
      </c>
      <c r="W41" s="33">
        <v>3364</v>
      </c>
      <c r="X41" s="33">
        <v>3789</v>
      </c>
      <c r="Y41" s="33">
        <v>2859</v>
      </c>
      <c r="Z41" s="33">
        <v>3918</v>
      </c>
    </row>
    <row r="42" spans="1:32" x14ac:dyDescent="0.2">
      <c r="B42" s="32" t="s">
        <v>184</v>
      </c>
      <c r="C42" s="32">
        <f>1813+371</f>
        <v>2184</v>
      </c>
      <c r="D42" s="32">
        <f>2035+408</f>
        <v>2443</v>
      </c>
      <c r="E42" s="32">
        <f>2392+413</f>
        <v>2805</v>
      </c>
      <c r="F42" s="33">
        <v>3817</v>
      </c>
      <c r="G42" s="33">
        <f>2516+507</f>
        <v>3023</v>
      </c>
      <c r="H42" s="33">
        <f>2861+541</f>
        <v>3402</v>
      </c>
      <c r="I42" s="33">
        <f>3057+520</f>
        <v>3577</v>
      </c>
      <c r="J42" s="33">
        <v>4767</v>
      </c>
      <c r="K42" s="33">
        <v>3945</v>
      </c>
      <c r="L42" s="33">
        <v>4125</v>
      </c>
      <c r="M42" s="33">
        <v>4373</v>
      </c>
      <c r="N42" s="33">
        <v>5612</v>
      </c>
      <c r="O42" s="33">
        <v>4772</v>
      </c>
      <c r="P42" s="33">
        <v>4920</v>
      </c>
      <c r="Q42" s="33">
        <v>5440</v>
      </c>
      <c r="R42" s="33">
        <v>6423</v>
      </c>
      <c r="S42" s="33">
        <v>5072</v>
      </c>
      <c r="T42" s="33"/>
      <c r="U42" s="33">
        <f>1587+196</f>
        <v>1783</v>
      </c>
      <c r="V42" s="33">
        <f>2571+351</f>
        <v>2922</v>
      </c>
      <c r="W42" s="33">
        <v>3817</v>
      </c>
      <c r="X42" s="33">
        <v>4767</v>
      </c>
      <c r="Y42" s="33">
        <v>5612</v>
      </c>
      <c r="Z42" s="33">
        <v>6423</v>
      </c>
    </row>
    <row r="43" spans="1:32" x14ac:dyDescent="0.2">
      <c r="B43" s="32" t="s">
        <v>185</v>
      </c>
      <c r="C43" s="32">
        <v>4255</v>
      </c>
      <c r="D43" s="32">
        <v>4380</v>
      </c>
      <c r="E43" s="32">
        <v>5065</v>
      </c>
      <c r="F43" s="33">
        <v>6031</v>
      </c>
      <c r="G43" s="33">
        <v>5395</v>
      </c>
      <c r="H43" s="33">
        <v>5420</v>
      </c>
      <c r="I43" s="33">
        <v>6068</v>
      </c>
      <c r="J43" s="33">
        <v>7411</v>
      </c>
      <c r="K43" s="33">
        <v>6716</v>
      </c>
      <c r="L43" s="33">
        <v>6644</v>
      </c>
      <c r="M43" s="33">
        <v>7316</v>
      </c>
      <c r="N43" s="33">
        <v>8299</v>
      </c>
      <c r="O43" s="33">
        <v>7369</v>
      </c>
      <c r="P43" s="33">
        <v>7470</v>
      </c>
      <c r="Q43" s="33">
        <v>8981</v>
      </c>
      <c r="R43" s="33">
        <v>10243</v>
      </c>
      <c r="S43" s="33">
        <v>9582</v>
      </c>
      <c r="U43" s="33">
        <v>3202</v>
      </c>
      <c r="V43" s="33">
        <v>4992</v>
      </c>
      <c r="W43" s="33">
        <v>6031</v>
      </c>
      <c r="X43" s="33">
        <v>7411</v>
      </c>
      <c r="Y43" s="33">
        <v>8299</v>
      </c>
      <c r="Z43" s="33">
        <v>10243</v>
      </c>
    </row>
    <row r="44" spans="1:32" x14ac:dyDescent="0.2">
      <c r="B44" s="32" t="s">
        <v>186</v>
      </c>
      <c r="C44" s="33" t="s">
        <v>147</v>
      </c>
      <c r="D44" s="33" t="s">
        <v>147</v>
      </c>
      <c r="E44" s="33" t="s">
        <v>147</v>
      </c>
      <c r="F44" s="33" t="s">
        <v>147</v>
      </c>
      <c r="G44" s="33" t="s">
        <v>147</v>
      </c>
      <c r="H44" s="33" t="s">
        <v>147</v>
      </c>
      <c r="I44" s="33" t="s">
        <v>147</v>
      </c>
      <c r="J44" s="33" t="s">
        <v>147</v>
      </c>
      <c r="K44" s="33" t="s">
        <v>147</v>
      </c>
      <c r="L44" s="33" t="s">
        <v>147</v>
      </c>
      <c r="M44" s="33" t="s">
        <v>147</v>
      </c>
      <c r="N44" s="33" t="s">
        <v>147</v>
      </c>
      <c r="O44" s="33" t="s">
        <v>147</v>
      </c>
      <c r="P44" s="33" t="s">
        <v>147</v>
      </c>
      <c r="Q44" s="33" t="s">
        <v>147</v>
      </c>
      <c r="R44" s="33" t="s">
        <v>147</v>
      </c>
      <c r="S44" s="33" t="s">
        <v>147</v>
      </c>
      <c r="U44" s="33" t="s">
        <v>147</v>
      </c>
      <c r="V44" s="33" t="s">
        <v>147</v>
      </c>
      <c r="W44" s="33" t="s">
        <v>147</v>
      </c>
      <c r="X44" s="33" t="s">
        <v>147</v>
      </c>
      <c r="Y44" s="33" t="s">
        <v>147</v>
      </c>
      <c r="Z44" s="33" t="s">
        <v>147</v>
      </c>
    </row>
    <row r="45" spans="1:32" x14ac:dyDescent="0.2">
      <c r="B45" s="31" t="s">
        <v>187</v>
      </c>
      <c r="C45" s="31">
        <v>12154</v>
      </c>
      <c r="D45" s="31">
        <v>11793</v>
      </c>
      <c r="E45" s="31">
        <v>13118</v>
      </c>
      <c r="F45" s="34">
        <v>21296</v>
      </c>
      <c r="G45" s="34">
        <v>16313</v>
      </c>
      <c r="H45" s="34">
        <v>16285</v>
      </c>
      <c r="I45" s="34">
        <v>17334</v>
      </c>
      <c r="J45" s="34">
        <v>24625</v>
      </c>
      <c r="K45" s="34">
        <v>19327</v>
      </c>
      <c r="L45" s="34">
        <v>18755</v>
      </c>
      <c r="M45" s="34">
        <v>18572</v>
      </c>
      <c r="N45" s="34">
        <v>31327</v>
      </c>
      <c r="O45" s="34">
        <v>25922</v>
      </c>
      <c r="P45" s="34">
        <v>26391</v>
      </c>
      <c r="Q45" s="34">
        <v>28849</v>
      </c>
      <c r="R45" s="34">
        <v>36474</v>
      </c>
      <c r="S45" s="34">
        <f>SUM(S40:S44)</f>
        <v>30513</v>
      </c>
      <c r="U45" s="34">
        <v>13747</v>
      </c>
      <c r="V45" s="34">
        <v>17490</v>
      </c>
      <c r="W45" s="34">
        <v>21296</v>
      </c>
      <c r="X45" s="34">
        <v>24625</v>
      </c>
      <c r="Y45" s="34">
        <v>31327</v>
      </c>
      <c r="Z45" s="34">
        <v>36474</v>
      </c>
    </row>
    <row r="46" spans="1:32" x14ac:dyDescent="0.2">
      <c r="B46" s="32"/>
      <c r="C46" s="32"/>
      <c r="D46" s="32"/>
      <c r="E46" s="32"/>
      <c r="F46" s="41">
        <f>F40+F41</f>
        <v>11448</v>
      </c>
      <c r="G46" s="32"/>
      <c r="H46" s="32"/>
      <c r="I46" s="32"/>
      <c r="J46" s="32"/>
      <c r="K46" s="32"/>
      <c r="L46" s="32"/>
      <c r="M46" s="32"/>
      <c r="N46" s="32"/>
      <c r="O46" s="32"/>
      <c r="P46" s="32"/>
      <c r="Q46" s="32"/>
      <c r="R46" s="32"/>
      <c r="U46" s="32"/>
      <c r="V46" s="32"/>
      <c r="W46" s="32"/>
      <c r="X46" s="32"/>
      <c r="Y46" s="32"/>
      <c r="Z46" s="32"/>
    </row>
    <row r="47" spans="1:32" x14ac:dyDescent="0.2">
      <c r="B47" s="31" t="s">
        <v>188</v>
      </c>
      <c r="C47" s="31"/>
      <c r="D47" s="31"/>
      <c r="E47" s="31"/>
      <c r="F47" s="32"/>
      <c r="G47" s="32"/>
      <c r="H47" s="32"/>
      <c r="I47" s="32"/>
      <c r="J47" s="32"/>
      <c r="K47" s="32"/>
      <c r="L47" s="32"/>
      <c r="M47" s="32"/>
      <c r="N47" s="32"/>
      <c r="O47" s="32"/>
      <c r="P47" s="32"/>
      <c r="Q47" s="32"/>
      <c r="R47" s="32"/>
      <c r="U47" s="32"/>
      <c r="V47" s="32"/>
      <c r="W47" s="32"/>
      <c r="X47" s="32"/>
      <c r="Y47" s="32"/>
      <c r="Z47" s="32"/>
    </row>
    <row r="48" spans="1:32" x14ac:dyDescent="0.2">
      <c r="B48" s="32" t="s">
        <v>189</v>
      </c>
      <c r="C48" s="33">
        <v>4653</v>
      </c>
      <c r="D48" s="33">
        <v>5097</v>
      </c>
      <c r="E48" s="33">
        <v>5662</v>
      </c>
      <c r="F48" s="33">
        <v>7060</v>
      </c>
      <c r="G48" s="33">
        <f>7674+123</f>
        <v>7797</v>
      </c>
      <c r="H48" s="33">
        <f>8789+128</f>
        <v>8917</v>
      </c>
      <c r="I48" s="33">
        <f>9991+128</f>
        <v>10119</v>
      </c>
      <c r="J48" s="33">
        <v>10949</v>
      </c>
      <c r="K48" s="33">
        <v>12267</v>
      </c>
      <c r="L48" s="33">
        <v>14089</v>
      </c>
      <c r="M48" s="33">
        <v>15702</v>
      </c>
      <c r="N48" s="33">
        <v>16967</v>
      </c>
      <c r="O48" s="33">
        <v>17736</v>
      </c>
      <c r="P48" s="33">
        <v>19479</v>
      </c>
      <c r="Q48" s="33">
        <v>20636</v>
      </c>
      <c r="R48" s="33">
        <v>21838</v>
      </c>
      <c r="S48" s="33">
        <v>23308</v>
      </c>
      <c r="U48" s="33">
        <f>2414+22</f>
        <v>2436</v>
      </c>
      <c r="V48" s="33">
        <f>4417+28</f>
        <v>4445</v>
      </c>
      <c r="W48" s="33">
        <v>7060</v>
      </c>
      <c r="X48" s="33">
        <v>10949</v>
      </c>
      <c r="Y48" s="33">
        <v>16967</v>
      </c>
      <c r="Z48" s="33">
        <v>21838</v>
      </c>
      <c r="AD48">
        <v>6281</v>
      </c>
      <c r="AE48">
        <v>4746</v>
      </c>
      <c r="AF48">
        <v>3253</v>
      </c>
    </row>
    <row r="49" spans="2:32" x14ac:dyDescent="0.2">
      <c r="B49" s="32" t="s">
        <v>190</v>
      </c>
      <c r="C49" s="33">
        <v>1970</v>
      </c>
      <c r="D49" s="33">
        <v>2521</v>
      </c>
      <c r="E49" s="33">
        <v>2540</v>
      </c>
      <c r="F49" s="33">
        <v>2552</v>
      </c>
      <c r="G49" s="33">
        <v>2535</v>
      </c>
      <c r="H49" s="33">
        <v>2614</v>
      </c>
      <c r="I49" s="33">
        <v>2635</v>
      </c>
      <c r="J49" s="33">
        <v>2655</v>
      </c>
      <c r="K49" s="33">
        <v>2653</v>
      </c>
      <c r="L49" s="33">
        <v>2677</v>
      </c>
      <c r="M49" s="33">
        <v>3332</v>
      </c>
      <c r="N49" s="33">
        <v>3319</v>
      </c>
      <c r="O49" s="33">
        <v>3491</v>
      </c>
      <c r="P49" s="33">
        <v>3523</v>
      </c>
      <c r="Q49" s="33">
        <v>3529</v>
      </c>
      <c r="R49" s="33">
        <v>3759</v>
      </c>
      <c r="S49" s="33">
        <v>3785</v>
      </c>
      <c r="U49" s="33">
        <v>1349</v>
      </c>
      <c r="V49" s="33">
        <v>1955</v>
      </c>
      <c r="W49" s="33">
        <v>2552</v>
      </c>
      <c r="X49" s="33">
        <v>2655</v>
      </c>
      <c r="Y49" s="33">
        <v>3319</v>
      </c>
      <c r="Z49" s="33">
        <v>3759</v>
      </c>
      <c r="AD49">
        <v>-4589</v>
      </c>
      <c r="AE49">
        <v>-4893</v>
      </c>
      <c r="AF49">
        <v>-3444</v>
      </c>
    </row>
    <row r="50" spans="2:32" x14ac:dyDescent="0.2">
      <c r="B50" s="32" t="s">
        <v>191</v>
      </c>
      <c r="C50" s="33">
        <f>1535+27</f>
        <v>1562</v>
      </c>
      <c r="D50" s="33">
        <f>1585+26</f>
        <v>1611</v>
      </c>
      <c r="E50" s="33">
        <f>1476+38</f>
        <v>1514</v>
      </c>
      <c r="F50" s="33">
        <v>1647</v>
      </c>
      <c r="G50" s="33">
        <v>1732</v>
      </c>
      <c r="H50" s="33">
        <v>1807</v>
      </c>
      <c r="I50" s="33">
        <v>1773</v>
      </c>
      <c r="J50" s="33">
        <v>1930</v>
      </c>
      <c r="K50" s="33">
        <v>2117</v>
      </c>
      <c r="L50" s="33">
        <v>2377</v>
      </c>
      <c r="M50" s="33">
        <v>2813</v>
      </c>
      <c r="N50" s="33">
        <v>2892</v>
      </c>
      <c r="O50" s="33">
        <v>2926</v>
      </c>
      <c r="P50" s="33">
        <v>3047</v>
      </c>
      <c r="Q50" s="33">
        <v>3216</v>
      </c>
      <c r="R50" s="33">
        <v>3373</v>
      </c>
      <c r="S50" s="33">
        <v>3522</v>
      </c>
      <c r="U50" s="33">
        <v>1265</v>
      </c>
      <c r="V50" s="33">
        <v>1388</v>
      </c>
      <c r="W50" s="33">
        <v>1647</v>
      </c>
      <c r="X50" s="33">
        <v>1930</v>
      </c>
      <c r="Y50" s="33">
        <v>2892</v>
      </c>
      <c r="Z50" s="33">
        <v>3373</v>
      </c>
      <c r="AD50">
        <v>4717</v>
      </c>
      <c r="AE50">
        <v>4008</v>
      </c>
      <c r="AF50">
        <v>1867</v>
      </c>
    </row>
    <row r="51" spans="2:32" x14ac:dyDescent="0.2">
      <c r="B51" s="31" t="s">
        <v>192</v>
      </c>
      <c r="C51" s="34">
        <v>20339</v>
      </c>
      <c r="D51" s="34">
        <v>21022</v>
      </c>
      <c r="E51" s="34">
        <v>22834</v>
      </c>
      <c r="F51" s="34">
        <v>32555</v>
      </c>
      <c r="G51" s="34">
        <v>28377</v>
      </c>
      <c r="H51" s="34">
        <v>29623</v>
      </c>
      <c r="I51" s="34">
        <v>31861</v>
      </c>
      <c r="J51" s="34">
        <v>40159</v>
      </c>
      <c r="K51" s="34">
        <v>36364</v>
      </c>
      <c r="L51" s="34">
        <v>37898</v>
      </c>
      <c r="M51" s="34">
        <v>40419</v>
      </c>
      <c r="N51" s="34">
        <v>54505</v>
      </c>
      <c r="O51" s="34">
        <v>50075</v>
      </c>
      <c r="P51" s="34">
        <v>52440</v>
      </c>
      <c r="Q51" s="34">
        <v>56230</v>
      </c>
      <c r="R51" s="34">
        <v>65444</v>
      </c>
      <c r="S51" s="34">
        <f>SUM(S48:S50)</f>
        <v>30615</v>
      </c>
      <c r="U51" s="34">
        <v>18797</v>
      </c>
      <c r="V51" s="34">
        <v>25278</v>
      </c>
      <c r="W51" s="34">
        <v>32555</v>
      </c>
      <c r="X51" s="34">
        <v>40159</v>
      </c>
      <c r="Y51" s="34">
        <v>54505</v>
      </c>
      <c r="Z51" s="34">
        <v>65444</v>
      </c>
      <c r="AD51">
        <v>544</v>
      </c>
      <c r="AE51">
        <v>920</v>
      </c>
      <c r="AF51">
        <v>877</v>
      </c>
    </row>
    <row r="52" spans="2:32" x14ac:dyDescent="0.2">
      <c r="B52" s="31"/>
      <c r="C52" s="31"/>
      <c r="D52" s="31"/>
      <c r="E52" s="31"/>
      <c r="F52" s="32"/>
      <c r="G52" s="32"/>
      <c r="H52" s="32"/>
      <c r="I52" s="32"/>
      <c r="J52" s="32"/>
      <c r="K52" s="32"/>
      <c r="L52" s="32"/>
      <c r="M52" s="32"/>
      <c r="N52" s="32"/>
      <c r="O52" s="32"/>
      <c r="P52" s="32"/>
      <c r="Q52" s="32"/>
      <c r="R52" s="32"/>
      <c r="U52" s="32"/>
      <c r="V52" s="32"/>
      <c r="W52" s="32"/>
      <c r="X52" s="32"/>
      <c r="Y52" s="32"/>
      <c r="Z52" s="32"/>
      <c r="AD52">
        <f>SUM(AD48:AD51)</f>
        <v>6953</v>
      </c>
      <c r="AE52">
        <f>SUM(AE48:AE51)</f>
        <v>4781</v>
      </c>
      <c r="AF52">
        <f>SUM(AF48:AF51)</f>
        <v>2553</v>
      </c>
    </row>
    <row r="53" spans="2:32" x14ac:dyDescent="0.2">
      <c r="B53" s="31" t="s">
        <v>193</v>
      </c>
      <c r="C53" s="31"/>
      <c r="D53" s="31"/>
      <c r="E53" s="31"/>
      <c r="F53" s="32"/>
      <c r="G53" s="32"/>
      <c r="H53" s="32"/>
      <c r="I53" s="32"/>
      <c r="J53" s="32"/>
      <c r="K53" s="32"/>
      <c r="L53" s="32"/>
      <c r="M53" s="32"/>
      <c r="N53" s="32"/>
      <c r="O53" s="32"/>
      <c r="P53" s="32"/>
      <c r="Q53" s="32"/>
      <c r="R53" s="32"/>
      <c r="U53" s="32"/>
      <c r="V53" s="32"/>
      <c r="W53" s="32"/>
      <c r="X53" s="32"/>
      <c r="Y53" s="32"/>
      <c r="Z53" s="32"/>
    </row>
    <row r="54" spans="2:32" x14ac:dyDescent="0.2">
      <c r="B54" s="32" t="s">
        <v>194</v>
      </c>
      <c r="C54" s="33">
        <v>6886</v>
      </c>
      <c r="D54" s="33">
        <v>7072</v>
      </c>
      <c r="E54" s="33">
        <v>8369</v>
      </c>
      <c r="F54" s="33">
        <v>13318</v>
      </c>
      <c r="G54" s="33">
        <v>8916</v>
      </c>
      <c r="H54" s="33">
        <v>8990</v>
      </c>
      <c r="I54" s="33">
        <v>10037</v>
      </c>
      <c r="J54" s="33">
        <v>15133</v>
      </c>
      <c r="K54" s="33">
        <v>10590</v>
      </c>
      <c r="L54" s="33">
        <v>10457</v>
      </c>
      <c r="M54" s="33">
        <v>11811</v>
      </c>
      <c r="N54" s="33">
        <v>16459</v>
      </c>
      <c r="O54" s="33">
        <v>11917</v>
      </c>
      <c r="P54" s="33">
        <v>12391</v>
      </c>
      <c r="Q54" s="33">
        <v>14437</v>
      </c>
      <c r="R54" s="33">
        <v>20397</v>
      </c>
      <c r="S54" s="33">
        <v>14990</v>
      </c>
      <c r="U54" s="33">
        <v>8051</v>
      </c>
      <c r="V54" s="33">
        <v>11145</v>
      </c>
      <c r="W54" s="33">
        <v>13318</v>
      </c>
      <c r="X54" s="33">
        <v>15133</v>
      </c>
      <c r="Y54" s="33">
        <v>16459</v>
      </c>
      <c r="Z54" s="33">
        <v>20397</v>
      </c>
      <c r="AD54" s="152">
        <f>X48-W48</f>
        <v>3889</v>
      </c>
      <c r="AE54" s="152">
        <f>Y48-X48</f>
        <v>6018</v>
      </c>
      <c r="AF54" s="152">
        <f>Z48-Y48</f>
        <v>4871</v>
      </c>
    </row>
    <row r="55" spans="2:32" x14ac:dyDescent="0.2">
      <c r="B55" s="32" t="s">
        <v>195</v>
      </c>
      <c r="C55" s="33">
        <v>3602</v>
      </c>
      <c r="D55" s="33">
        <v>3892</v>
      </c>
      <c r="E55" s="33">
        <v>4236</v>
      </c>
      <c r="F55" s="33">
        <v>4892</v>
      </c>
      <c r="G55" s="33">
        <v>5416</v>
      </c>
      <c r="H55" s="33">
        <v>5745</v>
      </c>
      <c r="I55" s="33">
        <v>6098</v>
      </c>
      <c r="J55" s="33">
        <v>6688</v>
      </c>
      <c r="K55" s="33">
        <v>6251</v>
      </c>
      <c r="L55" s="33">
        <v>6688</v>
      </c>
      <c r="M55" s="33">
        <v>7217</v>
      </c>
      <c r="N55" s="33">
        <v>9807</v>
      </c>
      <c r="O55" s="33">
        <v>8840</v>
      </c>
      <c r="P55" s="33">
        <v>8959</v>
      </c>
      <c r="Q55" s="33">
        <v>9157</v>
      </c>
      <c r="R55" s="33">
        <v>10384</v>
      </c>
      <c r="S55" s="33">
        <v>9431</v>
      </c>
      <c r="U55" s="33">
        <v>2321</v>
      </c>
      <c r="V55" s="33">
        <v>3751</v>
      </c>
      <c r="W55" s="33">
        <v>4892</v>
      </c>
      <c r="X55" s="33">
        <v>6688</v>
      </c>
      <c r="Y55" s="33">
        <v>9807</v>
      </c>
      <c r="Z55" s="33">
        <v>10384</v>
      </c>
    </row>
    <row r="56" spans="2:32" x14ac:dyDescent="0.2">
      <c r="B56" s="32" t="s">
        <v>196</v>
      </c>
      <c r="C56" s="33" t="s">
        <v>147</v>
      </c>
      <c r="D56" s="33" t="s">
        <v>147</v>
      </c>
      <c r="E56" s="33" t="s">
        <v>147</v>
      </c>
      <c r="F56" s="33">
        <v>792</v>
      </c>
      <c r="G56" s="33" t="s">
        <v>147</v>
      </c>
      <c r="H56" s="33" t="s">
        <v>147</v>
      </c>
      <c r="I56" s="33" t="s">
        <v>147</v>
      </c>
      <c r="J56" s="33">
        <v>1159</v>
      </c>
      <c r="K56" s="33">
        <v>1516</v>
      </c>
      <c r="L56" s="33">
        <v>1606</v>
      </c>
      <c r="M56" s="33">
        <v>1814</v>
      </c>
      <c r="N56" s="33">
        <v>1823</v>
      </c>
      <c r="O56" s="33">
        <v>2420</v>
      </c>
      <c r="P56" s="33">
        <v>2562</v>
      </c>
      <c r="Q56" s="33">
        <v>3063</v>
      </c>
      <c r="R56" s="33">
        <v>3118</v>
      </c>
      <c r="S56" s="33">
        <v>3766</v>
      </c>
      <c r="U56" s="33" t="s">
        <v>147</v>
      </c>
      <c r="V56" s="33" t="s">
        <v>147</v>
      </c>
      <c r="W56" s="33">
        <v>792</v>
      </c>
      <c r="X56" s="33">
        <v>1159</v>
      </c>
      <c r="Y56" s="33">
        <v>1823</v>
      </c>
      <c r="Z56" s="33">
        <v>3118</v>
      </c>
      <c r="AD56">
        <v>4.9000000000000004</v>
      </c>
    </row>
    <row r="57" spans="2:32" x14ac:dyDescent="0.2">
      <c r="B57" s="31" t="s">
        <v>197</v>
      </c>
      <c r="C57" s="34">
        <v>10488</v>
      </c>
      <c r="D57" s="34">
        <v>10964</v>
      </c>
      <c r="E57" s="34">
        <v>12605</v>
      </c>
      <c r="F57" s="34">
        <v>19002</v>
      </c>
      <c r="G57" s="34">
        <v>14332</v>
      </c>
      <c r="H57" s="34">
        <v>14735</v>
      </c>
      <c r="I57" s="34">
        <v>16135</v>
      </c>
      <c r="J57" s="34">
        <v>22980</v>
      </c>
      <c r="K57" s="34">
        <v>18357</v>
      </c>
      <c r="L57" s="34">
        <v>18751</v>
      </c>
      <c r="M57" s="34">
        <v>20842</v>
      </c>
      <c r="N57" s="34">
        <v>28089</v>
      </c>
      <c r="O57" s="34">
        <v>23177</v>
      </c>
      <c r="P57" s="34">
        <v>23912</v>
      </c>
      <c r="Q57" s="34">
        <v>26657</v>
      </c>
      <c r="R57" s="34">
        <v>33899</v>
      </c>
      <c r="S57" s="34">
        <f>SUM(S54:S56)</f>
        <v>28187</v>
      </c>
      <c r="U57" s="34">
        <v>10372</v>
      </c>
      <c r="V57" s="34">
        <v>14896</v>
      </c>
      <c r="W57" s="34">
        <v>19002</v>
      </c>
      <c r="X57" s="34">
        <v>22980</v>
      </c>
      <c r="Y57" s="34">
        <v>28089</v>
      </c>
      <c r="Z57" s="34">
        <v>33899</v>
      </c>
    </row>
    <row r="58" spans="2:32" x14ac:dyDescent="0.2">
      <c r="B58" s="31"/>
      <c r="C58" s="31"/>
      <c r="D58" s="31"/>
      <c r="E58" s="31"/>
      <c r="F58" s="32"/>
      <c r="G58" s="32"/>
      <c r="H58" s="32"/>
      <c r="I58" s="32"/>
      <c r="J58" s="32"/>
      <c r="K58" s="32"/>
      <c r="L58" s="32"/>
      <c r="M58" s="32"/>
      <c r="N58" s="32"/>
      <c r="O58" s="32"/>
      <c r="P58" s="32"/>
      <c r="Q58" s="32"/>
      <c r="R58" s="32"/>
      <c r="U58" s="32"/>
      <c r="V58" s="32"/>
      <c r="W58" s="32"/>
      <c r="X58" s="32"/>
      <c r="Y58" s="32"/>
      <c r="Z58" s="32"/>
    </row>
    <row r="59" spans="2:32" x14ac:dyDescent="0.2">
      <c r="B59" s="31" t="s">
        <v>198</v>
      </c>
      <c r="C59" s="31"/>
      <c r="D59" s="31"/>
      <c r="E59" s="31"/>
      <c r="F59" s="32"/>
      <c r="G59" s="32"/>
      <c r="H59" s="32"/>
      <c r="I59" s="32"/>
      <c r="J59" s="32"/>
      <c r="K59" s="32"/>
      <c r="L59" s="32"/>
      <c r="M59" s="32"/>
      <c r="N59" s="32"/>
      <c r="O59" s="32"/>
      <c r="P59" s="32"/>
      <c r="Q59" s="32"/>
      <c r="R59" s="32"/>
      <c r="U59" s="32"/>
      <c r="V59" s="32"/>
      <c r="W59" s="32"/>
      <c r="X59" s="32"/>
      <c r="Y59" s="32"/>
      <c r="Z59" s="32"/>
    </row>
    <row r="60" spans="2:32" x14ac:dyDescent="0.2">
      <c r="B60" s="32" t="s">
        <v>199</v>
      </c>
      <c r="C60" t="s">
        <v>147</v>
      </c>
      <c r="D60" t="s">
        <v>147</v>
      </c>
      <c r="E60" t="s">
        <v>147</v>
      </c>
      <c r="F60" s="33">
        <v>3084</v>
      </c>
      <c r="G60" s="33">
        <v>3040</v>
      </c>
      <c r="H60" s="33">
        <v>3042</v>
      </c>
      <c r="I60" s="33">
        <v>3043</v>
      </c>
      <c r="J60" s="33">
        <v>3191</v>
      </c>
      <c r="K60" s="33">
        <v>3147</v>
      </c>
      <c r="L60" s="33">
        <v>3119</v>
      </c>
      <c r="M60" s="33">
        <v>3099</v>
      </c>
      <c r="N60" s="33">
        <v>8265</v>
      </c>
      <c r="O60" s="33">
        <v>8257</v>
      </c>
      <c r="P60" s="33">
        <v>8250</v>
      </c>
      <c r="Q60" s="33">
        <v>8243</v>
      </c>
      <c r="R60" s="33">
        <v>8235</v>
      </c>
      <c r="S60" s="33">
        <v>8219</v>
      </c>
      <c r="U60" s="33">
        <v>182</v>
      </c>
      <c r="V60" s="33">
        <v>255</v>
      </c>
      <c r="W60" s="33">
        <v>3084</v>
      </c>
      <c r="X60" s="33">
        <v>3191</v>
      </c>
      <c r="Y60" s="33">
        <v>8265</v>
      </c>
      <c r="Z60" s="33">
        <v>8235</v>
      </c>
    </row>
    <row r="61" spans="2:32" x14ac:dyDescent="0.2">
      <c r="B61" s="32" t="s">
        <v>200</v>
      </c>
      <c r="C61" s="32">
        <v>2580</v>
      </c>
      <c r="D61" s="32">
        <v>2553</v>
      </c>
      <c r="E61" s="32">
        <v>2676</v>
      </c>
      <c r="F61" s="33">
        <v>2277</v>
      </c>
      <c r="G61" s="33">
        <v>2573</v>
      </c>
      <c r="H61" s="33">
        <v>3113</v>
      </c>
      <c r="I61" s="33">
        <v>3596</v>
      </c>
      <c r="J61" s="33">
        <v>4242</v>
      </c>
      <c r="K61" s="33">
        <v>4532</v>
      </c>
      <c r="L61" s="33">
        <v>5426</v>
      </c>
      <c r="M61" s="33">
        <v>6142</v>
      </c>
      <c r="N61" s="33">
        <v>7410</v>
      </c>
      <c r="O61" s="33">
        <v>7768</v>
      </c>
      <c r="P61" s="33">
        <v>8510</v>
      </c>
      <c r="Q61" s="33">
        <v>8900</v>
      </c>
      <c r="R61" s="33">
        <v>9926</v>
      </c>
      <c r="S61" s="33">
        <v>9966</v>
      </c>
      <c r="U61" s="33">
        <f>1561-182</f>
        <v>1379</v>
      </c>
      <c r="V61" s="33">
        <v>2370</v>
      </c>
      <c r="W61" s="33">
        <v>2277</v>
      </c>
      <c r="X61" s="33">
        <v>4242</v>
      </c>
      <c r="Y61" s="33">
        <v>7410</v>
      </c>
      <c r="Z61" s="33">
        <v>9926</v>
      </c>
    </row>
    <row r="62" spans="2:32" x14ac:dyDescent="0.2">
      <c r="F62" s="32"/>
      <c r="G62" s="32"/>
      <c r="H62" s="32"/>
      <c r="I62" s="32"/>
      <c r="J62" s="32"/>
      <c r="K62" s="32"/>
      <c r="L62" s="32"/>
      <c r="M62" s="32"/>
      <c r="N62" s="32"/>
      <c r="O62" s="32"/>
      <c r="P62" s="32"/>
      <c r="Q62" s="32"/>
      <c r="R62" s="32"/>
      <c r="U62" s="32"/>
      <c r="V62" s="32"/>
      <c r="W62" s="32"/>
      <c r="X62" s="32"/>
      <c r="Y62" s="32"/>
      <c r="Z62" s="32"/>
    </row>
    <row r="63" spans="2:32" x14ac:dyDescent="0.2">
      <c r="B63" s="32"/>
      <c r="C63" s="32"/>
      <c r="D63" s="32"/>
      <c r="E63" s="32"/>
      <c r="F63" s="32"/>
      <c r="G63" s="32"/>
      <c r="H63" s="32"/>
      <c r="I63" s="32"/>
      <c r="J63" s="32"/>
      <c r="K63" s="32"/>
      <c r="L63" s="32"/>
      <c r="M63" s="32"/>
      <c r="N63" s="32"/>
      <c r="O63" s="32"/>
      <c r="P63" s="32"/>
      <c r="Q63" s="32"/>
      <c r="R63" s="32"/>
      <c r="U63" s="32"/>
      <c r="V63" s="32"/>
      <c r="W63" s="32"/>
      <c r="X63" s="32"/>
      <c r="Y63" s="32"/>
      <c r="Z63" s="32"/>
    </row>
    <row r="64" spans="2:32" x14ac:dyDescent="0.2">
      <c r="B64" s="32"/>
      <c r="C64" s="32"/>
      <c r="D64" s="32"/>
      <c r="E64" s="32"/>
    </row>
    <row r="65" spans="1:51" x14ac:dyDescent="0.2">
      <c r="B65" s="31" t="s">
        <v>201</v>
      </c>
      <c r="C65" s="31"/>
      <c r="D65" s="31"/>
      <c r="E65" s="31"/>
    </row>
    <row r="66" spans="1:51" x14ac:dyDescent="0.2">
      <c r="B66" s="32" t="s">
        <v>202</v>
      </c>
      <c r="C66" s="33">
        <v>5</v>
      </c>
      <c r="D66" s="33">
        <v>5</v>
      </c>
      <c r="E66" s="33">
        <v>5</v>
      </c>
      <c r="F66" s="33">
        <v>5</v>
      </c>
      <c r="G66" s="33">
        <v>5</v>
      </c>
      <c r="H66" s="33">
        <v>5</v>
      </c>
      <c r="I66" s="33">
        <v>5</v>
      </c>
      <c r="J66" s="33">
        <v>5</v>
      </c>
      <c r="K66" s="33">
        <v>5</v>
      </c>
      <c r="L66" s="33">
        <v>5</v>
      </c>
      <c r="M66" s="33">
        <v>5</v>
      </c>
      <c r="N66" s="33">
        <v>5</v>
      </c>
      <c r="O66" s="33">
        <v>5</v>
      </c>
      <c r="P66" s="33">
        <v>5</v>
      </c>
      <c r="Q66" s="33">
        <v>5</v>
      </c>
      <c r="R66" s="33">
        <v>5</v>
      </c>
      <c r="S66" s="33">
        <v>5</v>
      </c>
      <c r="U66" s="33">
        <v>5</v>
      </c>
      <c r="V66" s="33">
        <v>5</v>
      </c>
      <c r="W66" s="33">
        <v>5</v>
      </c>
      <c r="X66" s="33">
        <v>5</v>
      </c>
      <c r="Y66" s="33">
        <v>5</v>
      </c>
      <c r="Z66" s="33">
        <v>5</v>
      </c>
    </row>
    <row r="67" spans="1:51" x14ac:dyDescent="0.2">
      <c r="B67" s="32" t="s">
        <v>203</v>
      </c>
      <c r="C67" s="33">
        <v>7192</v>
      </c>
      <c r="D67" s="33">
        <v>7573</v>
      </c>
      <c r="E67" s="33">
        <v>7863</v>
      </c>
      <c r="F67" s="33">
        <v>8347</v>
      </c>
      <c r="G67" s="33">
        <v>8585</v>
      </c>
      <c r="H67" s="33">
        <v>8893</v>
      </c>
      <c r="I67" s="33">
        <v>9175</v>
      </c>
      <c r="J67" s="33">
        <v>9573</v>
      </c>
      <c r="K67" s="33">
        <v>10019</v>
      </c>
      <c r="L67" s="33">
        <v>10405</v>
      </c>
      <c r="M67" s="33">
        <v>10827</v>
      </c>
      <c r="N67" s="33">
        <v>11135</v>
      </c>
      <c r="O67" s="33">
        <v>11565</v>
      </c>
      <c r="P67" s="33">
        <v>12233</v>
      </c>
      <c r="Q67" s="33">
        <v>12874</v>
      </c>
      <c r="R67" s="33">
        <v>13394</v>
      </c>
      <c r="S67" s="33">
        <v>-1837</v>
      </c>
      <c r="U67" s="33">
        <v>6325</v>
      </c>
      <c r="V67" s="33">
        <v>6990</v>
      </c>
      <c r="W67" s="33">
        <v>8347</v>
      </c>
      <c r="X67" s="33">
        <v>9573</v>
      </c>
      <c r="Y67" s="33">
        <v>11135</v>
      </c>
      <c r="Z67" s="33">
        <v>13394</v>
      </c>
    </row>
    <row r="68" spans="1:51" x14ac:dyDescent="0.2">
      <c r="B68" s="32" t="s">
        <v>204</v>
      </c>
      <c r="C68" s="33">
        <v>-1837</v>
      </c>
      <c r="D68" s="33">
        <v>-1837</v>
      </c>
      <c r="E68" s="33">
        <v>-1837</v>
      </c>
      <c r="F68" s="33">
        <v>-1837</v>
      </c>
      <c r="G68" s="33">
        <v>-1837</v>
      </c>
      <c r="H68" s="33">
        <v>-1837</v>
      </c>
      <c r="I68" s="33">
        <v>-1837</v>
      </c>
      <c r="J68" s="33">
        <v>-1837</v>
      </c>
      <c r="K68" s="33">
        <v>-1837</v>
      </c>
      <c r="L68" s="33">
        <v>-1837</v>
      </c>
      <c r="M68" s="33">
        <v>-1837</v>
      </c>
      <c r="N68" s="33">
        <v>-1837</v>
      </c>
      <c r="O68" s="33">
        <v>-1837</v>
      </c>
      <c r="P68" s="33">
        <v>-1837</v>
      </c>
      <c r="Q68" s="33">
        <v>-1837</v>
      </c>
      <c r="R68" s="33">
        <v>-1837</v>
      </c>
      <c r="S68" s="33">
        <v>14144</v>
      </c>
      <c r="U68" s="33">
        <v>-600</v>
      </c>
      <c r="V68" s="33">
        <v>-877</v>
      </c>
      <c r="W68" s="33">
        <v>-1837</v>
      </c>
      <c r="X68" s="33">
        <v>-1837</v>
      </c>
      <c r="Y68" s="33">
        <v>-1837</v>
      </c>
      <c r="Z68" s="33">
        <v>-1837</v>
      </c>
    </row>
    <row r="69" spans="1:51" x14ac:dyDescent="0.2">
      <c r="B69" s="32" t="s">
        <v>205</v>
      </c>
      <c r="C69" s="33">
        <v>2085</v>
      </c>
      <c r="D69" s="33">
        <v>2092</v>
      </c>
      <c r="E69" s="33">
        <v>1818</v>
      </c>
      <c r="F69" s="33">
        <v>1916</v>
      </c>
      <c r="G69" s="33">
        <v>1998</v>
      </c>
      <c r="H69" s="33">
        <v>1991</v>
      </c>
      <c r="I69" s="33">
        <v>1950</v>
      </c>
      <c r="J69" s="33">
        <v>2190</v>
      </c>
      <c r="K69" s="33">
        <v>2298</v>
      </c>
      <c r="L69" s="33">
        <v>2172</v>
      </c>
      <c r="M69" s="33">
        <v>1735</v>
      </c>
      <c r="N69" s="33">
        <v>1949</v>
      </c>
      <c r="O69" s="33">
        <v>1892</v>
      </c>
      <c r="P69" s="33">
        <v>1984</v>
      </c>
      <c r="Q69" s="33">
        <v>2063</v>
      </c>
      <c r="R69" s="33">
        <v>2545</v>
      </c>
      <c r="S69" s="33">
        <v>-614</v>
      </c>
      <c r="U69" s="33">
        <v>1324</v>
      </c>
      <c r="V69" s="33">
        <v>1955</v>
      </c>
      <c r="W69" s="33">
        <v>1916</v>
      </c>
      <c r="X69" s="33">
        <v>2190</v>
      </c>
      <c r="Y69" s="33">
        <v>1949</v>
      </c>
      <c r="Z69" s="33">
        <v>2545</v>
      </c>
    </row>
    <row r="70" spans="1:51" x14ac:dyDescent="0.2">
      <c r="B70" s="32" t="s">
        <v>206</v>
      </c>
      <c r="C70" s="33">
        <v>-174</v>
      </c>
      <c r="D70" s="33">
        <v>-328</v>
      </c>
      <c r="E70" s="33">
        <v>-296</v>
      </c>
      <c r="F70" s="33">
        <v>-239</v>
      </c>
      <c r="G70" s="33">
        <v>-319</v>
      </c>
      <c r="H70" s="33">
        <v>-319</v>
      </c>
      <c r="I70" s="33">
        <v>-206</v>
      </c>
      <c r="J70" s="33">
        <v>-185</v>
      </c>
      <c r="K70" s="33">
        <v>-157</v>
      </c>
      <c r="L70" s="33">
        <v>-143</v>
      </c>
      <c r="M70" s="33">
        <v>-394</v>
      </c>
      <c r="N70" s="33">
        <v>-511</v>
      </c>
      <c r="O70" s="33">
        <v>-752</v>
      </c>
      <c r="P70" s="33">
        <v>-617</v>
      </c>
      <c r="Q70" s="33">
        <v>-675</v>
      </c>
      <c r="R70" s="33">
        <v>-723</v>
      </c>
      <c r="S70" s="33">
        <v>3058</v>
      </c>
      <c r="U70" s="33">
        <v>-190</v>
      </c>
      <c r="V70" s="33">
        <v>-316</v>
      </c>
      <c r="W70" s="33">
        <v>-239</v>
      </c>
      <c r="X70" s="33">
        <v>-185</v>
      </c>
      <c r="Y70" s="33">
        <v>-511</v>
      </c>
      <c r="Z70" s="33">
        <v>-723</v>
      </c>
    </row>
    <row r="71" spans="1:51" x14ac:dyDescent="0.2">
      <c r="B71" s="31" t="s">
        <v>207</v>
      </c>
      <c r="C71" s="34">
        <v>7271</v>
      </c>
      <c r="D71" s="34">
        <v>7505</v>
      </c>
      <c r="E71" s="34">
        <v>7553</v>
      </c>
      <c r="F71" s="34">
        <v>8192</v>
      </c>
      <c r="G71" s="34">
        <v>8432</v>
      </c>
      <c r="H71" s="34">
        <v>8733</v>
      </c>
      <c r="I71" s="34">
        <v>9087</v>
      </c>
      <c r="J71" s="34">
        <v>9746</v>
      </c>
      <c r="K71" s="34">
        <v>10328</v>
      </c>
      <c r="L71" s="34">
        <v>10602</v>
      </c>
      <c r="M71" s="34">
        <v>10336</v>
      </c>
      <c r="N71" s="34">
        <v>10741</v>
      </c>
      <c r="O71" s="34">
        <v>10873</v>
      </c>
      <c r="P71" s="34">
        <v>11768</v>
      </c>
      <c r="Q71" s="34">
        <v>12430</v>
      </c>
      <c r="R71" s="34">
        <v>13384</v>
      </c>
      <c r="S71" s="34">
        <v>14756</v>
      </c>
      <c r="U71" s="34">
        <v>6864</v>
      </c>
      <c r="V71" s="34">
        <v>7757</v>
      </c>
      <c r="W71" s="34">
        <v>8192</v>
      </c>
      <c r="X71" s="34">
        <v>9746</v>
      </c>
      <c r="Y71" s="34">
        <v>10741</v>
      </c>
      <c r="Z71" s="34">
        <v>13384</v>
      </c>
    </row>
    <row r="72" spans="1:51" x14ac:dyDescent="0.2">
      <c r="B72" s="31" t="s">
        <v>208</v>
      </c>
      <c r="C72" s="34">
        <v>20339</v>
      </c>
      <c r="D72" s="34">
        <v>21022</v>
      </c>
      <c r="E72" s="34">
        <v>22834</v>
      </c>
      <c r="F72" s="34">
        <v>32555</v>
      </c>
      <c r="G72" s="34">
        <v>28377</v>
      </c>
      <c r="H72" s="34">
        <v>29623</v>
      </c>
      <c r="I72" s="34">
        <v>31861</v>
      </c>
      <c r="J72" s="34">
        <v>40159</v>
      </c>
      <c r="K72" s="34">
        <v>36364</v>
      </c>
      <c r="L72" s="34">
        <v>37898</v>
      </c>
      <c r="M72" s="34">
        <v>40419</v>
      </c>
      <c r="N72" s="34">
        <v>54505</v>
      </c>
      <c r="O72" s="34">
        <v>50075</v>
      </c>
      <c r="P72" s="34">
        <v>52440</v>
      </c>
      <c r="Q72" s="34">
        <v>56230</v>
      </c>
      <c r="R72" s="34">
        <v>65444</v>
      </c>
      <c r="S72" s="34">
        <v>61128</v>
      </c>
      <c r="U72" s="34">
        <v>18797</v>
      </c>
      <c r="V72" s="34">
        <v>25278</v>
      </c>
      <c r="W72" s="34">
        <v>32555</v>
      </c>
      <c r="X72" s="34">
        <v>40159</v>
      </c>
      <c r="Y72" s="34">
        <v>54505</v>
      </c>
      <c r="Z72" s="34">
        <v>65444</v>
      </c>
    </row>
    <row r="76" spans="1:51" x14ac:dyDescent="0.2">
      <c r="A76" s="55" t="s">
        <v>209</v>
      </c>
    </row>
    <row r="78" spans="1:51" s="51" customFormat="1" ht="29.25" customHeight="1" x14ac:dyDescent="0.15">
      <c r="B78" s="49" t="s">
        <v>210</v>
      </c>
      <c r="C78" s="363">
        <v>40999</v>
      </c>
      <c r="D78" s="363">
        <v>41090</v>
      </c>
      <c r="E78" s="363">
        <v>41182</v>
      </c>
      <c r="F78" s="50" t="s">
        <v>211</v>
      </c>
      <c r="G78" s="50" t="s">
        <v>212</v>
      </c>
      <c r="H78" s="50" t="s">
        <v>213</v>
      </c>
      <c r="I78" s="50" t="s">
        <v>214</v>
      </c>
      <c r="J78" s="50" t="s">
        <v>215</v>
      </c>
      <c r="K78" s="50" t="s">
        <v>216</v>
      </c>
      <c r="L78" s="50" t="s">
        <v>217</v>
      </c>
      <c r="M78" s="50" t="s">
        <v>218</v>
      </c>
      <c r="N78" s="50" t="s">
        <v>219</v>
      </c>
      <c r="O78" s="50" t="s">
        <v>220</v>
      </c>
      <c r="P78" s="50" t="s">
        <v>221</v>
      </c>
      <c r="Q78" s="50" t="s">
        <v>222</v>
      </c>
      <c r="R78" s="50" t="s">
        <v>223</v>
      </c>
      <c r="S78" s="50" t="s">
        <v>301</v>
      </c>
      <c r="U78" s="50" t="s">
        <v>224</v>
      </c>
      <c r="V78" s="50" t="s">
        <v>225</v>
      </c>
      <c r="W78" s="50" t="s">
        <v>211</v>
      </c>
      <c r="X78" s="50" t="s">
        <v>215</v>
      </c>
      <c r="Y78" s="50" t="s">
        <v>219</v>
      </c>
      <c r="Z78" s="50" t="s">
        <v>223</v>
      </c>
      <c r="AM78" s="50" t="s">
        <v>226</v>
      </c>
      <c r="AN78" s="50" t="s">
        <v>227</v>
      </c>
      <c r="AO78" s="50" t="s">
        <v>228</v>
      </c>
      <c r="AP78" s="50" t="s">
        <v>229</v>
      </c>
      <c r="AQ78" s="50" t="s">
        <v>230</v>
      </c>
      <c r="AR78" s="50" t="s">
        <v>231</v>
      </c>
      <c r="AS78" s="50" t="s">
        <v>232</v>
      </c>
      <c r="AT78" s="50" t="s">
        <v>233</v>
      </c>
      <c r="AU78" s="50" t="s">
        <v>234</v>
      </c>
      <c r="AV78" s="50" t="s">
        <v>235</v>
      </c>
      <c r="AW78" s="50" t="s">
        <v>236</v>
      </c>
      <c r="AX78" s="50" t="s">
        <v>237</v>
      </c>
      <c r="AY78" s="50" t="s">
        <v>238</v>
      </c>
    </row>
    <row r="79" spans="1:51" x14ac:dyDescent="0.2">
      <c r="B79" s="31" t="s">
        <v>239</v>
      </c>
      <c r="C79" s="31"/>
      <c r="D79" s="31"/>
      <c r="E79" s="31"/>
      <c r="F79" s="32"/>
      <c r="G79" s="32"/>
      <c r="H79" s="32"/>
      <c r="I79" s="32"/>
      <c r="J79" s="32"/>
      <c r="K79" s="32"/>
      <c r="L79" s="32"/>
      <c r="M79" s="32"/>
      <c r="N79" s="32"/>
      <c r="O79" s="32"/>
      <c r="P79" s="32"/>
      <c r="Q79" s="32"/>
      <c r="R79" s="32"/>
      <c r="U79" s="32"/>
      <c r="V79" s="32"/>
      <c r="W79" s="32"/>
      <c r="X79" s="32"/>
      <c r="Y79" s="32"/>
      <c r="Z79" s="32"/>
      <c r="AM79" s="32"/>
      <c r="AN79" s="32"/>
      <c r="AO79" s="32"/>
      <c r="AP79" s="32"/>
      <c r="AQ79" s="32"/>
      <c r="AR79" s="32"/>
      <c r="AS79" s="32"/>
      <c r="AT79" s="32"/>
      <c r="AU79" s="32"/>
      <c r="AV79" s="32"/>
      <c r="AW79" s="32"/>
      <c r="AX79" s="32"/>
      <c r="AY79" s="32"/>
    </row>
    <row r="80" spans="1:51" x14ac:dyDescent="0.2">
      <c r="B80" s="32" t="s">
        <v>108</v>
      </c>
      <c r="C80" s="33">
        <v>130</v>
      </c>
      <c r="D80" s="33">
        <f>IFERROR(-(AJ80-AK80),"NA")</f>
        <v>7</v>
      </c>
      <c r="E80" s="33">
        <f>IFERROR(-(AK80-AL80),"NA")</f>
        <v>-274</v>
      </c>
      <c r="F80" s="33">
        <v>97</v>
      </c>
      <c r="G80" s="33">
        <v>82</v>
      </c>
      <c r="H80" s="33">
        <f>IFERROR(-(AN80-AO80),"NA")</f>
        <v>-7</v>
      </c>
      <c r="I80" s="33">
        <f>IFERROR(-(AO80-AP80),"NA")</f>
        <v>-41</v>
      </c>
      <c r="J80" s="33">
        <f>IFERROR(-(AP80-AQ80),"NA")</f>
        <v>240</v>
      </c>
      <c r="K80" s="33">
        <v>108</v>
      </c>
      <c r="L80" s="33">
        <f>IFERROR(-(AR80-AS80),"NA")</f>
        <v>-126</v>
      </c>
      <c r="M80" s="33">
        <f>IFERROR(-(AS80-AT80),"NA")</f>
        <v>-437</v>
      </c>
      <c r="N80" s="33">
        <f>IFERROR(-(AT80-AU80),"NA")</f>
        <v>214</v>
      </c>
      <c r="O80" s="33">
        <v>-57</v>
      </c>
      <c r="P80" s="33">
        <f>IFERROR(-(AV80-AW80),"NA")</f>
        <v>92</v>
      </c>
      <c r="Q80" s="33">
        <f>IFERROR(-(AW80-AX80),"NA")</f>
        <v>79</v>
      </c>
      <c r="R80" s="33">
        <f>IFERROR(-(AX80-AY80),"NA")</f>
        <v>482</v>
      </c>
      <c r="S80" s="33">
        <v>513</v>
      </c>
      <c r="U80" s="33">
        <v>1152</v>
      </c>
      <c r="V80" s="33">
        <v>631</v>
      </c>
      <c r="W80" s="33">
        <v>-39</v>
      </c>
      <c r="X80" s="33">
        <v>274</v>
      </c>
      <c r="Y80" s="33">
        <v>-241</v>
      </c>
      <c r="Z80" s="33">
        <v>596</v>
      </c>
      <c r="AJ80" s="33">
        <v>130</v>
      </c>
      <c r="AK80" s="33">
        <v>137</v>
      </c>
      <c r="AL80" s="33">
        <v>-137</v>
      </c>
      <c r="AM80" s="33">
        <v>97</v>
      </c>
      <c r="AN80" s="33">
        <v>82</v>
      </c>
      <c r="AO80" s="33">
        <v>75</v>
      </c>
      <c r="AP80" s="33">
        <v>34</v>
      </c>
      <c r="AQ80" s="33">
        <v>274</v>
      </c>
      <c r="AR80" s="33">
        <v>108</v>
      </c>
      <c r="AS80" s="33">
        <v>-18</v>
      </c>
      <c r="AT80" s="33">
        <v>-455</v>
      </c>
      <c r="AU80" s="33">
        <v>-241</v>
      </c>
      <c r="AV80" s="33">
        <v>-57</v>
      </c>
      <c r="AW80" s="33">
        <v>35</v>
      </c>
      <c r="AX80" s="33">
        <v>114</v>
      </c>
      <c r="AY80" s="33">
        <v>596</v>
      </c>
    </row>
    <row r="81" spans="2:51" x14ac:dyDescent="0.2">
      <c r="B81" s="32" t="s">
        <v>240</v>
      </c>
      <c r="C81" s="33">
        <v>457</v>
      </c>
      <c r="D81" s="33">
        <f t="shared" ref="D81:E93" si="2">IFERROR(-(AJ81-AK81),"NA")</f>
        <v>485</v>
      </c>
      <c r="E81" s="33">
        <f t="shared" si="2"/>
        <v>555</v>
      </c>
      <c r="F81" s="33">
        <v>662</v>
      </c>
      <c r="G81" s="33">
        <v>700</v>
      </c>
      <c r="H81" s="33">
        <f t="shared" ref="H81:R93" si="3">IFERROR(-(AN81-AO81),"NA")</f>
        <v>757</v>
      </c>
      <c r="I81" s="33">
        <f t="shared" si="3"/>
        <v>834</v>
      </c>
      <c r="J81" s="33">
        <f t="shared" si="3"/>
        <v>962</v>
      </c>
      <c r="K81" s="33">
        <v>1010</v>
      </c>
      <c r="L81" s="33">
        <f t="shared" si="3"/>
        <v>1109</v>
      </c>
      <c r="M81" s="33">
        <f t="shared" si="3"/>
        <v>1247</v>
      </c>
      <c r="N81" s="33">
        <f t="shared" si="3"/>
        <v>1380</v>
      </c>
      <c r="O81" s="33">
        <v>1426</v>
      </c>
      <c r="P81" s="33">
        <f t="shared" si="3"/>
        <v>1504</v>
      </c>
      <c r="Q81" s="33">
        <f t="shared" si="3"/>
        <v>1599</v>
      </c>
      <c r="R81" s="33">
        <f t="shared" si="3"/>
        <v>1752</v>
      </c>
      <c r="S81" s="33">
        <v>1827</v>
      </c>
      <c r="U81" s="33">
        <v>568</v>
      </c>
      <c r="V81" s="33">
        <v>1083</v>
      </c>
      <c r="W81" s="33">
        <v>2159</v>
      </c>
      <c r="X81" s="33">
        <v>3253</v>
      </c>
      <c r="Y81" s="33">
        <v>4746</v>
      </c>
      <c r="Z81" s="33">
        <v>6281</v>
      </c>
      <c r="AJ81" s="33">
        <v>457</v>
      </c>
      <c r="AK81" s="33">
        <v>942</v>
      </c>
      <c r="AL81" s="33">
        <v>1497</v>
      </c>
      <c r="AM81" s="33">
        <v>662</v>
      </c>
      <c r="AN81" s="33">
        <v>700</v>
      </c>
      <c r="AO81" s="33">
        <v>1457</v>
      </c>
      <c r="AP81" s="33">
        <v>2291</v>
      </c>
      <c r="AQ81" s="33">
        <v>3253</v>
      </c>
      <c r="AR81" s="33">
        <v>1010</v>
      </c>
      <c r="AS81" s="33">
        <v>2119</v>
      </c>
      <c r="AT81" s="33">
        <v>3366</v>
      </c>
      <c r="AU81" s="33">
        <v>4746</v>
      </c>
      <c r="AV81" s="33">
        <v>1426</v>
      </c>
      <c r="AW81" s="33">
        <v>2930</v>
      </c>
      <c r="AX81" s="33">
        <v>4529</v>
      </c>
      <c r="AY81" s="33">
        <v>6281</v>
      </c>
    </row>
    <row r="82" spans="2:51" x14ac:dyDescent="0.2">
      <c r="B82" s="32" t="s">
        <v>241</v>
      </c>
      <c r="C82" s="33">
        <v>-2</v>
      </c>
      <c r="D82" s="33">
        <f t="shared" si="2"/>
        <v>-2</v>
      </c>
      <c r="E82" s="33">
        <f t="shared" si="2"/>
        <v>-4</v>
      </c>
      <c r="F82" s="33">
        <v>-1</v>
      </c>
      <c r="G82" s="33" t="s">
        <v>147</v>
      </c>
      <c r="H82" s="33" t="str">
        <f t="shared" si="3"/>
        <v>NA</v>
      </c>
      <c r="I82" s="33" t="str">
        <f t="shared" si="3"/>
        <v>NA</v>
      </c>
      <c r="J82" s="33">
        <f t="shared" si="3"/>
        <v>0</v>
      </c>
      <c r="K82" s="33" t="s">
        <v>147</v>
      </c>
      <c r="L82" s="33" t="str">
        <f t="shared" si="3"/>
        <v>NA</v>
      </c>
      <c r="M82" s="33">
        <f t="shared" si="3"/>
        <v>-3</v>
      </c>
      <c r="N82" s="33">
        <f t="shared" si="3"/>
        <v>1</v>
      </c>
      <c r="O82" s="33">
        <v>1</v>
      </c>
      <c r="P82" s="33">
        <f t="shared" si="3"/>
        <v>1</v>
      </c>
      <c r="Q82" s="33">
        <f t="shared" si="3"/>
        <v>2</v>
      </c>
      <c r="R82" s="33">
        <f t="shared" si="3"/>
        <v>1</v>
      </c>
      <c r="S82" s="33">
        <v>2</v>
      </c>
      <c r="U82" s="33">
        <v>-2</v>
      </c>
      <c r="V82" s="33">
        <v>-4</v>
      </c>
      <c r="W82" s="33">
        <v>-9</v>
      </c>
      <c r="X82" s="33">
        <v>1</v>
      </c>
      <c r="Y82" s="33">
        <v>-3</v>
      </c>
      <c r="Z82" s="33">
        <v>5</v>
      </c>
      <c r="AJ82" s="33">
        <v>-2</v>
      </c>
      <c r="AK82" s="33">
        <v>-4</v>
      </c>
      <c r="AL82" s="33">
        <v>-8</v>
      </c>
      <c r="AM82" s="33">
        <v>-1</v>
      </c>
      <c r="AN82" s="33" t="s">
        <v>147</v>
      </c>
      <c r="AO82" s="33" t="s">
        <v>147</v>
      </c>
      <c r="AP82" s="33">
        <v>1</v>
      </c>
      <c r="AQ82" s="33">
        <v>1</v>
      </c>
      <c r="AR82" s="33" t="s">
        <v>147</v>
      </c>
      <c r="AS82" s="33">
        <v>-1</v>
      </c>
      <c r="AT82" s="33">
        <v>-4</v>
      </c>
      <c r="AU82" s="33">
        <v>-3</v>
      </c>
      <c r="AV82" s="33">
        <v>1</v>
      </c>
      <c r="AW82" s="33">
        <v>2</v>
      </c>
      <c r="AX82" s="33">
        <v>4</v>
      </c>
      <c r="AY82" s="33">
        <v>5</v>
      </c>
    </row>
    <row r="83" spans="2:51" x14ac:dyDescent="0.2">
      <c r="B83" s="32" t="s">
        <v>242</v>
      </c>
      <c r="C83" s="33">
        <v>160</v>
      </c>
      <c r="D83" s="33">
        <f t="shared" si="2"/>
        <v>221</v>
      </c>
      <c r="E83" s="33">
        <f t="shared" si="2"/>
        <v>216</v>
      </c>
      <c r="F83" s="33">
        <v>235</v>
      </c>
      <c r="G83" s="33">
        <v>229</v>
      </c>
      <c r="H83" s="33">
        <f t="shared" si="3"/>
        <v>297</v>
      </c>
      <c r="I83" s="33">
        <f t="shared" si="3"/>
        <v>282</v>
      </c>
      <c r="J83" s="33">
        <f t="shared" si="3"/>
        <v>326</v>
      </c>
      <c r="K83" s="33">
        <v>321</v>
      </c>
      <c r="L83" s="33">
        <f t="shared" si="3"/>
        <v>390</v>
      </c>
      <c r="M83" s="33">
        <f t="shared" si="3"/>
        <v>378</v>
      </c>
      <c r="N83" s="33">
        <f t="shared" si="3"/>
        <v>408</v>
      </c>
      <c r="O83" s="33">
        <v>407</v>
      </c>
      <c r="P83" s="33">
        <f t="shared" si="3"/>
        <v>562</v>
      </c>
      <c r="Q83" s="33">
        <f t="shared" si="3"/>
        <v>544</v>
      </c>
      <c r="R83" s="33">
        <f t="shared" si="3"/>
        <v>606</v>
      </c>
      <c r="S83" s="33">
        <v>544</v>
      </c>
      <c r="U83" s="33">
        <v>424</v>
      </c>
      <c r="V83" s="33">
        <v>557</v>
      </c>
      <c r="W83" s="33">
        <v>833</v>
      </c>
      <c r="X83" s="33">
        <v>1134</v>
      </c>
      <c r="Y83" s="33">
        <v>1497</v>
      </c>
      <c r="Z83" s="33">
        <v>2119</v>
      </c>
      <c r="AJ83" s="33">
        <v>160</v>
      </c>
      <c r="AK83" s="33">
        <v>381</v>
      </c>
      <c r="AL83" s="33">
        <v>597</v>
      </c>
      <c r="AM83" s="33">
        <v>235</v>
      </c>
      <c r="AN83" s="33">
        <v>229</v>
      </c>
      <c r="AO83" s="33">
        <v>526</v>
      </c>
      <c r="AP83" s="33">
        <v>808</v>
      </c>
      <c r="AQ83" s="33">
        <v>1134</v>
      </c>
      <c r="AR83" s="33">
        <v>321</v>
      </c>
      <c r="AS83" s="33">
        <v>711</v>
      </c>
      <c r="AT83" s="33">
        <v>1089</v>
      </c>
      <c r="AU83" s="33">
        <v>1497</v>
      </c>
      <c r="AV83" s="33">
        <v>407</v>
      </c>
      <c r="AW83" s="33">
        <v>969</v>
      </c>
      <c r="AX83" s="33">
        <v>1513</v>
      </c>
      <c r="AY83" s="33">
        <v>2119</v>
      </c>
    </row>
    <row r="84" spans="2:51" x14ac:dyDescent="0.2">
      <c r="B84" s="32" t="s">
        <v>243</v>
      </c>
      <c r="C84" s="33">
        <v>-40</v>
      </c>
      <c r="D84" s="33">
        <f t="shared" si="2"/>
        <v>-85</v>
      </c>
      <c r="E84" s="33">
        <f t="shared" si="2"/>
        <v>-65</v>
      </c>
      <c r="F84" s="33">
        <v>-239</v>
      </c>
      <c r="G84" s="33" t="s">
        <v>147</v>
      </c>
      <c r="H84" s="33" t="str">
        <f t="shared" si="3"/>
        <v>NA</v>
      </c>
      <c r="I84" s="33" t="str">
        <f t="shared" si="3"/>
        <v>NA</v>
      </c>
      <c r="J84" s="33" t="str">
        <f t="shared" si="3"/>
        <v>NA</v>
      </c>
      <c r="K84" s="33">
        <v>-121</v>
      </c>
      <c r="L84" s="33">
        <f t="shared" si="3"/>
        <v>0</v>
      </c>
      <c r="M84" s="33">
        <f t="shared" si="3"/>
        <v>0</v>
      </c>
      <c r="N84" s="33">
        <f t="shared" si="3"/>
        <v>115</v>
      </c>
      <c r="O84" s="33">
        <v>-22</v>
      </c>
      <c r="P84" s="33">
        <f t="shared" si="3"/>
        <v>-95</v>
      </c>
      <c r="Q84" s="33">
        <f t="shared" si="3"/>
        <v>-95</v>
      </c>
      <c r="R84" s="33">
        <f t="shared" si="3"/>
        <v>93</v>
      </c>
      <c r="S84" s="33">
        <v>-207</v>
      </c>
      <c r="U84" s="33">
        <v>-259</v>
      </c>
      <c r="V84" s="33">
        <v>-62</v>
      </c>
      <c r="W84" s="33">
        <v>-429</v>
      </c>
      <c r="X84" s="33">
        <v>-78</v>
      </c>
      <c r="Y84" s="33">
        <v>-6</v>
      </c>
      <c r="Z84" s="33">
        <v>-119</v>
      </c>
      <c r="AJ84" s="33">
        <v>-40</v>
      </c>
      <c r="AK84" s="33">
        <v>-125</v>
      </c>
      <c r="AL84" s="33">
        <v>-190</v>
      </c>
      <c r="AM84" s="33">
        <v>-239</v>
      </c>
      <c r="AN84" s="33" t="s">
        <v>147</v>
      </c>
      <c r="AO84" s="33" t="s">
        <v>147</v>
      </c>
      <c r="AP84" s="33" t="s">
        <v>147</v>
      </c>
      <c r="AQ84" s="33">
        <v>-78</v>
      </c>
      <c r="AR84" s="33">
        <v>-121</v>
      </c>
      <c r="AS84" s="33">
        <v>-121</v>
      </c>
      <c r="AT84" s="33">
        <v>-121</v>
      </c>
      <c r="AU84" s="33">
        <v>-6</v>
      </c>
      <c r="AV84" s="33">
        <v>-22</v>
      </c>
      <c r="AW84" s="33">
        <v>-117</v>
      </c>
      <c r="AX84" s="33">
        <v>-212</v>
      </c>
      <c r="AY84" s="33">
        <v>-119</v>
      </c>
    </row>
    <row r="85" spans="2:51" x14ac:dyDescent="0.2">
      <c r="B85" s="32" t="s">
        <v>244</v>
      </c>
      <c r="C85" s="33">
        <v>-38</v>
      </c>
      <c r="D85" s="33">
        <f t="shared" si="2"/>
        <v>-43</v>
      </c>
      <c r="E85" s="33">
        <f t="shared" si="2"/>
        <v>-36</v>
      </c>
      <c r="F85" s="33">
        <v>-148</v>
      </c>
      <c r="G85" s="33">
        <v>-80</v>
      </c>
      <c r="H85" s="33">
        <f t="shared" si="3"/>
        <v>22</v>
      </c>
      <c r="I85" s="33">
        <f t="shared" si="3"/>
        <v>11</v>
      </c>
      <c r="J85" s="33">
        <f t="shared" si="3"/>
        <v>-109</v>
      </c>
      <c r="K85" s="33">
        <v>-185</v>
      </c>
      <c r="L85" s="33">
        <f t="shared" si="3"/>
        <v>-49</v>
      </c>
      <c r="M85" s="33">
        <f t="shared" si="3"/>
        <v>-269</v>
      </c>
      <c r="N85" s="33">
        <f t="shared" si="3"/>
        <v>187</v>
      </c>
      <c r="O85" s="33">
        <v>-2</v>
      </c>
      <c r="P85" s="33">
        <f t="shared" si="3"/>
        <v>-43</v>
      </c>
      <c r="Q85" s="33">
        <f t="shared" si="3"/>
        <v>-63</v>
      </c>
      <c r="R85" s="33">
        <f t="shared" si="3"/>
        <v>189</v>
      </c>
      <c r="S85" s="33">
        <v>11</v>
      </c>
      <c r="U85" s="33">
        <v>4</v>
      </c>
      <c r="V85" s="33">
        <v>136</v>
      </c>
      <c r="W85" s="33">
        <v>-265</v>
      </c>
      <c r="X85" s="33">
        <v>-156</v>
      </c>
      <c r="Y85" s="33">
        <v>-316</v>
      </c>
      <c r="Z85" s="33">
        <v>81</v>
      </c>
      <c r="AJ85" s="33">
        <v>-38</v>
      </c>
      <c r="AK85" s="33">
        <v>-81</v>
      </c>
      <c r="AL85" s="33">
        <v>-117</v>
      </c>
      <c r="AM85" s="33">
        <v>-148</v>
      </c>
      <c r="AN85" s="33">
        <v>-80</v>
      </c>
      <c r="AO85" s="33">
        <v>-58</v>
      </c>
      <c r="AP85" s="33">
        <v>-47</v>
      </c>
      <c r="AQ85" s="33">
        <v>-156</v>
      </c>
      <c r="AR85" s="33">
        <v>-185</v>
      </c>
      <c r="AS85" s="33">
        <v>-234</v>
      </c>
      <c r="AT85" s="33">
        <v>-503</v>
      </c>
      <c r="AU85" s="33">
        <v>-316</v>
      </c>
      <c r="AV85" s="33">
        <v>-2</v>
      </c>
      <c r="AW85" s="33">
        <v>-45</v>
      </c>
      <c r="AX85" s="33">
        <v>-108</v>
      </c>
      <c r="AY85" s="33">
        <v>81</v>
      </c>
    </row>
    <row r="86" spans="2:51" x14ac:dyDescent="0.2">
      <c r="B86" s="32" t="s">
        <v>245</v>
      </c>
      <c r="C86" s="33">
        <v>15</v>
      </c>
      <c r="D86" s="33">
        <f t="shared" si="2"/>
        <v>-19</v>
      </c>
      <c r="E86" s="33">
        <f t="shared" si="2"/>
        <v>157</v>
      </c>
      <c r="F86" s="33">
        <v>100</v>
      </c>
      <c r="G86" s="33">
        <v>68</v>
      </c>
      <c r="H86" s="33">
        <f t="shared" si="3"/>
        <v>42</v>
      </c>
      <c r="I86" s="33">
        <f t="shared" si="3"/>
        <v>5</v>
      </c>
      <c r="J86" s="33">
        <f t="shared" si="3"/>
        <v>51</v>
      </c>
      <c r="K86" s="33">
        <v>-50</v>
      </c>
      <c r="L86" s="33">
        <f t="shared" si="3"/>
        <v>-7</v>
      </c>
      <c r="M86" s="33">
        <f t="shared" si="3"/>
        <v>41</v>
      </c>
      <c r="N86" s="33">
        <f t="shared" si="3"/>
        <v>78</v>
      </c>
      <c r="O86" s="33">
        <v>91</v>
      </c>
      <c r="P86" s="33">
        <f t="shared" si="3"/>
        <v>18</v>
      </c>
      <c r="Q86" s="33">
        <f t="shared" si="3"/>
        <v>57</v>
      </c>
      <c r="R86" s="33">
        <f t="shared" si="3"/>
        <v>79</v>
      </c>
      <c r="S86" s="33">
        <v>-52</v>
      </c>
      <c r="U86" s="33">
        <v>-79</v>
      </c>
      <c r="V86" s="33">
        <v>-56</v>
      </c>
      <c r="W86" s="33">
        <v>253</v>
      </c>
      <c r="X86" s="33">
        <v>166</v>
      </c>
      <c r="Y86" s="33">
        <v>62</v>
      </c>
      <c r="Z86" s="33">
        <v>245</v>
      </c>
      <c r="AJ86" s="33">
        <v>15</v>
      </c>
      <c r="AK86" s="33">
        <v>-4</v>
      </c>
      <c r="AL86" s="33">
        <v>153</v>
      </c>
      <c r="AM86" s="33">
        <v>100</v>
      </c>
      <c r="AN86" s="33">
        <v>68</v>
      </c>
      <c r="AO86" s="33">
        <v>110</v>
      </c>
      <c r="AP86" s="33">
        <v>115</v>
      </c>
      <c r="AQ86" s="33">
        <v>166</v>
      </c>
      <c r="AR86" s="33">
        <v>-50</v>
      </c>
      <c r="AS86" s="33">
        <v>-57</v>
      </c>
      <c r="AT86" s="33">
        <v>-16</v>
      </c>
      <c r="AU86" s="33">
        <v>62</v>
      </c>
      <c r="AV86" s="33">
        <v>91</v>
      </c>
      <c r="AW86" s="33">
        <v>109</v>
      </c>
      <c r="AX86" s="33">
        <v>166</v>
      </c>
      <c r="AY86" s="33">
        <v>245</v>
      </c>
    </row>
    <row r="87" spans="2:51" x14ac:dyDescent="0.2">
      <c r="B87" s="32" t="s">
        <v>246</v>
      </c>
      <c r="C87" s="33">
        <v>46</v>
      </c>
      <c r="D87" s="33">
        <f t="shared" si="2"/>
        <v>33</v>
      </c>
      <c r="E87" s="33">
        <f t="shared" si="2"/>
        <v>39</v>
      </c>
      <c r="F87" s="33">
        <v>36</v>
      </c>
      <c r="G87" s="33">
        <v>31</v>
      </c>
      <c r="H87" s="33">
        <f t="shared" si="3"/>
        <v>32</v>
      </c>
      <c r="I87" s="33">
        <f t="shared" si="3"/>
        <v>11</v>
      </c>
      <c r="J87" s="33">
        <f t="shared" si="3"/>
        <v>40</v>
      </c>
      <c r="K87" s="33">
        <v>35</v>
      </c>
      <c r="L87" s="33">
        <f t="shared" si="3"/>
        <v>27</v>
      </c>
      <c r="M87" s="33">
        <f t="shared" si="3"/>
        <v>31</v>
      </c>
      <c r="N87" s="33">
        <f t="shared" si="3"/>
        <v>36</v>
      </c>
      <c r="O87" s="33">
        <v>44</v>
      </c>
      <c r="P87" s="33">
        <f t="shared" si="3"/>
        <v>43</v>
      </c>
      <c r="Q87" s="33">
        <f t="shared" si="3"/>
        <v>33</v>
      </c>
      <c r="R87" s="33">
        <f t="shared" si="3"/>
        <v>35</v>
      </c>
      <c r="S87" s="33">
        <v>43</v>
      </c>
      <c r="U87" s="33">
        <v>106</v>
      </c>
      <c r="V87" s="33">
        <v>154</v>
      </c>
      <c r="W87" s="33">
        <v>154</v>
      </c>
      <c r="X87" s="33">
        <v>114</v>
      </c>
      <c r="Y87" s="33">
        <v>129</v>
      </c>
      <c r="Z87" s="33">
        <v>155</v>
      </c>
      <c r="AJ87" s="33">
        <v>46</v>
      </c>
      <c r="AK87" s="33">
        <v>79</v>
      </c>
      <c r="AL87" s="33">
        <v>118</v>
      </c>
      <c r="AM87" s="33">
        <v>36</v>
      </c>
      <c r="AN87" s="33">
        <v>31</v>
      </c>
      <c r="AO87" s="33">
        <v>63</v>
      </c>
      <c r="AP87" s="33">
        <v>74</v>
      </c>
      <c r="AQ87" s="33">
        <v>114</v>
      </c>
      <c r="AR87" s="33">
        <v>35</v>
      </c>
      <c r="AS87" s="33">
        <v>62</v>
      </c>
      <c r="AT87" s="33">
        <v>93</v>
      </c>
      <c r="AU87" s="33">
        <v>129</v>
      </c>
      <c r="AV87" s="33">
        <v>44</v>
      </c>
      <c r="AW87" s="33">
        <v>87</v>
      </c>
      <c r="AX87" s="33">
        <v>120</v>
      </c>
      <c r="AY87" s="33">
        <v>155</v>
      </c>
    </row>
    <row r="88" spans="2:51" x14ac:dyDescent="0.2">
      <c r="B88" s="32" t="s">
        <v>184</v>
      </c>
      <c r="C88" s="33">
        <v>746</v>
      </c>
      <c r="D88" s="33">
        <f t="shared" si="2"/>
        <v>-166</v>
      </c>
      <c r="E88" s="33">
        <f t="shared" si="2"/>
        <v>-416</v>
      </c>
      <c r="F88" s="33">
        <v>-1024</v>
      </c>
      <c r="G88" s="33">
        <v>729</v>
      </c>
      <c r="H88" s="33">
        <f t="shared" si="3"/>
        <v>-211</v>
      </c>
      <c r="I88" s="33">
        <f t="shared" si="3"/>
        <v>-125</v>
      </c>
      <c r="J88" s="33">
        <f t="shared" si="3"/>
        <v>-1239</v>
      </c>
      <c r="K88" s="33">
        <v>727</v>
      </c>
      <c r="L88" s="33">
        <f t="shared" si="3"/>
        <v>-299</v>
      </c>
      <c r="M88" s="33">
        <f t="shared" si="3"/>
        <v>-362</v>
      </c>
      <c r="N88" s="33">
        <f t="shared" si="3"/>
        <v>-1105</v>
      </c>
      <c r="O88" s="33">
        <v>441</v>
      </c>
      <c r="P88" s="33">
        <f t="shared" si="3"/>
        <v>-430</v>
      </c>
      <c r="Q88" s="33">
        <f t="shared" si="3"/>
        <v>-588</v>
      </c>
      <c r="R88" s="33">
        <f t="shared" si="3"/>
        <v>-1178</v>
      </c>
      <c r="S88" s="33">
        <v>412</v>
      </c>
      <c r="U88" s="33">
        <v>-295</v>
      </c>
      <c r="V88" s="33">
        <v>-866</v>
      </c>
      <c r="W88" s="33">
        <v>-861</v>
      </c>
      <c r="X88" s="33">
        <v>-846</v>
      </c>
      <c r="Y88" s="33">
        <v>-1039</v>
      </c>
      <c r="Z88" s="33">
        <v>-1755</v>
      </c>
      <c r="AJ88" s="33">
        <v>746</v>
      </c>
      <c r="AK88" s="33">
        <v>580</v>
      </c>
      <c r="AL88" s="33">
        <v>164</v>
      </c>
      <c r="AM88" s="33">
        <v>-1024</v>
      </c>
      <c r="AN88" s="33">
        <v>729</v>
      </c>
      <c r="AO88" s="33">
        <v>518</v>
      </c>
      <c r="AP88" s="33">
        <v>393</v>
      </c>
      <c r="AQ88" s="33">
        <v>-846</v>
      </c>
      <c r="AR88" s="33">
        <v>727</v>
      </c>
      <c r="AS88" s="33">
        <v>428</v>
      </c>
      <c r="AT88" s="33">
        <v>66</v>
      </c>
      <c r="AU88" s="33">
        <v>-1039</v>
      </c>
      <c r="AV88" s="33">
        <v>441</v>
      </c>
      <c r="AW88" s="33">
        <v>11</v>
      </c>
      <c r="AX88" s="33">
        <v>-577</v>
      </c>
      <c r="AY88" s="33">
        <v>-1755</v>
      </c>
    </row>
    <row r="89" spans="2:51" x14ac:dyDescent="0.2">
      <c r="B89" s="32" t="s">
        <v>185</v>
      </c>
      <c r="C89" s="33">
        <v>747</v>
      </c>
      <c r="D89" s="33">
        <f t="shared" si="2"/>
        <v>-125</v>
      </c>
      <c r="E89" s="33">
        <f t="shared" si="2"/>
        <v>-647</v>
      </c>
      <c r="F89" s="33">
        <v>-974</v>
      </c>
      <c r="G89" s="33">
        <v>535</v>
      </c>
      <c r="H89" s="33">
        <f t="shared" si="3"/>
        <v>-30</v>
      </c>
      <c r="I89" s="33">
        <f t="shared" si="3"/>
        <v>-585</v>
      </c>
      <c r="J89" s="33">
        <f t="shared" si="3"/>
        <v>-1330</v>
      </c>
      <c r="K89" s="33">
        <v>699</v>
      </c>
      <c r="L89" s="33">
        <f t="shared" si="3"/>
        <v>92</v>
      </c>
      <c r="M89" s="33">
        <f t="shared" si="3"/>
        <v>-845</v>
      </c>
      <c r="N89" s="33">
        <f t="shared" si="3"/>
        <v>-1139</v>
      </c>
      <c r="O89" s="33">
        <v>721</v>
      </c>
      <c r="P89" s="33">
        <f t="shared" si="3"/>
        <v>-28</v>
      </c>
      <c r="Q89" s="33">
        <f t="shared" si="3"/>
        <v>-1537</v>
      </c>
      <c r="R89" s="33">
        <f t="shared" si="3"/>
        <v>-1343</v>
      </c>
      <c r="S89" s="33">
        <v>769</v>
      </c>
      <c r="U89" s="33">
        <v>-1019</v>
      </c>
      <c r="V89" s="33">
        <v>-1777</v>
      </c>
      <c r="W89" s="33">
        <v>-999</v>
      </c>
      <c r="X89" s="33">
        <v>-1410</v>
      </c>
      <c r="Y89" s="33">
        <v>-1193</v>
      </c>
      <c r="Z89" s="33">
        <v>-2187</v>
      </c>
      <c r="AJ89" s="33">
        <v>747</v>
      </c>
      <c r="AK89" s="33">
        <v>622</v>
      </c>
      <c r="AL89" s="33">
        <v>-25</v>
      </c>
      <c r="AM89" s="33">
        <v>-974</v>
      </c>
      <c r="AN89" s="33">
        <v>535</v>
      </c>
      <c r="AO89" s="33">
        <v>505</v>
      </c>
      <c r="AP89" s="33">
        <v>-80</v>
      </c>
      <c r="AQ89" s="33">
        <v>-1410</v>
      </c>
      <c r="AR89" s="33">
        <v>699</v>
      </c>
      <c r="AS89" s="33">
        <v>791</v>
      </c>
      <c r="AT89" s="33">
        <v>-54</v>
      </c>
      <c r="AU89" s="33">
        <v>-1193</v>
      </c>
      <c r="AV89" s="33">
        <v>721</v>
      </c>
      <c r="AW89" s="33">
        <v>693</v>
      </c>
      <c r="AX89" s="33">
        <v>-844</v>
      </c>
      <c r="AY89" s="33">
        <v>-2187</v>
      </c>
    </row>
    <row r="90" spans="2:51" x14ac:dyDescent="0.2">
      <c r="B90" s="32" t="s">
        <v>194</v>
      </c>
      <c r="C90" s="33">
        <v>-4258</v>
      </c>
      <c r="D90" s="33">
        <f t="shared" si="2"/>
        <v>180</v>
      </c>
      <c r="E90" s="33">
        <f t="shared" si="2"/>
        <v>1222</v>
      </c>
      <c r="F90" s="33">
        <v>4926</v>
      </c>
      <c r="G90" s="33">
        <v>-4187</v>
      </c>
      <c r="H90" s="33">
        <f t="shared" si="3"/>
        <v>0</v>
      </c>
      <c r="I90" s="33">
        <f t="shared" si="3"/>
        <v>947</v>
      </c>
      <c r="J90" s="33">
        <f t="shared" si="3"/>
        <v>5128</v>
      </c>
      <c r="K90" s="33">
        <v>-4675</v>
      </c>
      <c r="L90" s="33">
        <f t="shared" si="3"/>
        <v>-343</v>
      </c>
      <c r="M90" s="33">
        <f t="shared" si="3"/>
        <v>1724</v>
      </c>
      <c r="N90" s="33">
        <f t="shared" si="3"/>
        <v>5053</v>
      </c>
      <c r="O90" s="33">
        <v>-4249</v>
      </c>
      <c r="P90" s="33">
        <f t="shared" si="3"/>
        <v>373</v>
      </c>
      <c r="Q90" s="33">
        <f t="shared" si="3"/>
        <v>2030</v>
      </c>
      <c r="R90" s="33">
        <f t="shared" si="3"/>
        <v>6140</v>
      </c>
      <c r="S90" s="33">
        <v>-5770</v>
      </c>
      <c r="U90" s="33">
        <v>2373</v>
      </c>
      <c r="V90" s="33">
        <v>2997</v>
      </c>
      <c r="W90" s="33">
        <v>2070</v>
      </c>
      <c r="X90" s="33">
        <v>1888</v>
      </c>
      <c r="Y90" s="33">
        <v>1759</v>
      </c>
      <c r="Z90" s="33">
        <v>4294</v>
      </c>
      <c r="AJ90" s="33">
        <v>-4258</v>
      </c>
      <c r="AK90" s="33">
        <v>-4078</v>
      </c>
      <c r="AL90" s="33">
        <v>-2856</v>
      </c>
      <c r="AM90" s="33">
        <v>4926</v>
      </c>
      <c r="AN90" s="33">
        <v>-4187</v>
      </c>
      <c r="AO90" s="33">
        <v>-4187</v>
      </c>
      <c r="AP90" s="33">
        <v>-3240</v>
      </c>
      <c r="AQ90" s="33">
        <v>1888</v>
      </c>
      <c r="AR90" s="33">
        <v>-4675</v>
      </c>
      <c r="AS90" s="33">
        <v>-5018</v>
      </c>
      <c r="AT90" s="33">
        <v>-3294</v>
      </c>
      <c r="AU90" s="33">
        <v>1759</v>
      </c>
      <c r="AV90" s="33">
        <v>-4249</v>
      </c>
      <c r="AW90" s="33">
        <v>-3876</v>
      </c>
      <c r="AX90" s="33">
        <v>-1846</v>
      </c>
      <c r="AY90" s="33">
        <v>4294</v>
      </c>
    </row>
    <row r="91" spans="2:51" x14ac:dyDescent="0.2">
      <c r="B91" s="32" t="s">
        <v>247</v>
      </c>
      <c r="C91" s="33">
        <v>-269</v>
      </c>
      <c r="D91" s="33">
        <f t="shared" si="2"/>
        <v>-333</v>
      </c>
      <c r="E91" s="33">
        <f t="shared" si="2"/>
        <v>-373</v>
      </c>
      <c r="F91" s="33">
        <v>-546</v>
      </c>
      <c r="G91" s="33">
        <v>-460</v>
      </c>
      <c r="H91" s="33">
        <f t="shared" si="3"/>
        <v>-461</v>
      </c>
      <c r="I91" s="33">
        <f t="shared" si="3"/>
        <v>-550</v>
      </c>
      <c r="J91" s="33">
        <f t="shared" si="3"/>
        <v>-821</v>
      </c>
      <c r="K91" s="33">
        <v>-732</v>
      </c>
      <c r="L91" s="33">
        <f t="shared" si="3"/>
        <v>-810</v>
      </c>
      <c r="M91" s="33">
        <f t="shared" si="3"/>
        <v>-811</v>
      </c>
      <c r="N91" s="33">
        <f t="shared" si="3"/>
        <v>-1339</v>
      </c>
      <c r="O91" s="33">
        <v>-1163</v>
      </c>
      <c r="P91" s="33">
        <f t="shared" si="3"/>
        <v>-1269</v>
      </c>
      <c r="Q91" s="33">
        <f t="shared" si="3"/>
        <v>-1373</v>
      </c>
      <c r="R91" s="33">
        <f t="shared" si="3"/>
        <v>-2304</v>
      </c>
      <c r="S91" s="33">
        <v>-2110</v>
      </c>
      <c r="U91" s="33">
        <v>-905</v>
      </c>
      <c r="V91" s="33">
        <v>-1021</v>
      </c>
      <c r="W91" s="33">
        <v>-1521</v>
      </c>
      <c r="X91" s="33">
        <v>-2292</v>
      </c>
      <c r="Y91" s="33">
        <v>-3692</v>
      </c>
      <c r="Z91" s="33">
        <v>-6109</v>
      </c>
      <c r="AJ91" s="33">
        <v>-269</v>
      </c>
      <c r="AK91" s="33">
        <v>-602</v>
      </c>
      <c r="AL91" s="33">
        <v>-975</v>
      </c>
      <c r="AM91" s="33">
        <v>-546</v>
      </c>
      <c r="AN91" s="33">
        <v>-460</v>
      </c>
      <c r="AO91" s="33">
        <v>-921</v>
      </c>
      <c r="AP91" s="33">
        <v>-1471</v>
      </c>
      <c r="AQ91" s="33">
        <v>-2292</v>
      </c>
      <c r="AR91" s="33">
        <v>-732</v>
      </c>
      <c r="AS91" s="33">
        <v>-1542</v>
      </c>
      <c r="AT91" s="33">
        <v>-2353</v>
      </c>
      <c r="AU91" s="33">
        <v>-3692</v>
      </c>
      <c r="AV91" s="33">
        <v>-1163</v>
      </c>
      <c r="AW91" s="33">
        <v>-2432</v>
      </c>
      <c r="AX91" s="33">
        <v>-3805</v>
      </c>
      <c r="AY91" s="33">
        <v>-6109</v>
      </c>
    </row>
    <row r="92" spans="2:51" x14ac:dyDescent="0.2">
      <c r="B92" s="32" t="s">
        <v>248</v>
      </c>
      <c r="C92" s="33">
        <v>397</v>
      </c>
      <c r="D92" s="33">
        <f t="shared" si="2"/>
        <v>382</v>
      </c>
      <c r="E92" s="33">
        <f t="shared" si="2"/>
        <v>472</v>
      </c>
      <c r="F92" s="33">
        <v>545</v>
      </c>
      <c r="G92" s="33">
        <v>684</v>
      </c>
      <c r="H92" s="33">
        <f t="shared" si="3"/>
        <v>516</v>
      </c>
      <c r="I92" s="33">
        <f t="shared" si="3"/>
        <v>672</v>
      </c>
      <c r="J92" s="33">
        <f t="shared" si="3"/>
        <v>819</v>
      </c>
      <c r="K92" s="33">
        <v>1092</v>
      </c>
      <c r="L92" s="33">
        <f t="shared" si="3"/>
        <v>894</v>
      </c>
      <c r="M92" s="33">
        <f t="shared" si="3"/>
        <v>1069</v>
      </c>
      <c r="N92" s="33">
        <f t="shared" si="3"/>
        <v>1378</v>
      </c>
      <c r="O92" s="33">
        <v>1803</v>
      </c>
      <c r="P92" s="33">
        <f t="shared" si="3"/>
        <v>1397</v>
      </c>
      <c r="Q92" s="33">
        <f t="shared" si="3"/>
        <v>1779</v>
      </c>
      <c r="R92" s="33">
        <f t="shared" si="3"/>
        <v>2422</v>
      </c>
      <c r="S92" s="33">
        <v>2814</v>
      </c>
      <c r="U92" s="33">
        <v>687</v>
      </c>
      <c r="V92" s="33">
        <v>1064</v>
      </c>
      <c r="W92" s="33">
        <v>1796</v>
      </c>
      <c r="X92" s="33">
        <v>2691</v>
      </c>
      <c r="Y92" s="33">
        <v>4433</v>
      </c>
      <c r="Z92" s="33">
        <v>7401</v>
      </c>
      <c r="AJ92" s="33">
        <v>397</v>
      </c>
      <c r="AK92" s="33">
        <v>779</v>
      </c>
      <c r="AL92" s="33">
        <v>1251</v>
      </c>
      <c r="AM92" s="33">
        <v>545</v>
      </c>
      <c r="AN92" s="33">
        <v>684</v>
      </c>
      <c r="AO92" s="33">
        <v>1200</v>
      </c>
      <c r="AP92" s="33">
        <v>1872</v>
      </c>
      <c r="AQ92" s="33">
        <v>2691</v>
      </c>
      <c r="AR92" s="33">
        <v>1092</v>
      </c>
      <c r="AS92" s="33">
        <v>1986</v>
      </c>
      <c r="AT92" s="33">
        <v>3055</v>
      </c>
      <c r="AU92" s="33">
        <v>4433</v>
      </c>
      <c r="AV92" s="33">
        <v>1803</v>
      </c>
      <c r="AW92" s="33">
        <v>3200</v>
      </c>
      <c r="AX92" s="33">
        <v>4979</v>
      </c>
      <c r="AY92" s="33">
        <v>7401</v>
      </c>
    </row>
    <row r="93" spans="2:51" x14ac:dyDescent="0.2">
      <c r="B93" s="32" t="s">
        <v>195</v>
      </c>
      <c r="C93" s="33">
        <v>-529</v>
      </c>
      <c r="D93" s="33">
        <f t="shared" si="2"/>
        <v>59</v>
      </c>
      <c r="E93" s="33">
        <f t="shared" si="2"/>
        <v>97</v>
      </c>
      <c r="F93" s="33">
        <v>1412</v>
      </c>
      <c r="G93" s="33">
        <v>-703</v>
      </c>
      <c r="H93" s="33">
        <f t="shared" si="3"/>
        <v>-77</v>
      </c>
      <c r="I93" s="33">
        <f t="shared" si="3"/>
        <v>-73</v>
      </c>
      <c r="J93" s="33">
        <f t="shared" si="3"/>
        <v>1589</v>
      </c>
      <c r="K93" s="33">
        <v>-731</v>
      </c>
      <c r="L93" s="33">
        <f t="shared" si="3"/>
        <v>-15</v>
      </c>
      <c r="M93" s="33">
        <f t="shared" si="3"/>
        <v>4</v>
      </c>
      <c r="N93" s="33">
        <f t="shared" si="3"/>
        <v>1448</v>
      </c>
      <c r="O93" s="33">
        <v>-940</v>
      </c>
      <c r="P93" s="33">
        <f t="shared" si="3"/>
        <v>-128</v>
      </c>
      <c r="Q93" s="33">
        <f t="shared" si="3"/>
        <v>143</v>
      </c>
      <c r="R93" s="33">
        <f t="shared" si="3"/>
        <v>1838</v>
      </c>
      <c r="S93" s="33">
        <v>-956</v>
      </c>
      <c r="U93" s="33">
        <v>740</v>
      </c>
      <c r="V93" s="33">
        <v>1067</v>
      </c>
      <c r="W93" s="33">
        <v>1038</v>
      </c>
      <c r="X93" s="33">
        <v>736</v>
      </c>
      <c r="Y93" s="33">
        <v>706</v>
      </c>
      <c r="Z93" s="33">
        <v>913</v>
      </c>
      <c r="AJ93" s="33">
        <v>-529</v>
      </c>
      <c r="AK93" s="33">
        <v>-470</v>
      </c>
      <c r="AL93" s="33">
        <v>-373</v>
      </c>
      <c r="AM93" s="33">
        <v>1412</v>
      </c>
      <c r="AN93" s="33">
        <v>-703</v>
      </c>
      <c r="AO93" s="33">
        <v>-780</v>
      </c>
      <c r="AP93" s="33">
        <v>-853</v>
      </c>
      <c r="AQ93" s="33">
        <v>736</v>
      </c>
      <c r="AR93" s="33">
        <v>-731</v>
      </c>
      <c r="AS93" s="33">
        <v>-746</v>
      </c>
      <c r="AT93" s="33">
        <v>-742</v>
      </c>
      <c r="AU93" s="33">
        <v>706</v>
      </c>
      <c r="AV93" s="33">
        <v>-940</v>
      </c>
      <c r="AW93" s="33">
        <v>-1068</v>
      </c>
      <c r="AX93" s="33">
        <v>-925</v>
      </c>
      <c r="AY93" s="33">
        <v>913</v>
      </c>
    </row>
    <row r="94" spans="2:51" x14ac:dyDescent="0.2">
      <c r="B94" s="31" t="s">
        <v>249</v>
      </c>
      <c r="C94" s="34">
        <f t="shared" ref="C94:D94" si="4">SUM(C80:C93)</f>
        <v>-2438</v>
      </c>
      <c r="D94" s="34">
        <f t="shared" si="4"/>
        <v>594</v>
      </c>
      <c r="E94" s="34">
        <f t="shared" ref="E94" si="5">SUM(E80:E93)</f>
        <v>943</v>
      </c>
      <c r="F94" s="34">
        <f t="shared" ref="F94:S94" si="6">SUM(F80:F93)</f>
        <v>5081</v>
      </c>
      <c r="G94" s="34">
        <f t="shared" si="6"/>
        <v>-2372</v>
      </c>
      <c r="H94" s="34">
        <f t="shared" si="6"/>
        <v>880</v>
      </c>
      <c r="I94" s="34">
        <f t="shared" ref="I94:J94" si="7">SUM(I80:I93)</f>
        <v>1388</v>
      </c>
      <c r="J94" s="34">
        <f t="shared" si="7"/>
        <v>5656</v>
      </c>
      <c r="K94" s="34">
        <f t="shared" si="6"/>
        <v>-2502</v>
      </c>
      <c r="L94" s="34">
        <f t="shared" si="6"/>
        <v>863</v>
      </c>
      <c r="M94" s="34">
        <f t="shared" si="6"/>
        <v>1767</v>
      </c>
      <c r="N94" s="34">
        <f t="shared" si="6"/>
        <v>6715</v>
      </c>
      <c r="O94" s="34">
        <f t="shared" si="6"/>
        <v>-1499</v>
      </c>
      <c r="P94" s="34">
        <f t="shared" si="6"/>
        <v>1997</v>
      </c>
      <c r="Q94" s="34">
        <f t="shared" si="6"/>
        <v>2610</v>
      </c>
      <c r="R94" s="34">
        <f t="shared" si="6"/>
        <v>8812</v>
      </c>
      <c r="S94" s="34">
        <f t="shared" si="6"/>
        <v>-2160</v>
      </c>
      <c r="U94" s="34">
        <f t="shared" ref="U94:Z94" si="8">SUM(U80:U93)</f>
        <v>3495</v>
      </c>
      <c r="V94" s="34">
        <f t="shared" si="8"/>
        <v>3903</v>
      </c>
      <c r="W94" s="34">
        <f t="shared" si="8"/>
        <v>4180</v>
      </c>
      <c r="X94" s="34">
        <f t="shared" si="8"/>
        <v>5475</v>
      </c>
      <c r="Y94" s="34">
        <f t="shared" si="8"/>
        <v>6842</v>
      </c>
      <c r="Z94" s="34">
        <f t="shared" si="8"/>
        <v>11920</v>
      </c>
      <c r="AJ94" s="34">
        <v>-2438</v>
      </c>
      <c r="AK94" s="34">
        <v>-1844</v>
      </c>
      <c r="AL94" s="34">
        <v>-901</v>
      </c>
      <c r="AM94" s="34">
        <f t="shared" ref="AM94:AY94" si="9">SUM(AM80:AM93)</f>
        <v>5081</v>
      </c>
      <c r="AN94" s="34">
        <f t="shared" si="9"/>
        <v>-2372</v>
      </c>
      <c r="AO94" s="34">
        <f t="shared" si="9"/>
        <v>-1492</v>
      </c>
      <c r="AP94" s="34">
        <f t="shared" si="9"/>
        <v>-103</v>
      </c>
      <c r="AQ94" s="34">
        <f t="shared" si="9"/>
        <v>5475</v>
      </c>
      <c r="AR94" s="34">
        <f t="shared" si="9"/>
        <v>-2502</v>
      </c>
      <c r="AS94" s="34">
        <f t="shared" si="9"/>
        <v>-1640</v>
      </c>
      <c r="AT94" s="34">
        <f t="shared" si="9"/>
        <v>127</v>
      </c>
      <c r="AU94" s="34">
        <f t="shared" si="9"/>
        <v>6842</v>
      </c>
      <c r="AV94" s="34">
        <f t="shared" si="9"/>
        <v>-1499</v>
      </c>
      <c r="AW94" s="34">
        <f t="shared" si="9"/>
        <v>498</v>
      </c>
      <c r="AX94" s="34">
        <f t="shared" si="9"/>
        <v>3108</v>
      </c>
      <c r="AY94" s="34">
        <f t="shared" si="9"/>
        <v>11920</v>
      </c>
    </row>
    <row r="95" spans="2:51" x14ac:dyDescent="0.2">
      <c r="B95" s="32"/>
      <c r="C95" s="32"/>
      <c r="D95" s="32"/>
      <c r="E95" s="41"/>
      <c r="F95" s="32"/>
      <c r="G95" s="32"/>
      <c r="H95" s="41"/>
      <c r="I95" s="41"/>
      <c r="J95" s="41"/>
      <c r="K95" s="32"/>
      <c r="L95" s="41"/>
      <c r="M95" s="41"/>
      <c r="N95" s="41"/>
      <c r="O95" s="32"/>
      <c r="P95" s="41"/>
      <c r="Q95" s="41"/>
      <c r="R95" s="41"/>
      <c r="U95" s="32"/>
      <c r="V95" s="32"/>
      <c r="W95" s="32"/>
      <c r="X95" s="32"/>
      <c r="Y95" s="32"/>
      <c r="Z95" s="32"/>
      <c r="AJ95" s="32"/>
      <c r="AK95" s="32"/>
      <c r="AL95" s="32"/>
      <c r="AM95" s="32"/>
      <c r="AN95" s="32"/>
      <c r="AO95" s="41"/>
      <c r="AP95" s="41"/>
      <c r="AQ95" s="41"/>
      <c r="AR95" s="32"/>
      <c r="AS95" s="32"/>
      <c r="AT95" s="32"/>
      <c r="AU95" s="32"/>
      <c r="AV95" s="32"/>
      <c r="AW95" s="32"/>
      <c r="AX95" s="32"/>
      <c r="AY95" s="32"/>
    </row>
    <row r="96" spans="2:51" x14ac:dyDescent="0.2">
      <c r="B96" s="31" t="s">
        <v>250</v>
      </c>
      <c r="C96" s="31"/>
      <c r="D96" s="31"/>
      <c r="E96" s="32"/>
      <c r="F96" s="32"/>
      <c r="G96" s="32"/>
      <c r="H96" s="32"/>
      <c r="I96" s="32"/>
      <c r="J96" s="32"/>
      <c r="K96" s="32"/>
      <c r="L96" s="32"/>
      <c r="M96" s="32"/>
      <c r="N96" s="32"/>
      <c r="O96" s="32"/>
      <c r="P96" s="32"/>
      <c r="Q96" s="32"/>
      <c r="R96" s="32"/>
      <c r="U96" s="32"/>
      <c r="V96" s="32"/>
      <c r="W96" s="32"/>
      <c r="X96" s="32"/>
      <c r="Y96" s="32"/>
      <c r="Z96" s="32"/>
      <c r="AJ96" s="32"/>
      <c r="AK96" s="32"/>
      <c r="AL96" s="32"/>
      <c r="AM96" s="32"/>
      <c r="AN96" s="32"/>
      <c r="AO96" s="32"/>
      <c r="AP96" s="32"/>
      <c r="AQ96" s="32"/>
      <c r="AR96" s="32"/>
      <c r="AS96" s="32"/>
      <c r="AT96" s="32"/>
      <c r="AU96" s="32"/>
      <c r="AV96" s="32"/>
      <c r="AW96" s="32"/>
      <c r="AX96" s="32"/>
      <c r="AY96" s="32"/>
    </row>
    <row r="97" spans="2:51" x14ac:dyDescent="0.2">
      <c r="B97" s="32" t="s">
        <v>251</v>
      </c>
      <c r="C97" s="33">
        <v>-386</v>
      </c>
      <c r="D97" s="33">
        <f t="shared" ref="D97:E100" si="10">IFERROR(-(AJ97-AK97),"NA")</f>
        <v>-657</v>
      </c>
      <c r="E97" s="33">
        <f t="shared" si="10"/>
        <v>-716</v>
      </c>
      <c r="F97" s="33">
        <v>-2025</v>
      </c>
      <c r="G97" s="33">
        <v>-670</v>
      </c>
      <c r="H97" s="33">
        <f t="shared" ref="H97:R100" si="11">IFERROR(-(AN97-AO97),"NA")</f>
        <v>-856</v>
      </c>
      <c r="I97" s="33">
        <f t="shared" si="11"/>
        <v>-1039</v>
      </c>
      <c r="J97" s="33">
        <f t="shared" si="11"/>
        <v>-879</v>
      </c>
      <c r="K97" s="33">
        <v>-1080</v>
      </c>
      <c r="L97" s="33">
        <f t="shared" si="11"/>
        <v>-1290</v>
      </c>
      <c r="M97" s="33">
        <f t="shared" si="11"/>
        <v>-1378</v>
      </c>
      <c r="N97" s="33">
        <f t="shared" si="11"/>
        <v>-1145</v>
      </c>
      <c r="O97" s="33">
        <v>-871</v>
      </c>
      <c r="P97" s="33">
        <f t="shared" si="11"/>
        <v>-1213</v>
      </c>
      <c r="Q97" s="33">
        <f t="shared" si="11"/>
        <v>-1196</v>
      </c>
      <c r="R97" s="33">
        <f t="shared" si="11"/>
        <v>-1309</v>
      </c>
      <c r="S97" s="33">
        <v>-1179</v>
      </c>
      <c r="U97" s="33">
        <v>-979</v>
      </c>
      <c r="V97" s="33">
        <v>-1811</v>
      </c>
      <c r="W97" s="33">
        <v>-3785</v>
      </c>
      <c r="X97" s="33">
        <v>-3444</v>
      </c>
      <c r="Y97" s="33">
        <v>-4893</v>
      </c>
      <c r="Z97" s="33">
        <v>-4589</v>
      </c>
      <c r="AJ97" s="33">
        <v>-386</v>
      </c>
      <c r="AK97" s="33">
        <v>-1043</v>
      </c>
      <c r="AL97" s="33">
        <v>-1759</v>
      </c>
      <c r="AM97" s="33">
        <v>-2025</v>
      </c>
      <c r="AN97" s="33">
        <v>-670</v>
      </c>
      <c r="AO97" s="33">
        <v>-1526</v>
      </c>
      <c r="AP97" s="33">
        <v>-2565</v>
      </c>
      <c r="AQ97" s="33">
        <v>-3444</v>
      </c>
      <c r="AR97" s="33">
        <v>-1080</v>
      </c>
      <c r="AS97" s="33">
        <v>-2370</v>
      </c>
      <c r="AT97" s="33">
        <v>-3748</v>
      </c>
      <c r="AU97" s="33">
        <v>-4893</v>
      </c>
      <c r="AV97" s="33">
        <v>-871</v>
      </c>
      <c r="AW97" s="33">
        <v>-2084</v>
      </c>
      <c r="AX97" s="33">
        <v>-3280</v>
      </c>
      <c r="AY97" s="33">
        <v>-4589</v>
      </c>
    </row>
    <row r="98" spans="2:51" x14ac:dyDescent="0.2">
      <c r="B98" s="32" t="s">
        <v>252</v>
      </c>
      <c r="C98" s="33">
        <v>-50</v>
      </c>
      <c r="D98" s="33">
        <f t="shared" si="10"/>
        <v>-623</v>
      </c>
      <c r="E98" s="33">
        <f t="shared" si="10"/>
        <v>-38</v>
      </c>
      <c r="F98" s="33">
        <v>-35</v>
      </c>
      <c r="G98" s="33">
        <v>-103</v>
      </c>
      <c r="H98" s="33">
        <f t="shared" si="11"/>
        <v>-148</v>
      </c>
      <c r="I98" s="33">
        <f t="shared" si="11"/>
        <v>-1</v>
      </c>
      <c r="J98" s="33">
        <f t="shared" si="11"/>
        <v>-60</v>
      </c>
      <c r="K98" s="33">
        <v>0</v>
      </c>
      <c r="L98" s="33">
        <v>0</v>
      </c>
      <c r="M98" s="33">
        <f t="shared" si="11"/>
        <v>-860</v>
      </c>
      <c r="N98" s="33">
        <f t="shared" si="11"/>
        <v>-53</v>
      </c>
      <c r="O98" s="33">
        <v>-365</v>
      </c>
      <c r="P98" s="33">
        <f t="shared" si="11"/>
        <v>-9</v>
      </c>
      <c r="Q98" s="33">
        <f t="shared" si="11"/>
        <v>-104</v>
      </c>
      <c r="R98" s="33">
        <f t="shared" si="11"/>
        <v>-317</v>
      </c>
      <c r="S98" s="33">
        <v>-16</v>
      </c>
      <c r="U98" s="33">
        <v>-352</v>
      </c>
      <c r="V98" s="33">
        <v>-705</v>
      </c>
      <c r="W98" s="33">
        <v>-745</v>
      </c>
      <c r="X98" s="33">
        <v>-312</v>
      </c>
      <c r="Y98" s="33">
        <v>-979</v>
      </c>
      <c r="Z98" s="33">
        <v>-795</v>
      </c>
      <c r="AJ98" s="33">
        <v>-50</v>
      </c>
      <c r="AK98" s="33">
        <v>-673</v>
      </c>
      <c r="AL98" s="33">
        <v>-711</v>
      </c>
      <c r="AM98" s="33">
        <v>-35</v>
      </c>
      <c r="AN98" s="33">
        <v>-103</v>
      </c>
      <c r="AO98" s="33">
        <v>-251</v>
      </c>
      <c r="AP98" s="33">
        <v>-252</v>
      </c>
      <c r="AQ98" s="33">
        <v>-312</v>
      </c>
      <c r="AR98" s="33" t="s">
        <v>147</v>
      </c>
      <c r="AS98" s="33">
        <v>-66</v>
      </c>
      <c r="AT98" s="33">
        <v>-926</v>
      </c>
      <c r="AU98" s="33">
        <v>-979</v>
      </c>
      <c r="AV98" s="33">
        <v>-365</v>
      </c>
      <c r="AW98" s="33">
        <v>-374</v>
      </c>
      <c r="AX98" s="33">
        <v>-478</v>
      </c>
      <c r="AY98" s="33">
        <v>-795</v>
      </c>
    </row>
    <row r="99" spans="2:51" x14ac:dyDescent="0.2">
      <c r="B99" s="32" t="s">
        <v>253</v>
      </c>
      <c r="C99" s="33">
        <v>-852</v>
      </c>
      <c r="D99" s="33">
        <f t="shared" si="10"/>
        <v>-565</v>
      </c>
      <c r="E99" s="33">
        <f t="shared" si="10"/>
        <v>-357</v>
      </c>
      <c r="F99" s="33">
        <v>506</v>
      </c>
      <c r="G99" s="33">
        <v>-776</v>
      </c>
      <c r="H99" s="33">
        <f t="shared" si="11"/>
        <v>-1112</v>
      </c>
      <c r="I99" s="33">
        <f t="shared" si="11"/>
        <v>-518</v>
      </c>
      <c r="J99" s="33">
        <f t="shared" si="11"/>
        <v>-420</v>
      </c>
      <c r="K99" s="33">
        <v>-437</v>
      </c>
      <c r="L99" s="33">
        <f t="shared" si="11"/>
        <v>-336</v>
      </c>
      <c r="M99" s="33">
        <f t="shared" si="11"/>
        <v>-147</v>
      </c>
      <c r="N99" s="33">
        <f t="shared" si="11"/>
        <v>-1622</v>
      </c>
      <c r="O99" s="33">
        <v>-986</v>
      </c>
      <c r="P99" s="33">
        <f t="shared" si="11"/>
        <v>-624</v>
      </c>
      <c r="Q99" s="33">
        <f t="shared" si="11"/>
        <v>-1122</v>
      </c>
      <c r="R99" s="33">
        <f t="shared" si="11"/>
        <v>-1359</v>
      </c>
      <c r="S99" s="33">
        <v>-636</v>
      </c>
      <c r="U99" s="33">
        <v>-6279</v>
      </c>
      <c r="V99" s="33">
        <v>-6257</v>
      </c>
      <c r="W99" s="33">
        <v>-3302</v>
      </c>
      <c r="X99" s="33">
        <v>-2826</v>
      </c>
      <c r="Y99" s="33">
        <v>-2542</v>
      </c>
      <c r="Z99" s="33">
        <v>-4091</v>
      </c>
      <c r="AJ99" s="33">
        <v>-852</v>
      </c>
      <c r="AK99" s="33">
        <v>-1417</v>
      </c>
      <c r="AL99" s="33">
        <v>-1774</v>
      </c>
      <c r="AM99" s="33">
        <v>506</v>
      </c>
      <c r="AN99" s="33">
        <v>-776</v>
      </c>
      <c r="AO99" s="33">
        <v>-1888</v>
      </c>
      <c r="AP99" s="33">
        <v>-2406</v>
      </c>
      <c r="AQ99" s="33">
        <v>-2826</v>
      </c>
      <c r="AR99" s="33">
        <v>-437</v>
      </c>
      <c r="AS99" s="33">
        <v>-773</v>
      </c>
      <c r="AT99" s="33">
        <v>-920</v>
      </c>
      <c r="AU99" s="33">
        <v>-2542</v>
      </c>
      <c r="AV99" s="33">
        <v>-986</v>
      </c>
      <c r="AW99" s="33">
        <v>-1610</v>
      </c>
      <c r="AX99" s="33">
        <v>-2732</v>
      </c>
      <c r="AY99" s="33">
        <v>-4091</v>
      </c>
    </row>
    <row r="100" spans="2:51" x14ac:dyDescent="0.2">
      <c r="B100" s="32" t="s">
        <v>254</v>
      </c>
      <c r="C100" s="33">
        <v>1738</v>
      </c>
      <c r="D100" s="33">
        <f t="shared" si="10"/>
        <v>1251</v>
      </c>
      <c r="E100" s="33">
        <f t="shared" si="10"/>
        <v>742</v>
      </c>
      <c r="F100" s="33">
        <v>-1528</v>
      </c>
      <c r="G100" s="33">
        <v>599</v>
      </c>
      <c r="H100" s="33">
        <f t="shared" si="11"/>
        <v>697</v>
      </c>
      <c r="I100" s="33">
        <f t="shared" si="11"/>
        <v>495</v>
      </c>
      <c r="J100" s="33">
        <f t="shared" si="11"/>
        <v>515</v>
      </c>
      <c r="K100" s="33">
        <v>593</v>
      </c>
      <c r="L100" s="33">
        <f t="shared" si="11"/>
        <v>962</v>
      </c>
      <c r="M100" s="33">
        <f t="shared" si="11"/>
        <v>1439</v>
      </c>
      <c r="N100" s="33">
        <f t="shared" si="11"/>
        <v>355</v>
      </c>
      <c r="O100" s="33">
        <v>375</v>
      </c>
      <c r="P100" s="33">
        <f t="shared" si="11"/>
        <v>470</v>
      </c>
      <c r="Q100" s="33">
        <f t="shared" si="11"/>
        <v>1045</v>
      </c>
      <c r="R100" s="33">
        <f t="shared" si="11"/>
        <v>1135</v>
      </c>
      <c r="S100" s="33">
        <v>1138</v>
      </c>
      <c r="U100" s="33">
        <v>4250</v>
      </c>
      <c r="V100" s="33">
        <v>6843</v>
      </c>
      <c r="W100" s="33">
        <v>4237</v>
      </c>
      <c r="X100" s="33">
        <v>2306</v>
      </c>
      <c r="Y100" s="33">
        <v>3349</v>
      </c>
      <c r="Z100" s="33">
        <v>3025</v>
      </c>
      <c r="AJ100" s="33">
        <v>1738</v>
      </c>
      <c r="AK100" s="33">
        <v>2989</v>
      </c>
      <c r="AL100" s="33">
        <v>3731</v>
      </c>
      <c r="AM100" s="33">
        <v>-1528</v>
      </c>
      <c r="AN100" s="33">
        <v>599</v>
      </c>
      <c r="AO100" s="33">
        <v>1296</v>
      </c>
      <c r="AP100" s="33">
        <v>1791</v>
      </c>
      <c r="AQ100" s="33">
        <v>2306</v>
      </c>
      <c r="AR100" s="33">
        <v>593</v>
      </c>
      <c r="AS100" s="33">
        <v>1555</v>
      </c>
      <c r="AT100" s="33">
        <v>2994</v>
      </c>
      <c r="AU100" s="33">
        <v>3349</v>
      </c>
      <c r="AV100" s="33">
        <v>375</v>
      </c>
      <c r="AW100" s="33">
        <v>845</v>
      </c>
      <c r="AX100" s="33">
        <v>1890</v>
      </c>
      <c r="AY100" s="33">
        <v>3025</v>
      </c>
    </row>
    <row r="101" spans="2:51" x14ac:dyDescent="0.2">
      <c r="B101" s="31" t="s">
        <v>255</v>
      </c>
      <c r="C101" s="34">
        <f>SUM(C97:C100)</f>
        <v>450</v>
      </c>
      <c r="D101" s="34">
        <f t="shared" ref="D101:E101" si="12">SUM(D97:D100)</f>
        <v>-594</v>
      </c>
      <c r="E101" s="34">
        <f t="shared" si="12"/>
        <v>-369</v>
      </c>
      <c r="F101" s="34">
        <f>SUM(F97:F100)</f>
        <v>-3082</v>
      </c>
      <c r="G101" s="34">
        <f t="shared" ref="G101:S101" si="13">SUM(G97:G100)</f>
        <v>-950</v>
      </c>
      <c r="H101" s="34">
        <f t="shared" si="13"/>
        <v>-1419</v>
      </c>
      <c r="I101" s="34">
        <f t="shared" ref="I101:J101" si="14">SUM(I97:I100)</f>
        <v>-1063</v>
      </c>
      <c r="J101" s="34">
        <f t="shared" si="14"/>
        <v>-844</v>
      </c>
      <c r="K101" s="34">
        <f t="shared" si="13"/>
        <v>-924</v>
      </c>
      <c r="L101" s="34">
        <f t="shared" si="13"/>
        <v>-664</v>
      </c>
      <c r="M101" s="34">
        <f t="shared" si="13"/>
        <v>-946</v>
      </c>
      <c r="N101" s="34">
        <f t="shared" si="13"/>
        <v>-2465</v>
      </c>
      <c r="O101" s="34">
        <f t="shared" si="13"/>
        <v>-1847</v>
      </c>
      <c r="P101" s="34">
        <f t="shared" si="13"/>
        <v>-1376</v>
      </c>
      <c r="Q101" s="34">
        <f t="shared" si="13"/>
        <v>-1377</v>
      </c>
      <c r="R101" s="34">
        <f t="shared" si="13"/>
        <v>-1850</v>
      </c>
      <c r="S101" s="34">
        <f t="shared" si="13"/>
        <v>-693</v>
      </c>
      <c r="U101" s="34">
        <f t="shared" ref="U101:Z101" si="15">SUM(U97:U100)</f>
        <v>-3360</v>
      </c>
      <c r="V101" s="34">
        <f t="shared" si="15"/>
        <v>-1930</v>
      </c>
      <c r="W101" s="34">
        <f t="shared" si="15"/>
        <v>-3595</v>
      </c>
      <c r="X101" s="34">
        <f t="shared" si="15"/>
        <v>-4276</v>
      </c>
      <c r="Y101" s="34">
        <f t="shared" si="15"/>
        <v>-5065</v>
      </c>
      <c r="Z101" s="34">
        <f t="shared" si="15"/>
        <v>-6450</v>
      </c>
      <c r="AJ101" s="34">
        <v>450</v>
      </c>
      <c r="AK101" s="34">
        <v>-144</v>
      </c>
      <c r="AL101" s="34">
        <v>-513</v>
      </c>
      <c r="AM101" s="34">
        <f>SUM(AM97:AM100)</f>
        <v>-3082</v>
      </c>
      <c r="AN101" s="34">
        <f t="shared" ref="AN101:AY101" si="16">SUM(AN97:AN100)</f>
        <v>-950</v>
      </c>
      <c r="AO101" s="34">
        <f t="shared" si="16"/>
        <v>-2369</v>
      </c>
      <c r="AP101" s="34">
        <f t="shared" si="16"/>
        <v>-3432</v>
      </c>
      <c r="AQ101" s="34">
        <f t="shared" si="16"/>
        <v>-4276</v>
      </c>
      <c r="AR101" s="34">
        <f t="shared" si="16"/>
        <v>-924</v>
      </c>
      <c r="AS101" s="34">
        <f t="shared" si="16"/>
        <v>-1654</v>
      </c>
      <c r="AT101" s="34">
        <f t="shared" si="16"/>
        <v>-2600</v>
      </c>
      <c r="AU101" s="34">
        <f t="shared" si="16"/>
        <v>-5065</v>
      </c>
      <c r="AV101" s="34">
        <f t="shared" si="16"/>
        <v>-1847</v>
      </c>
      <c r="AW101" s="34">
        <f t="shared" si="16"/>
        <v>-3223</v>
      </c>
      <c r="AX101" s="34">
        <f t="shared" si="16"/>
        <v>-4600</v>
      </c>
      <c r="AY101" s="34">
        <f t="shared" si="16"/>
        <v>-6450</v>
      </c>
    </row>
    <row r="102" spans="2:51" x14ac:dyDescent="0.2">
      <c r="B102" s="32"/>
      <c r="C102" s="32"/>
      <c r="D102" s="41"/>
      <c r="E102" s="41"/>
      <c r="F102" s="32"/>
      <c r="G102" s="32"/>
      <c r="H102" s="41"/>
      <c r="I102" s="41"/>
      <c r="J102" s="41"/>
      <c r="K102" s="32"/>
      <c r="L102" s="41"/>
      <c r="M102" s="41"/>
      <c r="N102" s="41"/>
      <c r="O102" s="32"/>
      <c r="P102" s="41"/>
      <c r="Q102" s="41"/>
      <c r="R102" s="41"/>
      <c r="U102" s="32"/>
      <c r="V102" s="32"/>
      <c r="W102" s="32"/>
      <c r="X102" s="32"/>
      <c r="Y102" s="32"/>
      <c r="Z102" s="32"/>
      <c r="AJ102" s="32"/>
      <c r="AK102" s="32"/>
      <c r="AL102" s="32"/>
      <c r="AM102" s="32"/>
      <c r="AN102" s="32"/>
      <c r="AO102" s="41">
        <f>AO101-AN101</f>
        <v>-1419</v>
      </c>
      <c r="AP102" s="41">
        <f t="shared" ref="AP102" si="17">AP101-AO101</f>
        <v>-1063</v>
      </c>
      <c r="AQ102" s="41">
        <f t="shared" ref="AQ102" si="18">AQ101-AP101</f>
        <v>-844</v>
      </c>
      <c r="AR102" s="32"/>
      <c r="AS102" s="32"/>
      <c r="AT102" s="32"/>
      <c r="AU102" s="32"/>
      <c r="AV102" s="32"/>
      <c r="AW102" s="32"/>
      <c r="AX102" s="32"/>
      <c r="AY102" s="32"/>
    </row>
    <row r="103" spans="2:51" x14ac:dyDescent="0.2">
      <c r="B103" s="31" t="s">
        <v>256</v>
      </c>
      <c r="C103" s="31"/>
      <c r="D103" s="32"/>
      <c r="E103" s="32"/>
      <c r="F103" s="32"/>
      <c r="G103" s="32"/>
      <c r="H103" s="32"/>
      <c r="I103" s="32"/>
      <c r="J103" s="32"/>
      <c r="K103" s="32"/>
      <c r="L103" s="32"/>
      <c r="M103" s="32"/>
      <c r="N103" s="32"/>
      <c r="O103" s="32"/>
      <c r="P103" s="32"/>
      <c r="Q103" s="32"/>
      <c r="R103" s="32"/>
      <c r="U103" s="32"/>
      <c r="V103" s="32"/>
      <c r="W103" s="32"/>
      <c r="X103" s="32"/>
      <c r="Y103" s="32"/>
      <c r="Z103" s="32"/>
      <c r="AJ103" s="32"/>
      <c r="AK103" s="32"/>
      <c r="AL103" s="32"/>
      <c r="AM103" s="32"/>
      <c r="AN103" s="32"/>
      <c r="AO103" s="32"/>
      <c r="AP103" s="32"/>
      <c r="AQ103" s="32"/>
      <c r="AR103" s="32"/>
      <c r="AS103" s="32"/>
      <c r="AT103" s="32"/>
      <c r="AU103" s="32"/>
      <c r="AV103" s="32"/>
      <c r="AW103" s="32"/>
      <c r="AX103" s="32"/>
      <c r="AY103" s="32"/>
    </row>
    <row r="104" spans="2:51" x14ac:dyDescent="0.2">
      <c r="B104" s="32" t="s">
        <v>257</v>
      </c>
      <c r="C104" s="33">
        <v>68</v>
      </c>
      <c r="D104" s="33">
        <f t="shared" ref="D104:E109" si="19">IFERROR(-(AJ104-AK104),"NA")</f>
        <v>122</v>
      </c>
      <c r="E104" s="33">
        <f t="shared" si="19"/>
        <v>110</v>
      </c>
      <c r="F104" s="33">
        <v>3083</v>
      </c>
      <c r="G104" s="33">
        <v>25</v>
      </c>
      <c r="H104" s="33">
        <f t="shared" ref="H104:R109" si="20">IFERROR(-(AN104-AO104),"NA")</f>
        <v>82</v>
      </c>
      <c r="I104" s="33">
        <f t="shared" si="20"/>
        <v>25</v>
      </c>
      <c r="J104" s="33">
        <f t="shared" si="20"/>
        <v>262</v>
      </c>
      <c r="K104" s="33">
        <v>65</v>
      </c>
      <c r="L104" s="33">
        <f t="shared" si="20"/>
        <v>286</v>
      </c>
      <c r="M104" s="33">
        <f t="shared" si="20"/>
        <v>28</v>
      </c>
      <c r="N104" s="33">
        <f t="shared" si="20"/>
        <v>5980</v>
      </c>
      <c r="O104" s="33">
        <v>183</v>
      </c>
      <c r="P104" s="33">
        <f t="shared" si="20"/>
        <v>43</v>
      </c>
      <c r="Q104" s="33">
        <f t="shared" si="20"/>
        <v>34</v>
      </c>
      <c r="R104" s="33">
        <f t="shared" si="20"/>
        <v>93</v>
      </c>
      <c r="S104" s="33">
        <v>9</v>
      </c>
      <c r="U104" s="33">
        <v>143</v>
      </c>
      <c r="V104" s="33">
        <v>177</v>
      </c>
      <c r="W104" s="33">
        <v>3378</v>
      </c>
      <c r="X104" s="33">
        <v>394</v>
      </c>
      <c r="Y104" s="33">
        <v>6359</v>
      </c>
      <c r="Z104" s="33">
        <v>353</v>
      </c>
      <c r="AJ104" s="33">
        <v>68</v>
      </c>
      <c r="AK104" s="33">
        <v>190</v>
      </c>
      <c r="AL104" s="33">
        <v>300</v>
      </c>
      <c r="AM104" s="33">
        <v>3083</v>
      </c>
      <c r="AN104" s="33">
        <v>25</v>
      </c>
      <c r="AO104" s="33">
        <v>107</v>
      </c>
      <c r="AP104" s="33">
        <v>132</v>
      </c>
      <c r="AQ104" s="33">
        <v>394</v>
      </c>
      <c r="AR104" s="33">
        <v>65</v>
      </c>
      <c r="AS104" s="33">
        <v>351</v>
      </c>
      <c r="AT104" s="33">
        <v>379</v>
      </c>
      <c r="AU104" s="33">
        <v>6359</v>
      </c>
      <c r="AV104" s="33">
        <v>183</v>
      </c>
      <c r="AW104" s="33">
        <v>226</v>
      </c>
      <c r="AX104" s="33">
        <v>260</v>
      </c>
      <c r="AY104" s="33">
        <v>353</v>
      </c>
    </row>
    <row r="105" spans="2:51" x14ac:dyDescent="0.2">
      <c r="B105" s="32" t="s">
        <v>258</v>
      </c>
      <c r="C105" s="33">
        <v>-153</v>
      </c>
      <c r="D105" s="33">
        <f t="shared" si="19"/>
        <v>-140</v>
      </c>
      <c r="E105" s="33">
        <f t="shared" si="19"/>
        <v>-144</v>
      </c>
      <c r="F105" s="33" t="s">
        <v>147</v>
      </c>
      <c r="G105" s="33" t="s">
        <v>147</v>
      </c>
      <c r="H105" s="33" t="str">
        <f t="shared" si="20"/>
        <v>NA</v>
      </c>
      <c r="I105" s="33" t="str">
        <f t="shared" si="20"/>
        <v>NA</v>
      </c>
      <c r="J105" s="33" t="str">
        <f t="shared" si="20"/>
        <v>NA</v>
      </c>
      <c r="K105" s="33">
        <v>-70</v>
      </c>
      <c r="L105" s="33">
        <f t="shared" si="20"/>
        <v>-177</v>
      </c>
      <c r="M105" s="33">
        <f t="shared" si="20"/>
        <v>-84</v>
      </c>
      <c r="N105" s="33">
        <f t="shared" si="20"/>
        <v>-182</v>
      </c>
      <c r="O105" s="33">
        <v>-316</v>
      </c>
      <c r="P105" s="33">
        <f t="shared" si="20"/>
        <v>-215</v>
      </c>
      <c r="Q105" s="33">
        <f t="shared" si="20"/>
        <v>-181</v>
      </c>
      <c r="R105" s="33">
        <f t="shared" si="20"/>
        <v>-940</v>
      </c>
      <c r="S105" s="33">
        <v>-175</v>
      </c>
      <c r="U105" s="33" t="s">
        <v>102</v>
      </c>
      <c r="V105" s="33" t="s">
        <v>102</v>
      </c>
      <c r="W105" s="33">
        <v>-82</v>
      </c>
      <c r="X105" s="33">
        <v>-231</v>
      </c>
      <c r="Y105" s="33">
        <v>-513</v>
      </c>
      <c r="Z105" s="33">
        <v>-1652</v>
      </c>
      <c r="AJ105" s="33">
        <v>-153</v>
      </c>
      <c r="AK105" s="33">
        <v>-293</v>
      </c>
      <c r="AL105" s="33">
        <v>-437</v>
      </c>
      <c r="AM105" s="33" t="s">
        <v>147</v>
      </c>
      <c r="AN105" s="33" t="s">
        <v>147</v>
      </c>
      <c r="AO105" s="33" t="s">
        <v>147</v>
      </c>
      <c r="AP105" s="33" t="s">
        <v>147</v>
      </c>
      <c r="AQ105" s="33">
        <v>-231</v>
      </c>
      <c r="AR105" s="33">
        <v>-70</v>
      </c>
      <c r="AS105" s="33">
        <v>-247</v>
      </c>
      <c r="AT105" s="33">
        <v>-331</v>
      </c>
      <c r="AU105" s="33">
        <v>-513</v>
      </c>
      <c r="AV105" s="33">
        <v>-316</v>
      </c>
      <c r="AW105" s="33">
        <v>-531</v>
      </c>
      <c r="AX105" s="33">
        <v>-712</v>
      </c>
      <c r="AY105" s="33">
        <v>-1652</v>
      </c>
    </row>
    <row r="106" spans="2:51" x14ac:dyDescent="0.2">
      <c r="B106" s="32" t="s">
        <v>259</v>
      </c>
      <c r="C106" s="33" t="s">
        <v>147</v>
      </c>
      <c r="D106" s="33" t="str">
        <f t="shared" si="19"/>
        <v>NA</v>
      </c>
      <c r="E106" s="33" t="str">
        <f t="shared" si="19"/>
        <v>NA</v>
      </c>
      <c r="F106" s="33">
        <v>-156</v>
      </c>
      <c r="G106" s="33">
        <v>-182</v>
      </c>
      <c r="H106" s="33">
        <f t="shared" si="20"/>
        <v>-291</v>
      </c>
      <c r="I106" s="33">
        <f t="shared" si="20"/>
        <v>-255</v>
      </c>
      <c r="J106" s="33">
        <f t="shared" si="20"/>
        <v>-47</v>
      </c>
      <c r="K106" s="33">
        <v>-249</v>
      </c>
      <c r="L106" s="33">
        <f t="shared" si="20"/>
        <v>-286</v>
      </c>
      <c r="M106" s="33">
        <f t="shared" si="20"/>
        <v>-343</v>
      </c>
      <c r="N106" s="33">
        <f t="shared" si="20"/>
        <v>-407</v>
      </c>
      <c r="O106" s="33">
        <v>-502</v>
      </c>
      <c r="P106" s="33">
        <f t="shared" si="20"/>
        <v>-580</v>
      </c>
      <c r="Q106" s="33">
        <f t="shared" si="20"/>
        <v>-656</v>
      </c>
      <c r="R106" s="33">
        <f t="shared" si="20"/>
        <v>-724</v>
      </c>
      <c r="S106" s="33">
        <v>-801</v>
      </c>
      <c r="U106" s="33">
        <v>-221</v>
      </c>
      <c r="V106" s="33">
        <v>-444</v>
      </c>
      <c r="W106" s="33">
        <v>-486</v>
      </c>
      <c r="X106" s="33">
        <v>-775</v>
      </c>
      <c r="Y106" s="33">
        <v>-1285</v>
      </c>
      <c r="Z106" s="33">
        <v>-2462</v>
      </c>
      <c r="AJ106" s="33" t="s">
        <v>147</v>
      </c>
      <c r="AK106" s="33" t="s">
        <v>147</v>
      </c>
      <c r="AL106" s="33" t="s">
        <v>147</v>
      </c>
      <c r="AM106" s="33">
        <v>-156</v>
      </c>
      <c r="AN106" s="33">
        <v>-182</v>
      </c>
      <c r="AO106" s="33">
        <v>-473</v>
      </c>
      <c r="AP106" s="33">
        <v>-728</v>
      </c>
      <c r="AQ106" s="33">
        <v>-775</v>
      </c>
      <c r="AR106" s="33">
        <v>-249</v>
      </c>
      <c r="AS106" s="33">
        <v>-535</v>
      </c>
      <c r="AT106" s="33">
        <v>-878</v>
      </c>
      <c r="AU106" s="33">
        <v>-1285</v>
      </c>
      <c r="AV106" s="33">
        <v>-502</v>
      </c>
      <c r="AW106" s="33">
        <v>-1082</v>
      </c>
      <c r="AX106" s="33">
        <v>-1738</v>
      </c>
      <c r="AY106" s="33">
        <v>-2462</v>
      </c>
    </row>
    <row r="107" spans="2:51" x14ac:dyDescent="0.2">
      <c r="B107" s="32" t="s">
        <v>260</v>
      </c>
      <c r="C107" s="33" t="s">
        <v>147</v>
      </c>
      <c r="D107" s="33">
        <v>0</v>
      </c>
      <c r="E107" s="33">
        <v>0</v>
      </c>
      <c r="F107" s="33">
        <v>0</v>
      </c>
      <c r="G107" s="33">
        <v>0</v>
      </c>
      <c r="H107" s="33">
        <v>0</v>
      </c>
      <c r="I107" s="33">
        <v>0</v>
      </c>
      <c r="J107" s="33">
        <v>0</v>
      </c>
      <c r="K107" s="33">
        <v>-42</v>
      </c>
      <c r="L107" s="33">
        <f t="shared" si="20"/>
        <v>-12</v>
      </c>
      <c r="M107" s="33">
        <f t="shared" si="20"/>
        <v>-14</v>
      </c>
      <c r="N107" s="33">
        <f t="shared" si="20"/>
        <v>-67</v>
      </c>
      <c r="O107" s="33">
        <v>-39</v>
      </c>
      <c r="P107" s="33">
        <f t="shared" si="20"/>
        <v>-35</v>
      </c>
      <c r="Q107" s="33">
        <f t="shared" si="20"/>
        <v>-21</v>
      </c>
      <c r="R107" s="33">
        <f t="shared" si="20"/>
        <v>-26</v>
      </c>
      <c r="S107" s="33">
        <v>-29</v>
      </c>
      <c r="U107" s="33">
        <v>0</v>
      </c>
      <c r="V107" s="33">
        <v>0</v>
      </c>
      <c r="W107" s="33">
        <v>-20</v>
      </c>
      <c r="X107" s="33">
        <v>-5</v>
      </c>
      <c r="Y107" s="33">
        <v>-135</v>
      </c>
      <c r="Z107" s="33">
        <v>-121</v>
      </c>
      <c r="AJ107" s="33" t="s">
        <v>147</v>
      </c>
      <c r="AK107" s="33" t="s">
        <v>147</v>
      </c>
      <c r="AL107" s="33" t="s">
        <v>147</v>
      </c>
      <c r="AM107" s="33" t="s">
        <v>147</v>
      </c>
      <c r="AN107" s="33" t="s">
        <v>147</v>
      </c>
      <c r="AO107" s="33" t="s">
        <v>147</v>
      </c>
      <c r="AP107" s="33" t="s">
        <v>147</v>
      </c>
      <c r="AQ107" s="33">
        <v>-5</v>
      </c>
      <c r="AR107" s="33">
        <v>-42</v>
      </c>
      <c r="AS107" s="33">
        <v>-54</v>
      </c>
      <c r="AT107" s="33">
        <v>-68</v>
      </c>
      <c r="AU107" s="33">
        <v>-135</v>
      </c>
      <c r="AV107" s="33">
        <v>-39</v>
      </c>
      <c r="AW107" s="33">
        <v>-74</v>
      </c>
      <c r="AX107" s="33">
        <v>-95</v>
      </c>
      <c r="AY107" s="33">
        <v>-121</v>
      </c>
    </row>
    <row r="108" spans="2:51" x14ac:dyDescent="0.2">
      <c r="B108" s="32" t="s">
        <v>261</v>
      </c>
      <c r="C108" s="33">
        <v>-960</v>
      </c>
      <c r="D108" s="33">
        <f t="shared" si="19"/>
        <v>0</v>
      </c>
      <c r="E108" s="33">
        <v>0</v>
      </c>
      <c r="F108" s="33">
        <v>0</v>
      </c>
      <c r="G108" s="33">
        <v>0</v>
      </c>
      <c r="H108" s="33">
        <v>0</v>
      </c>
      <c r="I108" s="33">
        <v>0</v>
      </c>
      <c r="J108" s="33">
        <v>0</v>
      </c>
      <c r="K108" s="33">
        <v>0</v>
      </c>
      <c r="L108" s="33">
        <v>0</v>
      </c>
      <c r="M108" s="33">
        <v>0</v>
      </c>
      <c r="N108" s="33">
        <v>0</v>
      </c>
      <c r="O108" s="33">
        <v>0</v>
      </c>
      <c r="P108" s="33">
        <v>0</v>
      </c>
      <c r="Q108" s="33">
        <v>0</v>
      </c>
      <c r="R108" s="33">
        <v>0</v>
      </c>
      <c r="S108" s="33">
        <v>0</v>
      </c>
      <c r="U108" s="33">
        <v>0</v>
      </c>
      <c r="V108" s="33">
        <v>-277</v>
      </c>
      <c r="W108" s="33">
        <v>-960</v>
      </c>
      <c r="X108" s="33">
        <v>0</v>
      </c>
      <c r="Y108" s="33">
        <v>0</v>
      </c>
      <c r="Z108" s="33">
        <v>0</v>
      </c>
      <c r="AJ108" s="33">
        <v>-960</v>
      </c>
      <c r="AK108" s="33">
        <v>-960</v>
      </c>
      <c r="AL108" s="33">
        <v>-960</v>
      </c>
      <c r="AM108" s="33" t="s">
        <v>147</v>
      </c>
      <c r="AN108" s="33" t="s">
        <v>147</v>
      </c>
      <c r="AO108" s="33" t="s">
        <v>147</v>
      </c>
      <c r="AP108" s="33" t="s">
        <v>147</v>
      </c>
      <c r="AQ108" s="33" t="s">
        <v>147</v>
      </c>
      <c r="AR108" s="33" t="s">
        <v>147</v>
      </c>
      <c r="AS108" s="33" t="s">
        <v>147</v>
      </c>
      <c r="AT108" s="33" t="s">
        <v>147</v>
      </c>
      <c r="AU108" s="33" t="s">
        <v>147</v>
      </c>
      <c r="AV108" s="33" t="s">
        <v>147</v>
      </c>
      <c r="AW108" s="33" t="s">
        <v>147</v>
      </c>
      <c r="AX108" s="33" t="s">
        <v>147</v>
      </c>
      <c r="AY108" s="33" t="s">
        <v>147</v>
      </c>
    </row>
    <row r="109" spans="2:51" x14ac:dyDescent="0.2">
      <c r="B109" s="32" t="s">
        <v>262</v>
      </c>
      <c r="C109" s="33">
        <v>40</v>
      </c>
      <c r="D109" s="33">
        <f t="shared" si="19"/>
        <v>85</v>
      </c>
      <c r="E109" s="33">
        <f t="shared" si="19"/>
        <v>65</v>
      </c>
      <c r="F109" s="33">
        <v>239</v>
      </c>
      <c r="G109" s="33">
        <v>0</v>
      </c>
      <c r="H109" s="33">
        <v>0</v>
      </c>
      <c r="I109" s="33">
        <v>0</v>
      </c>
      <c r="J109" s="33">
        <v>-236</v>
      </c>
      <c r="K109" s="33">
        <v>121</v>
      </c>
      <c r="L109" s="33">
        <v>-67</v>
      </c>
      <c r="M109" s="33">
        <f t="shared" ref="M109" si="21">IFERROR(-(AS109-AT109),"NA")</f>
        <v>0</v>
      </c>
      <c r="N109" s="33">
        <f t="shared" si="20"/>
        <v>-115</v>
      </c>
      <c r="O109" s="33">
        <v>22</v>
      </c>
      <c r="P109" s="33">
        <f t="shared" si="20"/>
        <v>95</v>
      </c>
      <c r="Q109" s="33">
        <f t="shared" si="20"/>
        <v>95</v>
      </c>
      <c r="R109" s="33">
        <f t="shared" si="20"/>
        <v>-93</v>
      </c>
      <c r="S109" s="33">
        <v>207</v>
      </c>
      <c r="U109" s="33">
        <v>259</v>
      </c>
      <c r="V109" s="33">
        <v>62</v>
      </c>
      <c r="W109" s="33">
        <v>429</v>
      </c>
      <c r="X109" s="33">
        <v>78</v>
      </c>
      <c r="Y109" s="33">
        <v>6</v>
      </c>
      <c r="Z109" s="33">
        <v>119</v>
      </c>
      <c r="AJ109" s="33">
        <v>40</v>
      </c>
      <c r="AK109" s="33">
        <v>125</v>
      </c>
      <c r="AL109" s="33">
        <v>190</v>
      </c>
      <c r="AM109" s="33">
        <v>239</v>
      </c>
      <c r="AN109" s="33" t="s">
        <v>147</v>
      </c>
      <c r="AO109" s="33" t="s">
        <v>147</v>
      </c>
      <c r="AP109" s="33" t="s">
        <v>147</v>
      </c>
      <c r="AQ109" s="33">
        <v>78</v>
      </c>
      <c r="AR109" s="33">
        <v>121</v>
      </c>
      <c r="AS109" s="33">
        <v>121</v>
      </c>
      <c r="AT109" s="33">
        <v>121</v>
      </c>
      <c r="AU109" s="33">
        <v>6</v>
      </c>
      <c r="AV109" s="33">
        <v>22</v>
      </c>
      <c r="AW109" s="33">
        <v>117</v>
      </c>
      <c r="AX109" s="33">
        <v>212</v>
      </c>
      <c r="AY109" s="33">
        <v>119</v>
      </c>
    </row>
    <row r="110" spans="2:51" x14ac:dyDescent="0.2">
      <c r="B110" s="31" t="s">
        <v>263</v>
      </c>
      <c r="C110" s="34">
        <v>-1005</v>
      </c>
      <c r="D110" s="34">
        <f t="shared" ref="D110:J110" si="22">SUM(D104:D109)</f>
        <v>67</v>
      </c>
      <c r="E110" s="34">
        <f t="shared" si="22"/>
        <v>31</v>
      </c>
      <c r="F110" s="34">
        <f t="shared" si="22"/>
        <v>3166</v>
      </c>
      <c r="G110" s="34">
        <f t="shared" si="22"/>
        <v>-157</v>
      </c>
      <c r="H110" s="34">
        <f t="shared" si="22"/>
        <v>-209</v>
      </c>
      <c r="I110" s="34">
        <f t="shared" si="22"/>
        <v>-230</v>
      </c>
      <c r="J110" s="34">
        <f t="shared" si="22"/>
        <v>-21</v>
      </c>
      <c r="K110" s="34">
        <f t="shared" ref="K110:O110" si="23">SUM(K104:K109)</f>
        <v>-175</v>
      </c>
      <c r="L110" s="34">
        <f>SUM(L104:L109)</f>
        <v>-256</v>
      </c>
      <c r="M110" s="34">
        <f>SUM(M104:M109)</f>
        <v>-413</v>
      </c>
      <c r="N110" s="34">
        <f>SUM(N104:N109)</f>
        <v>5209</v>
      </c>
      <c r="O110" s="34">
        <f t="shared" si="23"/>
        <v>-652</v>
      </c>
      <c r="P110" s="34">
        <f>SUM(P104:P109)</f>
        <v>-692</v>
      </c>
      <c r="Q110" s="34">
        <f>SUM(Q104:Q109)</f>
        <v>-729</v>
      </c>
      <c r="R110" s="34">
        <f>SUM(R104:R109)</f>
        <v>-1690</v>
      </c>
      <c r="S110" s="34">
        <f>SUM(S104:S109)</f>
        <v>-789</v>
      </c>
      <c r="U110" s="34">
        <f t="shared" ref="U110:Z110" si="24">SUM(U104:U109)</f>
        <v>181</v>
      </c>
      <c r="V110" s="34">
        <f t="shared" si="24"/>
        <v>-482</v>
      </c>
      <c r="W110" s="34">
        <f t="shared" si="24"/>
        <v>2259</v>
      </c>
      <c r="X110" s="34">
        <f t="shared" si="24"/>
        <v>-539</v>
      </c>
      <c r="Y110" s="34">
        <f t="shared" si="24"/>
        <v>4432</v>
      </c>
      <c r="Z110" s="34">
        <f t="shared" si="24"/>
        <v>-3763</v>
      </c>
      <c r="AJ110" s="34">
        <v>-1005</v>
      </c>
      <c r="AK110" s="34">
        <v>-938</v>
      </c>
      <c r="AL110" s="34">
        <v>-907</v>
      </c>
      <c r="AM110" s="34">
        <f>SUM(AM104:AM109)</f>
        <v>3166</v>
      </c>
      <c r="AN110" s="34">
        <f>SUM(AN104:AN109)</f>
        <v>-157</v>
      </c>
      <c r="AO110" s="34">
        <f>SUM(AO104:AO109)</f>
        <v>-366</v>
      </c>
      <c r="AP110" s="34">
        <f t="shared" ref="AP110:AY110" si="25">SUM(AP104:AP109)</f>
        <v>-596</v>
      </c>
      <c r="AQ110" s="34">
        <f t="shared" si="25"/>
        <v>-539</v>
      </c>
      <c r="AR110" s="34">
        <f t="shared" si="25"/>
        <v>-175</v>
      </c>
      <c r="AS110" s="34">
        <f t="shared" si="25"/>
        <v>-364</v>
      </c>
      <c r="AT110" s="34">
        <f t="shared" si="25"/>
        <v>-777</v>
      </c>
      <c r="AU110" s="34">
        <f t="shared" si="25"/>
        <v>4432</v>
      </c>
      <c r="AV110" s="34">
        <f t="shared" si="25"/>
        <v>-652</v>
      </c>
      <c r="AW110" s="34">
        <f t="shared" si="25"/>
        <v>-1344</v>
      </c>
      <c r="AX110" s="34">
        <f t="shared" si="25"/>
        <v>-2073</v>
      </c>
      <c r="AY110" s="34">
        <f t="shared" si="25"/>
        <v>-3763</v>
      </c>
    </row>
    <row r="111" spans="2:51" x14ac:dyDescent="0.2">
      <c r="B111" s="32"/>
      <c r="C111" s="32"/>
      <c r="D111" s="41"/>
      <c r="E111" s="41"/>
      <c r="F111" s="32"/>
      <c r="G111" s="32"/>
      <c r="H111" s="41"/>
      <c r="I111" s="41"/>
      <c r="J111" s="41"/>
      <c r="K111" s="41"/>
      <c r="L111" s="41"/>
      <c r="M111" s="41"/>
      <c r="N111" s="41"/>
      <c r="O111" s="32"/>
      <c r="P111" s="41"/>
      <c r="Q111" s="41"/>
      <c r="R111" s="41"/>
      <c r="U111" s="32"/>
      <c r="V111" s="32"/>
      <c r="W111" s="32"/>
      <c r="X111" s="32"/>
      <c r="Y111" s="32"/>
      <c r="Z111" s="32"/>
      <c r="AJ111" s="32"/>
      <c r="AK111" s="32"/>
      <c r="AL111" s="32"/>
      <c r="AM111" s="32"/>
      <c r="AN111" s="32"/>
      <c r="AO111" s="41"/>
      <c r="AP111" s="41"/>
      <c r="AQ111" s="41"/>
      <c r="AR111" s="41"/>
      <c r="AS111" s="32"/>
      <c r="AT111" s="32"/>
      <c r="AU111" s="32"/>
      <c r="AV111" s="32"/>
      <c r="AW111" s="32"/>
      <c r="AX111" s="32"/>
      <c r="AY111" s="32"/>
    </row>
    <row r="112" spans="2:51" x14ac:dyDescent="0.2">
      <c r="B112" s="31" t="s">
        <v>264</v>
      </c>
      <c r="C112" s="32"/>
      <c r="D112" s="32"/>
      <c r="E112" s="32"/>
      <c r="F112" s="32"/>
      <c r="G112" s="32"/>
      <c r="H112" s="32"/>
      <c r="I112" s="32"/>
      <c r="J112" s="32"/>
      <c r="K112" s="32"/>
      <c r="L112" s="32"/>
      <c r="M112" s="32"/>
      <c r="N112" s="32"/>
      <c r="O112" s="32"/>
      <c r="P112" s="32"/>
      <c r="Q112" s="32"/>
      <c r="R112" s="32"/>
      <c r="U112" s="32"/>
      <c r="V112" s="32"/>
      <c r="W112" s="32"/>
      <c r="X112" s="32"/>
      <c r="Y112" s="32"/>
      <c r="Z112" s="32"/>
      <c r="AJ112" s="32"/>
      <c r="AK112" s="32"/>
      <c r="AL112" s="32"/>
      <c r="AM112" s="32"/>
      <c r="AN112" s="32"/>
      <c r="AO112" s="32"/>
      <c r="AP112" s="32"/>
      <c r="AQ112" s="32"/>
      <c r="AR112" s="32"/>
      <c r="AS112" s="32"/>
      <c r="AT112" s="32"/>
      <c r="AU112" s="32"/>
      <c r="AV112" s="32"/>
      <c r="AW112" s="32"/>
      <c r="AX112" s="32"/>
      <c r="AY112" s="32"/>
    </row>
    <row r="113" spans="1:51" x14ac:dyDescent="0.2">
      <c r="B113" s="32" t="s">
        <v>265</v>
      </c>
      <c r="C113" s="33">
        <v>12</v>
      </c>
      <c r="D113" s="33">
        <f t="shared" ref="D113:E113" si="26">IFERROR(-(AJ113-AK113),"NA")</f>
        <v>-20</v>
      </c>
      <c r="E113" s="33">
        <f t="shared" si="26"/>
        <v>40</v>
      </c>
      <c r="F113" s="33">
        <v>-61</v>
      </c>
      <c r="G113" s="33">
        <v>-124</v>
      </c>
      <c r="H113" s="33">
        <f t="shared" ref="H113:R113" si="27">IFERROR(-(AN113-AO113),"NA")</f>
        <v>-29</v>
      </c>
      <c r="I113" s="33">
        <f t="shared" si="27"/>
        <v>72</v>
      </c>
      <c r="J113" s="33">
        <f t="shared" si="27"/>
        <v>-5</v>
      </c>
      <c r="K113" s="33">
        <v>17</v>
      </c>
      <c r="L113" s="33">
        <f t="shared" si="27"/>
        <v>40</v>
      </c>
      <c r="M113" s="33">
        <f t="shared" si="27"/>
        <v>-207</v>
      </c>
      <c r="N113" s="33">
        <f t="shared" si="27"/>
        <v>-160</v>
      </c>
      <c r="O113" s="33">
        <v>-322</v>
      </c>
      <c r="P113" s="33">
        <f t="shared" si="27"/>
        <v>103</v>
      </c>
      <c r="Q113" s="33">
        <f t="shared" si="27"/>
        <v>-64</v>
      </c>
      <c r="R113" s="33">
        <f t="shared" si="27"/>
        <v>-91</v>
      </c>
      <c r="S113" s="33">
        <v>222</v>
      </c>
      <c r="U113" s="33">
        <v>17</v>
      </c>
      <c r="V113" s="33">
        <v>1</v>
      </c>
      <c r="W113" s="33">
        <v>-29</v>
      </c>
      <c r="X113" s="33">
        <v>-86</v>
      </c>
      <c r="Y113" s="33">
        <v>-310</v>
      </c>
      <c r="Z113" s="33">
        <v>-374</v>
      </c>
      <c r="AJ113" s="33">
        <v>12</v>
      </c>
      <c r="AK113" s="33">
        <v>-8</v>
      </c>
      <c r="AL113" s="33">
        <v>32</v>
      </c>
      <c r="AM113" s="33">
        <v>-61</v>
      </c>
      <c r="AN113" s="33">
        <v>-124</v>
      </c>
      <c r="AO113" s="33">
        <v>-153</v>
      </c>
      <c r="AP113" s="33">
        <v>-81</v>
      </c>
      <c r="AQ113" s="33">
        <v>-86</v>
      </c>
      <c r="AR113" s="33">
        <v>17</v>
      </c>
      <c r="AS113" s="33">
        <v>57</v>
      </c>
      <c r="AT113" s="33">
        <v>-150</v>
      </c>
      <c r="AU113" s="33">
        <v>-310</v>
      </c>
      <c r="AV113" s="33">
        <v>-322</v>
      </c>
      <c r="AW113" s="33">
        <v>-219</v>
      </c>
      <c r="AX113" s="33">
        <v>-283</v>
      </c>
      <c r="AY113" s="33">
        <v>-374</v>
      </c>
    </row>
    <row r="114" spans="1:51" x14ac:dyDescent="0.2">
      <c r="B114" s="32" t="s">
        <v>266</v>
      </c>
      <c r="C114" s="33">
        <v>-2981</v>
      </c>
      <c r="D114" s="33">
        <f t="shared" ref="D114:E114" si="28">D94+D101+D110+D113</f>
        <v>47</v>
      </c>
      <c r="E114" s="33">
        <f t="shared" si="28"/>
        <v>645</v>
      </c>
      <c r="F114" s="33">
        <f t="shared" ref="F114:S114" si="29">F94+F101+F110+F113</f>
        <v>5104</v>
      </c>
      <c r="G114" s="33">
        <f t="shared" si="29"/>
        <v>-3603</v>
      </c>
      <c r="H114" s="33">
        <f t="shared" si="29"/>
        <v>-777</v>
      </c>
      <c r="I114" s="33">
        <f t="shared" si="29"/>
        <v>167</v>
      </c>
      <c r="J114" s="33">
        <f t="shared" si="29"/>
        <v>4786</v>
      </c>
      <c r="K114" s="33">
        <f t="shared" si="29"/>
        <v>-3584</v>
      </c>
      <c r="L114" s="33">
        <f t="shared" si="29"/>
        <v>-17</v>
      </c>
      <c r="M114" s="33">
        <f t="shared" si="29"/>
        <v>201</v>
      </c>
      <c r="N114" s="33">
        <f t="shared" si="29"/>
        <v>9299</v>
      </c>
      <c r="O114" s="33">
        <f t="shared" si="29"/>
        <v>-4320</v>
      </c>
      <c r="P114" s="33">
        <f t="shared" si="29"/>
        <v>32</v>
      </c>
      <c r="Q114" s="33">
        <f t="shared" si="29"/>
        <v>440</v>
      </c>
      <c r="R114" s="33">
        <f t="shared" si="29"/>
        <v>5181</v>
      </c>
      <c r="S114" s="33">
        <f t="shared" si="29"/>
        <v>-3420</v>
      </c>
      <c r="U114" s="33">
        <v>333</v>
      </c>
      <c r="V114" s="33">
        <v>1492</v>
      </c>
      <c r="W114" s="33">
        <v>2815</v>
      </c>
      <c r="X114" s="33">
        <v>574</v>
      </c>
      <c r="Y114" s="33">
        <v>5899</v>
      </c>
      <c r="Z114" s="33">
        <v>1333</v>
      </c>
      <c r="AJ114" s="33">
        <v>-2981</v>
      </c>
      <c r="AK114" s="33">
        <v>-2934</v>
      </c>
      <c r="AL114" s="33">
        <v>-2289</v>
      </c>
      <c r="AM114" s="33">
        <f t="shared" ref="AM114:AY114" si="30">AM94+AM101+AM110+AM113</f>
        <v>5104</v>
      </c>
      <c r="AN114" s="33">
        <f t="shared" si="30"/>
        <v>-3603</v>
      </c>
      <c r="AO114" s="33">
        <f t="shared" si="30"/>
        <v>-4380</v>
      </c>
      <c r="AP114" s="33">
        <f t="shared" si="30"/>
        <v>-4212</v>
      </c>
      <c r="AQ114" s="33">
        <f t="shared" si="30"/>
        <v>574</v>
      </c>
      <c r="AR114" s="33">
        <f t="shared" si="30"/>
        <v>-3584</v>
      </c>
      <c r="AS114" s="33">
        <f t="shared" si="30"/>
        <v>-3601</v>
      </c>
      <c r="AT114" s="33">
        <f t="shared" si="30"/>
        <v>-3400</v>
      </c>
      <c r="AU114" s="33">
        <f t="shared" si="30"/>
        <v>5899</v>
      </c>
      <c r="AV114" s="33">
        <f t="shared" si="30"/>
        <v>-4320</v>
      </c>
      <c r="AW114" s="33">
        <f t="shared" si="30"/>
        <v>-4288</v>
      </c>
      <c r="AX114" s="33">
        <f t="shared" si="30"/>
        <v>-3848</v>
      </c>
      <c r="AY114" s="33">
        <f t="shared" si="30"/>
        <v>1333</v>
      </c>
    </row>
    <row r="115" spans="1:51" x14ac:dyDescent="0.2">
      <c r="C115" s="34"/>
    </row>
    <row r="117" spans="1:51" x14ac:dyDescent="0.2">
      <c r="A117" s="55" t="s">
        <v>267</v>
      </c>
    </row>
    <row r="118" spans="1:51" s="17" customFormat="1" ht="25.5" customHeight="1" x14ac:dyDescent="0.2">
      <c r="B118" s="52" t="s">
        <v>268</v>
      </c>
      <c r="C118" s="52"/>
      <c r="D118" s="52"/>
      <c r="E118" s="52"/>
      <c r="F118" s="54" t="s">
        <v>269</v>
      </c>
      <c r="G118" s="54" t="s">
        <v>227</v>
      </c>
      <c r="H118" s="54" t="s">
        <v>270</v>
      </c>
      <c r="I118" s="54" t="s">
        <v>271</v>
      </c>
      <c r="J118" s="54" t="s">
        <v>272</v>
      </c>
      <c r="K118" s="54" t="s">
        <v>231</v>
      </c>
      <c r="L118" s="54" t="s">
        <v>273</v>
      </c>
      <c r="M118" s="54" t="s">
        <v>274</v>
      </c>
      <c r="N118" s="54" t="s">
        <v>275</v>
      </c>
      <c r="O118" s="54" t="s">
        <v>235</v>
      </c>
      <c r="P118" s="54" t="s">
        <v>276</v>
      </c>
      <c r="Q118" s="54" t="s">
        <v>277</v>
      </c>
      <c r="R118" s="54" t="s">
        <v>278</v>
      </c>
      <c r="S118" s="54" t="s">
        <v>302</v>
      </c>
      <c r="U118" s="54"/>
      <c r="V118" s="54"/>
      <c r="W118" s="54"/>
      <c r="X118" s="54"/>
      <c r="Y118" s="54"/>
      <c r="Z118" s="54"/>
    </row>
    <row r="119" spans="1:51" s="37" customFormat="1" ht="11" customHeight="1" x14ac:dyDescent="0.15">
      <c r="B119" s="36" t="s">
        <v>279</v>
      </c>
      <c r="C119" s="36"/>
      <c r="D119" s="36"/>
      <c r="E119" s="36"/>
    </row>
    <row r="120" spans="1:51" s="37" customFormat="1" ht="11" x14ac:dyDescent="0.15">
      <c r="B120" s="36" t="s">
        <v>81</v>
      </c>
      <c r="C120" s="36"/>
      <c r="D120" s="36"/>
      <c r="E120" s="36"/>
    </row>
    <row r="121" spans="1:51" s="37" customFormat="1" ht="11" x14ac:dyDescent="0.15">
      <c r="B121" s="38" t="s">
        <v>84</v>
      </c>
      <c r="C121" s="38"/>
      <c r="D121" s="38"/>
      <c r="E121" s="38"/>
      <c r="F121" s="37">
        <v>2903</v>
      </c>
      <c r="G121" s="39">
        <v>2513</v>
      </c>
      <c r="H121" s="37">
        <v>2173</v>
      </c>
      <c r="I121" s="37">
        <v>2609</v>
      </c>
      <c r="J121" s="37">
        <v>3513</v>
      </c>
      <c r="K121" s="39">
        <v>2825</v>
      </c>
      <c r="L121" s="37">
        <v>2464</v>
      </c>
      <c r="M121" s="37">
        <v>2734</v>
      </c>
      <c r="N121" s="37">
        <v>3544</v>
      </c>
      <c r="O121" s="39">
        <v>2969</v>
      </c>
      <c r="P121" s="37">
        <v>2620</v>
      </c>
      <c r="Q121" s="37">
        <v>2963</v>
      </c>
      <c r="R121" s="37">
        <v>3931</v>
      </c>
      <c r="S121" s="37">
        <v>3208</v>
      </c>
      <c r="T121" s="39"/>
      <c r="U121" s="37">
        <v>6881</v>
      </c>
      <c r="V121" s="37">
        <v>7959</v>
      </c>
      <c r="W121" s="37">
        <v>9189</v>
      </c>
      <c r="X121" s="37">
        <v>10809</v>
      </c>
      <c r="Y121" s="37">
        <v>11567</v>
      </c>
      <c r="Z121" s="37">
        <v>12483</v>
      </c>
    </row>
    <row r="122" spans="1:51" s="37" customFormat="1" ht="11" x14ac:dyDescent="0.15">
      <c r="B122" s="38" t="s">
        <v>280</v>
      </c>
      <c r="C122" s="38"/>
      <c r="D122" s="38"/>
      <c r="E122" s="38"/>
      <c r="F122" s="39">
        <v>8503</v>
      </c>
      <c r="G122" s="37">
        <v>6128</v>
      </c>
      <c r="H122" s="37">
        <v>6478</v>
      </c>
      <c r="I122" s="37">
        <v>6732</v>
      </c>
      <c r="J122" s="39">
        <v>10648</v>
      </c>
      <c r="K122" s="37">
        <v>7829</v>
      </c>
      <c r="L122" s="37">
        <v>8366</v>
      </c>
      <c r="M122" s="37">
        <v>8793</v>
      </c>
      <c r="N122" s="39">
        <v>13529</v>
      </c>
      <c r="O122" s="37">
        <v>10250</v>
      </c>
      <c r="P122" s="37">
        <v>10987</v>
      </c>
      <c r="Q122" s="37">
        <v>11840</v>
      </c>
      <c r="R122" s="39">
        <v>17325</v>
      </c>
      <c r="S122" s="39">
        <v>13511</v>
      </c>
      <c r="U122" s="37">
        <v>10998</v>
      </c>
      <c r="V122" s="37">
        <v>17315</v>
      </c>
      <c r="W122" s="37">
        <v>23273</v>
      </c>
      <c r="X122" s="37">
        <v>29985</v>
      </c>
      <c r="Y122" s="37">
        <v>38517</v>
      </c>
      <c r="Z122" s="39">
        <v>50401</v>
      </c>
    </row>
    <row r="123" spans="1:51" s="37" customFormat="1" ht="11" x14ac:dyDescent="0.15">
      <c r="B123" s="38" t="s">
        <v>281</v>
      </c>
      <c r="C123" s="38"/>
      <c r="D123" s="38"/>
      <c r="E123" s="38"/>
      <c r="F123" s="37">
        <v>769</v>
      </c>
      <c r="G123" s="37">
        <v>750</v>
      </c>
      <c r="H123" s="37">
        <v>844</v>
      </c>
      <c r="I123" s="37">
        <v>960</v>
      </c>
      <c r="J123" s="37">
        <v>1170</v>
      </c>
      <c r="K123" s="37">
        <v>154</v>
      </c>
      <c r="L123" s="37">
        <v>164</v>
      </c>
      <c r="M123" s="37">
        <v>172</v>
      </c>
      <c r="N123" s="37">
        <v>260</v>
      </c>
      <c r="O123" s="37">
        <v>187</v>
      </c>
      <c r="P123" s="37">
        <v>189</v>
      </c>
      <c r="Q123" s="39">
        <v>203</v>
      </c>
      <c r="R123" s="37">
        <v>245</v>
      </c>
      <c r="S123" s="37">
        <v>277</v>
      </c>
      <c r="U123" s="37">
        <v>828</v>
      </c>
      <c r="V123" s="37">
        <v>1431</v>
      </c>
      <c r="W123" s="37">
        <v>2351</v>
      </c>
      <c r="X123" s="37">
        <v>616</v>
      </c>
      <c r="Y123" s="37">
        <v>750</v>
      </c>
      <c r="Z123" s="37">
        <v>824</v>
      </c>
    </row>
    <row r="124" spans="1:51" s="36" customFormat="1" ht="11" x14ac:dyDescent="0.15">
      <c r="B124" s="36" t="s">
        <v>282</v>
      </c>
      <c r="F124" s="36">
        <f t="shared" ref="F124:S124" si="31">SUM(F121:F123)</f>
        <v>12175</v>
      </c>
      <c r="G124" s="36">
        <f t="shared" si="31"/>
        <v>9391</v>
      </c>
      <c r="H124" s="36">
        <f t="shared" si="31"/>
        <v>9495</v>
      </c>
      <c r="I124" s="36">
        <f t="shared" si="31"/>
        <v>10301</v>
      </c>
      <c r="J124" s="36">
        <f t="shared" si="31"/>
        <v>15331</v>
      </c>
      <c r="K124" s="36">
        <f t="shared" si="31"/>
        <v>10808</v>
      </c>
      <c r="L124" s="36">
        <f t="shared" si="31"/>
        <v>10994</v>
      </c>
      <c r="M124" s="36">
        <f t="shared" si="31"/>
        <v>11699</v>
      </c>
      <c r="N124" s="36">
        <f t="shared" si="31"/>
        <v>17333</v>
      </c>
      <c r="O124" s="36">
        <f t="shared" si="31"/>
        <v>13406</v>
      </c>
      <c r="P124" s="36">
        <f t="shared" si="31"/>
        <v>13796</v>
      </c>
      <c r="Q124" s="36">
        <f t="shared" si="31"/>
        <v>15006</v>
      </c>
      <c r="R124" s="36">
        <f t="shared" si="31"/>
        <v>21501</v>
      </c>
      <c r="S124" s="36">
        <f t="shared" si="31"/>
        <v>16996</v>
      </c>
      <c r="T124" s="40"/>
      <c r="U124" s="36">
        <f t="shared" ref="U124:Z124" si="32">SUM(U121:U123)</f>
        <v>18707</v>
      </c>
      <c r="V124" s="36">
        <f t="shared" si="32"/>
        <v>26705</v>
      </c>
      <c r="W124" s="36">
        <f t="shared" si="32"/>
        <v>34813</v>
      </c>
      <c r="X124" s="36">
        <f t="shared" si="32"/>
        <v>41410</v>
      </c>
      <c r="Y124" s="36">
        <f t="shared" si="32"/>
        <v>50834</v>
      </c>
      <c r="Z124" s="36">
        <f t="shared" si="32"/>
        <v>63708</v>
      </c>
    </row>
    <row r="125" spans="1:51" s="37" customFormat="1" ht="11" x14ac:dyDescent="0.15"/>
    <row r="126" spans="1:51" s="37" customFormat="1" ht="11" x14ac:dyDescent="0.15">
      <c r="B126" s="36" t="s">
        <v>83</v>
      </c>
      <c r="C126" s="36"/>
      <c r="D126" s="36"/>
      <c r="E126" s="36"/>
    </row>
    <row r="127" spans="1:51" s="37" customFormat="1" ht="11" x14ac:dyDescent="0.15">
      <c r="B127" s="38" t="s">
        <v>84</v>
      </c>
      <c r="C127" s="38"/>
      <c r="D127" s="38"/>
      <c r="E127" s="38"/>
      <c r="F127" s="37">
        <v>3611</v>
      </c>
      <c r="G127" s="39">
        <v>2545</v>
      </c>
      <c r="H127" s="37">
        <v>2224</v>
      </c>
      <c r="I127" s="37">
        <v>2424</v>
      </c>
      <c r="J127" s="37">
        <v>3714</v>
      </c>
      <c r="K127" s="39">
        <v>2642</v>
      </c>
      <c r="L127" s="37">
        <v>2380</v>
      </c>
      <c r="M127" s="37">
        <v>2510</v>
      </c>
      <c r="N127" s="37">
        <v>3406</v>
      </c>
      <c r="O127" s="39">
        <v>2320</v>
      </c>
      <c r="P127" s="37">
        <v>2094</v>
      </c>
      <c r="Q127" s="37">
        <v>2320</v>
      </c>
      <c r="R127" s="37">
        <v>3292</v>
      </c>
      <c r="S127" s="37">
        <v>2480</v>
      </c>
      <c r="T127" s="39"/>
      <c r="U127" s="37">
        <v>8007</v>
      </c>
      <c r="V127" s="37">
        <v>9820</v>
      </c>
      <c r="W127" s="37">
        <v>10753</v>
      </c>
      <c r="X127" s="37">
        <v>10907</v>
      </c>
      <c r="Y127" s="37">
        <v>10938</v>
      </c>
      <c r="Z127" s="37">
        <v>10026</v>
      </c>
    </row>
    <row r="128" spans="1:51" s="37" customFormat="1" ht="11" x14ac:dyDescent="0.15">
      <c r="B128" s="38" t="s">
        <v>280</v>
      </c>
      <c r="C128" s="38"/>
      <c r="D128" s="38"/>
      <c r="E128" s="38"/>
      <c r="F128" s="39">
        <v>5431</v>
      </c>
      <c r="G128" s="37">
        <v>4086</v>
      </c>
      <c r="H128" s="37">
        <v>3937</v>
      </c>
      <c r="I128" s="37">
        <v>4316</v>
      </c>
      <c r="J128" s="39">
        <v>6478</v>
      </c>
      <c r="K128" s="37">
        <v>5188</v>
      </c>
      <c r="L128" s="37">
        <v>4912</v>
      </c>
      <c r="M128" s="37">
        <v>5160</v>
      </c>
      <c r="N128" s="39">
        <v>7109</v>
      </c>
      <c r="O128" s="37">
        <v>5378</v>
      </c>
      <c r="P128" s="37">
        <v>5425</v>
      </c>
      <c r="Q128" s="39">
        <v>5901</v>
      </c>
      <c r="R128" s="39">
        <v>8491</v>
      </c>
      <c r="S128" s="39">
        <v>7034</v>
      </c>
      <c r="U128" s="37">
        <v>7365</v>
      </c>
      <c r="V128" s="37">
        <v>11397</v>
      </c>
      <c r="W128" s="37">
        <v>15355</v>
      </c>
      <c r="X128" s="37">
        <v>18817</v>
      </c>
      <c r="Y128" s="37">
        <v>22369</v>
      </c>
      <c r="Z128" s="39">
        <v>25196</v>
      </c>
    </row>
    <row r="129" spans="2:26" s="37" customFormat="1" ht="11" x14ac:dyDescent="0.15">
      <c r="B129" s="38" t="s">
        <v>281</v>
      </c>
      <c r="C129" s="38"/>
      <c r="D129" s="38"/>
      <c r="E129" s="38"/>
      <c r="F129" s="37">
        <v>51</v>
      </c>
      <c r="G129" s="37">
        <v>48</v>
      </c>
      <c r="H129" s="37">
        <v>48</v>
      </c>
      <c r="I129" s="37">
        <v>51</v>
      </c>
      <c r="J129" s="37">
        <v>64</v>
      </c>
      <c r="K129" s="37">
        <v>53</v>
      </c>
      <c r="L129" s="37">
        <v>49</v>
      </c>
      <c r="M129" s="37">
        <v>41</v>
      </c>
      <c r="N129" s="37">
        <v>60</v>
      </c>
      <c r="O129" s="37">
        <v>47</v>
      </c>
      <c r="P129" s="37">
        <v>46</v>
      </c>
      <c r="Q129" s="37">
        <v>46</v>
      </c>
      <c r="R129" s="37">
        <v>58</v>
      </c>
      <c r="S129" s="37">
        <v>52</v>
      </c>
      <c r="U129" s="37">
        <v>125</v>
      </c>
      <c r="V129" s="37">
        <v>155</v>
      </c>
      <c r="W129" s="37">
        <v>172</v>
      </c>
      <c r="X129" s="37">
        <v>210</v>
      </c>
      <c r="Y129" s="37">
        <v>203</v>
      </c>
      <c r="Z129" s="37">
        <v>196</v>
      </c>
    </row>
    <row r="130" spans="2:26" s="36" customFormat="1" ht="11" x14ac:dyDescent="0.15">
      <c r="B130" s="36" t="s">
        <v>283</v>
      </c>
      <c r="F130" s="36">
        <f t="shared" ref="F130:S130" si="33">SUM(F127:F129)</f>
        <v>9093</v>
      </c>
      <c r="G130" s="36">
        <f t="shared" si="33"/>
        <v>6679</v>
      </c>
      <c r="H130" s="36">
        <f t="shared" si="33"/>
        <v>6209</v>
      </c>
      <c r="I130" s="36">
        <f t="shared" si="33"/>
        <v>6791</v>
      </c>
      <c r="J130" s="36">
        <f t="shared" si="33"/>
        <v>10256</v>
      </c>
      <c r="K130" s="36">
        <f t="shared" si="33"/>
        <v>7883</v>
      </c>
      <c r="L130" s="36">
        <f t="shared" si="33"/>
        <v>7341</v>
      </c>
      <c r="M130" s="36">
        <f t="shared" si="33"/>
        <v>7711</v>
      </c>
      <c r="N130" s="36">
        <f t="shared" si="33"/>
        <v>10575</v>
      </c>
      <c r="O130" s="36">
        <f t="shared" si="33"/>
        <v>7745</v>
      </c>
      <c r="P130" s="36">
        <f t="shared" si="33"/>
        <v>7565</v>
      </c>
      <c r="Q130" s="36">
        <f t="shared" si="33"/>
        <v>8267</v>
      </c>
      <c r="R130" s="36">
        <f t="shared" si="33"/>
        <v>11841</v>
      </c>
      <c r="S130" s="36">
        <f t="shared" si="33"/>
        <v>9566</v>
      </c>
      <c r="T130" s="40"/>
      <c r="U130" s="36">
        <f t="shared" ref="U130:Z130" si="34">SUM(U127:U129)</f>
        <v>15497</v>
      </c>
      <c r="V130" s="36">
        <f t="shared" si="34"/>
        <v>21372</v>
      </c>
      <c r="W130" s="36">
        <f t="shared" si="34"/>
        <v>26280</v>
      </c>
      <c r="X130" s="36">
        <f t="shared" si="34"/>
        <v>29934</v>
      </c>
      <c r="Y130" s="36">
        <f t="shared" si="34"/>
        <v>33510</v>
      </c>
      <c r="Z130" s="36">
        <f t="shared" si="34"/>
        <v>35418</v>
      </c>
    </row>
    <row r="131" spans="2:26" s="36" customFormat="1" ht="11" x14ac:dyDescent="0.15">
      <c r="G131" s="40"/>
      <c r="K131" s="40"/>
      <c r="O131" s="40"/>
      <c r="S131" s="40"/>
      <c r="T131" s="40"/>
    </row>
    <row r="132" spans="2:26" s="36" customFormat="1" ht="11" x14ac:dyDescent="0.15">
      <c r="B132" s="36" t="s">
        <v>284</v>
      </c>
      <c r="G132" s="40"/>
      <c r="K132" s="40"/>
      <c r="O132" s="40"/>
      <c r="S132" s="40"/>
      <c r="T132" s="40"/>
    </row>
    <row r="133" spans="2:26" s="37" customFormat="1" ht="11" x14ac:dyDescent="0.15">
      <c r="B133" s="38" t="s">
        <v>84</v>
      </c>
      <c r="C133" s="38"/>
      <c r="D133" s="38"/>
      <c r="E133" s="38"/>
      <c r="F133" s="37">
        <f t="shared" ref="F133:R134" si="35">F121+F127</f>
        <v>6514</v>
      </c>
      <c r="G133" s="37">
        <f t="shared" si="35"/>
        <v>5058</v>
      </c>
      <c r="H133" s="37">
        <f t="shared" si="35"/>
        <v>4397</v>
      </c>
      <c r="I133" s="37">
        <f t="shared" si="35"/>
        <v>5033</v>
      </c>
      <c r="J133" s="37">
        <f t="shared" si="35"/>
        <v>7227</v>
      </c>
      <c r="K133" s="37">
        <f t="shared" si="35"/>
        <v>5467</v>
      </c>
      <c r="L133" s="37">
        <f t="shared" si="35"/>
        <v>4844</v>
      </c>
      <c r="M133" s="37">
        <f t="shared" si="35"/>
        <v>5244</v>
      </c>
      <c r="N133" s="37">
        <f t="shared" si="35"/>
        <v>6950</v>
      </c>
      <c r="O133" s="37">
        <f t="shared" si="35"/>
        <v>5289</v>
      </c>
      <c r="P133" s="37">
        <f t="shared" si="35"/>
        <v>4714</v>
      </c>
      <c r="Q133" s="37">
        <f t="shared" si="35"/>
        <v>5283</v>
      </c>
      <c r="R133" s="37">
        <f t="shared" si="35"/>
        <v>7223</v>
      </c>
      <c r="S133" s="37">
        <v>5688</v>
      </c>
      <c r="T133" s="39"/>
      <c r="U133" s="37">
        <f t="shared" ref="U133:Z134" si="36">U121+U127</f>
        <v>14888</v>
      </c>
      <c r="V133" s="37">
        <f t="shared" si="36"/>
        <v>17779</v>
      </c>
      <c r="W133" s="37">
        <f t="shared" si="36"/>
        <v>19942</v>
      </c>
      <c r="X133" s="37">
        <f t="shared" si="36"/>
        <v>21716</v>
      </c>
      <c r="Y133" s="37">
        <f t="shared" si="36"/>
        <v>22505</v>
      </c>
      <c r="Z133" s="37">
        <f t="shared" si="36"/>
        <v>22509</v>
      </c>
    </row>
    <row r="134" spans="2:26" s="37" customFormat="1" ht="11" x14ac:dyDescent="0.15">
      <c r="B134" s="38" t="s">
        <v>280</v>
      </c>
      <c r="C134" s="38"/>
      <c r="D134" s="38"/>
      <c r="E134" s="38"/>
      <c r="F134" s="39">
        <f t="shared" si="35"/>
        <v>13934</v>
      </c>
      <c r="G134" s="39">
        <f t="shared" si="35"/>
        <v>10214</v>
      </c>
      <c r="H134" s="39">
        <f t="shared" si="35"/>
        <v>10415</v>
      </c>
      <c r="I134" s="39">
        <f t="shared" si="35"/>
        <v>11048</v>
      </c>
      <c r="J134" s="39">
        <f t="shared" si="35"/>
        <v>17126</v>
      </c>
      <c r="K134" s="39">
        <f t="shared" si="35"/>
        <v>13017</v>
      </c>
      <c r="L134" s="39">
        <f t="shared" si="35"/>
        <v>13278</v>
      </c>
      <c r="M134" s="39">
        <f t="shared" si="35"/>
        <v>13953</v>
      </c>
      <c r="N134" s="39">
        <f t="shared" si="35"/>
        <v>20638</v>
      </c>
      <c r="O134" s="39">
        <f t="shared" si="35"/>
        <v>15628</v>
      </c>
      <c r="P134" s="39">
        <f t="shared" si="35"/>
        <v>16412</v>
      </c>
      <c r="Q134" s="39">
        <f t="shared" si="35"/>
        <v>17741</v>
      </c>
      <c r="R134" s="39">
        <f t="shared" si="35"/>
        <v>25816</v>
      </c>
      <c r="S134" s="39">
        <v>20545</v>
      </c>
      <c r="T134" s="39"/>
      <c r="U134" s="39">
        <f t="shared" si="36"/>
        <v>18363</v>
      </c>
      <c r="V134" s="39">
        <f t="shared" si="36"/>
        <v>28712</v>
      </c>
      <c r="W134" s="39">
        <f t="shared" si="36"/>
        <v>38628</v>
      </c>
      <c r="X134" s="39">
        <f t="shared" si="36"/>
        <v>48802</v>
      </c>
      <c r="Y134" s="39">
        <f t="shared" si="36"/>
        <v>60886</v>
      </c>
      <c r="Z134" s="39">
        <f t="shared" si="36"/>
        <v>75597</v>
      </c>
    </row>
    <row r="135" spans="2:26" s="37" customFormat="1" ht="11" x14ac:dyDescent="0.15">
      <c r="B135" s="38" t="s">
        <v>94</v>
      </c>
      <c r="C135" s="38"/>
      <c r="D135" s="38"/>
      <c r="E135" s="38"/>
      <c r="F135" s="347" t="s">
        <v>79</v>
      </c>
      <c r="G135" s="347" t="s">
        <v>79</v>
      </c>
      <c r="H135" s="347" t="s">
        <v>79</v>
      </c>
      <c r="I135" s="347" t="s">
        <v>79</v>
      </c>
      <c r="J135" s="347" t="s">
        <v>79</v>
      </c>
      <c r="K135" s="37">
        <v>1050</v>
      </c>
      <c r="L135" s="37">
        <v>1005</v>
      </c>
      <c r="M135" s="37">
        <v>1169</v>
      </c>
      <c r="N135" s="37">
        <v>1420</v>
      </c>
      <c r="O135" s="37">
        <v>1566</v>
      </c>
      <c r="P135" s="37">
        <v>1824</v>
      </c>
      <c r="Q135" s="37">
        <v>2085</v>
      </c>
      <c r="R135" s="37">
        <v>2405</v>
      </c>
      <c r="S135" s="37">
        <v>2566</v>
      </c>
      <c r="T135" s="39"/>
      <c r="U135" s="37" t="s">
        <v>79</v>
      </c>
      <c r="V135" s="37" t="s">
        <v>79</v>
      </c>
      <c r="W135" s="37" t="s">
        <v>79</v>
      </c>
      <c r="X135" s="37">
        <v>3108</v>
      </c>
      <c r="Y135" s="37">
        <v>4644</v>
      </c>
      <c r="Z135" s="37">
        <v>7880</v>
      </c>
    </row>
    <row r="136" spans="2:26" s="37" customFormat="1" ht="11" x14ac:dyDescent="0.15">
      <c r="B136" s="38" t="s">
        <v>281</v>
      </c>
      <c r="C136" s="38"/>
      <c r="D136" s="38"/>
      <c r="E136" s="38"/>
      <c r="F136" s="39">
        <f t="shared" ref="F136:R136" si="37">F123+F129</f>
        <v>820</v>
      </c>
      <c r="G136" s="39">
        <f t="shared" si="37"/>
        <v>798</v>
      </c>
      <c r="H136" s="39">
        <f t="shared" si="37"/>
        <v>892</v>
      </c>
      <c r="I136" s="39">
        <f t="shared" si="37"/>
        <v>1011</v>
      </c>
      <c r="J136" s="39">
        <f t="shared" si="37"/>
        <v>1234</v>
      </c>
      <c r="K136" s="39">
        <f t="shared" si="37"/>
        <v>207</v>
      </c>
      <c r="L136" s="39">
        <f t="shared" si="37"/>
        <v>213</v>
      </c>
      <c r="M136" s="39">
        <f t="shared" si="37"/>
        <v>213</v>
      </c>
      <c r="N136" s="39">
        <f t="shared" si="37"/>
        <v>320</v>
      </c>
      <c r="O136" s="39">
        <f t="shared" si="37"/>
        <v>234</v>
      </c>
      <c r="P136" s="39">
        <f t="shared" si="37"/>
        <v>235</v>
      </c>
      <c r="Q136" s="39">
        <f t="shared" si="37"/>
        <v>249</v>
      </c>
      <c r="R136" s="39">
        <f t="shared" si="37"/>
        <v>303</v>
      </c>
      <c r="S136" s="39">
        <v>329</v>
      </c>
      <c r="T136" s="39"/>
      <c r="U136" s="39">
        <f t="shared" ref="U136:Z136" si="38">U123+U129</f>
        <v>953</v>
      </c>
      <c r="V136" s="39">
        <f t="shared" si="38"/>
        <v>1586</v>
      </c>
      <c r="W136" s="39">
        <f t="shared" si="38"/>
        <v>2523</v>
      </c>
      <c r="X136" s="39">
        <f t="shared" si="38"/>
        <v>826</v>
      </c>
      <c r="Y136" s="39">
        <f t="shared" si="38"/>
        <v>953</v>
      </c>
      <c r="Z136" s="39">
        <f t="shared" si="38"/>
        <v>1020</v>
      </c>
    </row>
    <row r="137" spans="2:26" s="36" customFormat="1" ht="11" x14ac:dyDescent="0.15">
      <c r="B137" s="36" t="s">
        <v>285</v>
      </c>
      <c r="F137" s="36">
        <f>SUM(F133:F136)</f>
        <v>21268</v>
      </c>
      <c r="G137" s="36">
        <f>SUM(G133:G136)</f>
        <v>16070</v>
      </c>
      <c r="H137" s="36">
        <f>SUM(H133:H136)</f>
        <v>15704</v>
      </c>
      <c r="I137" s="36">
        <f>SUM(I133:I136)</f>
        <v>17092</v>
      </c>
      <c r="J137" s="36">
        <v>25587</v>
      </c>
      <c r="K137" s="36">
        <f t="shared" ref="K137:S137" si="39">SUM(K133:K136)</f>
        <v>19741</v>
      </c>
      <c r="L137" s="36">
        <f t="shared" si="39"/>
        <v>19340</v>
      </c>
      <c r="M137" s="36">
        <f t="shared" si="39"/>
        <v>20579</v>
      </c>
      <c r="N137" s="36">
        <f t="shared" si="39"/>
        <v>29328</v>
      </c>
      <c r="O137" s="36">
        <f t="shared" si="39"/>
        <v>22717</v>
      </c>
      <c r="P137" s="36">
        <f t="shared" si="39"/>
        <v>23185</v>
      </c>
      <c r="Q137" s="36">
        <f t="shared" si="39"/>
        <v>25358</v>
      </c>
      <c r="R137" s="36">
        <f t="shared" si="39"/>
        <v>35747</v>
      </c>
      <c r="S137" s="36">
        <f t="shared" si="39"/>
        <v>29128</v>
      </c>
      <c r="U137" s="36">
        <f t="shared" ref="U137:Z137" si="40">SUM(U133:U136)</f>
        <v>34204</v>
      </c>
      <c r="V137" s="36">
        <f t="shared" si="40"/>
        <v>48077</v>
      </c>
      <c r="W137" s="36">
        <f t="shared" si="40"/>
        <v>61093</v>
      </c>
      <c r="X137" s="36">
        <f t="shared" si="40"/>
        <v>74452</v>
      </c>
      <c r="Y137" s="36">
        <f t="shared" si="40"/>
        <v>88988</v>
      </c>
      <c r="Z137" s="36">
        <f t="shared" si="40"/>
        <v>107006</v>
      </c>
    </row>
    <row r="138" spans="2:26" s="36" customFormat="1" ht="11" x14ac:dyDescent="0.15"/>
    <row r="139" spans="2:26" s="37" customFormat="1" ht="11" x14ac:dyDescent="0.15">
      <c r="B139" s="36" t="s">
        <v>286</v>
      </c>
      <c r="C139" s="36"/>
      <c r="D139" s="36"/>
      <c r="E139" s="36"/>
    </row>
    <row r="140" spans="2:26" s="37" customFormat="1" ht="11" x14ac:dyDescent="0.15">
      <c r="B140" s="38" t="str">
        <f>B120</f>
        <v>North America</v>
      </c>
      <c r="C140" s="38"/>
      <c r="D140" s="38"/>
      <c r="E140" s="38"/>
      <c r="F140" s="37">
        <f t="shared" ref="F140:R140" si="41">F124</f>
        <v>12175</v>
      </c>
      <c r="G140" s="37">
        <f t="shared" si="41"/>
        <v>9391</v>
      </c>
      <c r="H140" s="37">
        <f t="shared" si="41"/>
        <v>9495</v>
      </c>
      <c r="I140" s="37">
        <f t="shared" si="41"/>
        <v>10301</v>
      </c>
      <c r="J140" s="37">
        <f t="shared" si="41"/>
        <v>15331</v>
      </c>
      <c r="K140" s="37">
        <f t="shared" si="41"/>
        <v>10808</v>
      </c>
      <c r="L140" s="37">
        <f t="shared" si="41"/>
        <v>10994</v>
      </c>
      <c r="M140" s="37">
        <f t="shared" si="41"/>
        <v>11699</v>
      </c>
      <c r="N140" s="37">
        <f t="shared" si="41"/>
        <v>17333</v>
      </c>
      <c r="O140" s="37">
        <f t="shared" si="41"/>
        <v>13406</v>
      </c>
      <c r="P140" s="37">
        <f t="shared" si="41"/>
        <v>13796</v>
      </c>
      <c r="Q140" s="37">
        <f t="shared" si="41"/>
        <v>15006</v>
      </c>
      <c r="R140" s="37">
        <f t="shared" si="41"/>
        <v>21501</v>
      </c>
      <c r="S140" s="37">
        <v>16996</v>
      </c>
      <c r="U140" s="37">
        <f t="shared" ref="U140:Z140" si="42">U124</f>
        <v>18707</v>
      </c>
      <c r="V140" s="37">
        <f t="shared" si="42"/>
        <v>26705</v>
      </c>
      <c r="W140" s="37">
        <f t="shared" si="42"/>
        <v>34813</v>
      </c>
      <c r="X140" s="37">
        <f t="shared" si="42"/>
        <v>41410</v>
      </c>
      <c r="Y140" s="37">
        <f t="shared" si="42"/>
        <v>50834</v>
      </c>
      <c r="Z140" s="37">
        <f t="shared" si="42"/>
        <v>63708</v>
      </c>
    </row>
    <row r="141" spans="2:26" s="37" customFormat="1" ht="11" x14ac:dyDescent="0.15">
      <c r="B141" s="38" t="str">
        <f>B126</f>
        <v>International</v>
      </c>
      <c r="C141" s="38"/>
      <c r="D141" s="38"/>
      <c r="E141" s="38"/>
      <c r="F141" s="37">
        <f t="shared" ref="F141:R141" si="43">F130</f>
        <v>9093</v>
      </c>
      <c r="G141" s="37">
        <f t="shared" si="43"/>
        <v>6679</v>
      </c>
      <c r="H141" s="37">
        <f t="shared" si="43"/>
        <v>6209</v>
      </c>
      <c r="I141" s="37">
        <f t="shared" si="43"/>
        <v>6791</v>
      </c>
      <c r="J141" s="37">
        <f t="shared" si="43"/>
        <v>10256</v>
      </c>
      <c r="K141" s="37">
        <f t="shared" si="43"/>
        <v>7883</v>
      </c>
      <c r="L141" s="37">
        <f t="shared" si="43"/>
        <v>7341</v>
      </c>
      <c r="M141" s="37">
        <f t="shared" si="43"/>
        <v>7711</v>
      </c>
      <c r="N141" s="37">
        <f t="shared" si="43"/>
        <v>10575</v>
      </c>
      <c r="O141" s="37">
        <f t="shared" si="43"/>
        <v>7745</v>
      </c>
      <c r="P141" s="37">
        <f t="shared" si="43"/>
        <v>7565</v>
      </c>
      <c r="Q141" s="37">
        <f t="shared" si="43"/>
        <v>8267</v>
      </c>
      <c r="R141" s="37">
        <f t="shared" si="43"/>
        <v>11841</v>
      </c>
      <c r="S141" s="37">
        <v>9566</v>
      </c>
      <c r="U141" s="37">
        <f t="shared" ref="U141:Z141" si="44">U130</f>
        <v>15497</v>
      </c>
      <c r="V141" s="37">
        <f t="shared" si="44"/>
        <v>21372</v>
      </c>
      <c r="W141" s="37">
        <f t="shared" si="44"/>
        <v>26280</v>
      </c>
      <c r="X141" s="37">
        <f t="shared" si="44"/>
        <v>29934</v>
      </c>
      <c r="Y141" s="37">
        <f t="shared" si="44"/>
        <v>33510</v>
      </c>
      <c r="Z141" s="37">
        <f t="shared" si="44"/>
        <v>35418</v>
      </c>
    </row>
    <row r="142" spans="2:26" s="37" customFormat="1" ht="11" x14ac:dyDescent="0.15">
      <c r="B142" s="38" t="s">
        <v>94</v>
      </c>
      <c r="F142" s="37" t="s">
        <v>102</v>
      </c>
      <c r="G142" s="37" t="s">
        <v>102</v>
      </c>
      <c r="H142" s="37" t="s">
        <v>102</v>
      </c>
      <c r="I142" s="37" t="s">
        <v>102</v>
      </c>
      <c r="J142" s="37" t="s">
        <v>102</v>
      </c>
      <c r="K142" s="37">
        <f>K135</f>
        <v>1050</v>
      </c>
      <c r="L142" s="37">
        <f>L135</f>
        <v>1005</v>
      </c>
      <c r="M142" s="37">
        <v>1169</v>
      </c>
      <c r="N142" s="37">
        <f>N135</f>
        <v>1420</v>
      </c>
      <c r="O142" s="37">
        <f>O135</f>
        <v>1566</v>
      </c>
      <c r="P142" s="37">
        <f>P135</f>
        <v>1824</v>
      </c>
      <c r="Q142" s="37">
        <f>Q135</f>
        <v>2085</v>
      </c>
      <c r="R142" s="37">
        <f>R135</f>
        <v>2405</v>
      </c>
      <c r="S142" s="37">
        <v>2566</v>
      </c>
      <c r="U142" s="37" t="s">
        <v>79</v>
      </c>
      <c r="V142" s="37" t="s">
        <v>79</v>
      </c>
      <c r="W142" s="37" t="s">
        <v>79</v>
      </c>
      <c r="X142" s="37">
        <f>X135</f>
        <v>3108</v>
      </c>
      <c r="Y142" s="37">
        <f>Y135</f>
        <v>4644</v>
      </c>
      <c r="Z142" s="37">
        <f>Z135</f>
        <v>7880</v>
      </c>
    </row>
    <row r="143" spans="2:26" s="36" customFormat="1" ht="11" x14ac:dyDescent="0.15">
      <c r="B143" s="36" t="s">
        <v>285</v>
      </c>
      <c r="F143" s="36">
        <f t="shared" ref="F143:S143" si="45">SUM(F140:F142)</f>
        <v>21268</v>
      </c>
      <c r="G143" s="36">
        <f t="shared" si="45"/>
        <v>16070</v>
      </c>
      <c r="H143" s="36">
        <f t="shared" si="45"/>
        <v>15704</v>
      </c>
      <c r="I143" s="36">
        <f t="shared" si="45"/>
        <v>17092</v>
      </c>
      <c r="J143" s="36">
        <f t="shared" si="45"/>
        <v>25587</v>
      </c>
      <c r="K143" s="36">
        <f t="shared" si="45"/>
        <v>19741</v>
      </c>
      <c r="L143" s="36">
        <f t="shared" si="45"/>
        <v>19340</v>
      </c>
      <c r="M143" s="36">
        <f t="shared" si="45"/>
        <v>20579</v>
      </c>
      <c r="N143" s="36">
        <f t="shared" si="45"/>
        <v>29328</v>
      </c>
      <c r="O143" s="36">
        <f t="shared" si="45"/>
        <v>22717</v>
      </c>
      <c r="P143" s="36">
        <f t="shared" si="45"/>
        <v>23185</v>
      </c>
      <c r="Q143" s="36">
        <f t="shared" si="45"/>
        <v>25358</v>
      </c>
      <c r="R143" s="36">
        <f t="shared" si="45"/>
        <v>35747</v>
      </c>
      <c r="S143" s="36">
        <f t="shared" si="45"/>
        <v>29128</v>
      </c>
      <c r="U143" s="36">
        <f t="shared" ref="U143:Z143" si="46">SUM(U140:U142)</f>
        <v>34204</v>
      </c>
      <c r="V143" s="36">
        <f t="shared" si="46"/>
        <v>48077</v>
      </c>
      <c r="W143" s="36">
        <f t="shared" si="46"/>
        <v>61093</v>
      </c>
      <c r="X143" s="36">
        <f t="shared" si="46"/>
        <v>74452</v>
      </c>
      <c r="Y143" s="36">
        <f t="shared" si="46"/>
        <v>88988</v>
      </c>
      <c r="Z143" s="36">
        <f t="shared" si="46"/>
        <v>107006</v>
      </c>
    </row>
    <row r="144" spans="2:26" s="37" customFormat="1" ht="11" x14ac:dyDescent="0.15"/>
    <row r="145" spans="2:26" s="37" customFormat="1" ht="11" x14ac:dyDescent="0.15">
      <c r="B145" s="37" t="s">
        <v>90</v>
      </c>
    </row>
    <row r="146" spans="2:26" s="37" customFormat="1" ht="11" x14ac:dyDescent="0.15">
      <c r="B146" s="38" t="str">
        <f>$B$140</f>
        <v>North America</v>
      </c>
      <c r="C146" s="38">
        <v>7078</v>
      </c>
      <c r="D146" s="38">
        <v>6982</v>
      </c>
      <c r="E146" s="38">
        <v>7593</v>
      </c>
      <c r="F146" s="37">
        <v>11567</v>
      </c>
      <c r="G146" s="37">
        <v>8934</v>
      </c>
      <c r="H146" s="37">
        <v>9086</v>
      </c>
      <c r="I146" s="39">
        <v>10006</v>
      </c>
      <c r="J146" s="39">
        <v>14606</v>
      </c>
      <c r="K146" s="37">
        <v>10518</v>
      </c>
      <c r="L146" s="37">
        <v>10665</v>
      </c>
      <c r="M146" s="37">
        <v>11759</v>
      </c>
      <c r="N146" s="37">
        <v>16600</v>
      </c>
      <c r="O146" s="37">
        <v>12889</v>
      </c>
      <c r="P146" s="37">
        <v>13093</v>
      </c>
      <c r="Q146" s="37">
        <v>14478</v>
      </c>
      <c r="R146" s="37">
        <v>20498</v>
      </c>
      <c r="S146" s="37">
        <v>16072</v>
      </c>
      <c r="U146" s="37">
        <v>17752</v>
      </c>
      <c r="V146" s="37">
        <v>25772</v>
      </c>
      <c r="W146" s="37">
        <v>33221</v>
      </c>
      <c r="X146" s="37">
        <v>40244</v>
      </c>
      <c r="Y146" s="37">
        <v>49542</v>
      </c>
      <c r="Z146" s="37">
        <v>60957</v>
      </c>
    </row>
    <row r="147" spans="2:26" s="37" customFormat="1" ht="11" x14ac:dyDescent="0.15">
      <c r="B147" s="38" t="str">
        <f>$B$141</f>
        <v>International</v>
      </c>
      <c r="C147" s="38">
        <v>5709</v>
      </c>
      <c r="D147" s="38">
        <v>5492</v>
      </c>
      <c r="E147" s="38">
        <v>5981</v>
      </c>
      <c r="F147" s="37">
        <v>9023</v>
      </c>
      <c r="G147" s="37">
        <v>6695</v>
      </c>
      <c r="H147" s="37">
        <v>6209</v>
      </c>
      <c r="I147" s="37">
        <v>6819</v>
      </c>
      <c r="J147" s="37">
        <v>10105</v>
      </c>
      <c r="K147" s="37">
        <v>7916</v>
      </c>
      <c r="L147" s="37">
        <v>7343</v>
      </c>
      <c r="M147" s="37">
        <v>7885</v>
      </c>
      <c r="N147" s="37">
        <v>10510</v>
      </c>
      <c r="O147" s="37">
        <v>7821</v>
      </c>
      <c r="P147" s="37">
        <v>7584</v>
      </c>
      <c r="Q147" s="37">
        <v>8323</v>
      </c>
      <c r="R147" s="37">
        <v>11781</v>
      </c>
      <c r="S147" s="37">
        <v>9546</v>
      </c>
      <c r="U147" s="37">
        <v>14516</v>
      </c>
      <c r="V147" s="37">
        <v>20731</v>
      </c>
      <c r="W147" s="37">
        <v>26204</v>
      </c>
      <c r="X147" s="37">
        <v>29780</v>
      </c>
      <c r="Y147" s="37">
        <v>33654</v>
      </c>
      <c r="Z147" s="37">
        <v>35509</v>
      </c>
    </row>
    <row r="148" spans="2:26" s="37" customFormat="1" ht="11" x14ac:dyDescent="0.15">
      <c r="B148" s="38" t="str">
        <f>$B$142</f>
        <v>AWS</v>
      </c>
      <c r="C148" s="37" t="s">
        <v>102</v>
      </c>
      <c r="D148" s="37" t="s">
        <v>102</v>
      </c>
      <c r="E148" s="37" t="s">
        <v>102</v>
      </c>
      <c r="F148" s="37" t="s">
        <v>79</v>
      </c>
      <c r="G148" s="37" t="s">
        <v>79</v>
      </c>
      <c r="H148" s="37" t="s">
        <v>79</v>
      </c>
      <c r="I148" s="37" t="s">
        <v>79</v>
      </c>
      <c r="J148" s="37" t="s">
        <v>79</v>
      </c>
      <c r="K148" s="37">
        <v>805</v>
      </c>
      <c r="L148" s="37">
        <v>928</v>
      </c>
      <c r="M148" s="37">
        <v>1071</v>
      </c>
      <c r="N148" s="37">
        <v>1180</v>
      </c>
      <c r="O148" s="37">
        <v>1301</v>
      </c>
      <c r="P148" s="37">
        <v>1433</v>
      </c>
      <c r="Q148" s="37">
        <v>1564</v>
      </c>
      <c r="R148" s="37">
        <v>1718</v>
      </c>
      <c r="S148" s="37">
        <v>1850</v>
      </c>
      <c r="V148" s="37" t="s">
        <v>79</v>
      </c>
      <c r="W148" s="37" t="s">
        <v>79</v>
      </c>
      <c r="X148" s="37">
        <v>2435</v>
      </c>
      <c r="Y148" s="37">
        <v>3984</v>
      </c>
      <c r="Z148" s="37">
        <v>6017</v>
      </c>
    </row>
    <row r="149" spans="2:26" s="36" customFormat="1" ht="11" x14ac:dyDescent="0.15">
      <c r="B149" s="36" t="s">
        <v>287</v>
      </c>
      <c r="C149" s="36">
        <f t="shared" ref="C149:E149" si="47">SUM(C146:C148)</f>
        <v>12787</v>
      </c>
      <c r="D149" s="36">
        <f t="shared" si="47"/>
        <v>12474</v>
      </c>
      <c r="E149" s="36">
        <f t="shared" si="47"/>
        <v>13574</v>
      </c>
      <c r="F149" s="36">
        <f t="shared" ref="F149:S149" si="48">SUM(F146:F148)</f>
        <v>20590</v>
      </c>
      <c r="G149" s="36">
        <f t="shared" si="48"/>
        <v>15629</v>
      </c>
      <c r="H149" s="36">
        <f t="shared" si="48"/>
        <v>15295</v>
      </c>
      <c r="I149" s="36">
        <f t="shared" si="48"/>
        <v>16825</v>
      </c>
      <c r="J149" s="36">
        <f t="shared" si="48"/>
        <v>24711</v>
      </c>
      <c r="K149" s="36">
        <f t="shared" si="48"/>
        <v>19239</v>
      </c>
      <c r="L149" s="36">
        <f t="shared" si="48"/>
        <v>18936</v>
      </c>
      <c r="M149" s="36">
        <f t="shared" si="48"/>
        <v>20715</v>
      </c>
      <c r="N149" s="36">
        <f t="shared" si="48"/>
        <v>28290</v>
      </c>
      <c r="O149" s="36">
        <f t="shared" si="48"/>
        <v>22011</v>
      </c>
      <c r="P149" s="36">
        <f t="shared" si="48"/>
        <v>22110</v>
      </c>
      <c r="Q149" s="36">
        <f t="shared" si="48"/>
        <v>24365</v>
      </c>
      <c r="R149" s="36">
        <f t="shared" si="48"/>
        <v>33997</v>
      </c>
      <c r="S149" s="36">
        <f t="shared" si="48"/>
        <v>27468</v>
      </c>
      <c r="U149" s="36">
        <f t="shared" ref="U149:Z149" si="49">SUM(U146:U148)</f>
        <v>32268</v>
      </c>
      <c r="V149" s="36">
        <f t="shared" si="49"/>
        <v>46503</v>
      </c>
      <c r="W149" s="36">
        <f t="shared" si="49"/>
        <v>59425</v>
      </c>
      <c r="X149" s="36">
        <f t="shared" si="49"/>
        <v>72459</v>
      </c>
      <c r="Y149" s="36">
        <f t="shared" si="49"/>
        <v>87180</v>
      </c>
      <c r="Z149" s="36">
        <f t="shared" si="49"/>
        <v>102483</v>
      </c>
    </row>
    <row r="150" spans="2:26" s="37" customFormat="1" ht="11" x14ac:dyDescent="0.15"/>
    <row r="151" spans="2:26" s="37" customFormat="1" ht="11" x14ac:dyDescent="0.15">
      <c r="B151" s="37" t="s">
        <v>288</v>
      </c>
    </row>
    <row r="152" spans="2:26" s="37" customFormat="1" ht="11" x14ac:dyDescent="0.15">
      <c r="B152" s="38" t="str">
        <f>B146</f>
        <v>North America</v>
      </c>
      <c r="F152" s="37">
        <f t="shared" ref="F152:R154" si="50">F140-F146</f>
        <v>608</v>
      </c>
      <c r="G152" s="37">
        <f t="shared" si="50"/>
        <v>457</v>
      </c>
      <c r="H152" s="37">
        <f t="shared" si="50"/>
        <v>409</v>
      </c>
      <c r="I152" s="37">
        <f t="shared" si="50"/>
        <v>295</v>
      </c>
      <c r="J152" s="37">
        <f t="shared" si="50"/>
        <v>725</v>
      </c>
      <c r="K152" s="37">
        <f t="shared" si="50"/>
        <v>290</v>
      </c>
      <c r="L152" s="37">
        <f t="shared" si="50"/>
        <v>329</v>
      </c>
      <c r="M152" s="37">
        <f t="shared" si="50"/>
        <v>-60</v>
      </c>
      <c r="N152" s="37">
        <f t="shared" si="50"/>
        <v>733</v>
      </c>
      <c r="O152" s="37">
        <f t="shared" si="50"/>
        <v>517</v>
      </c>
      <c r="P152" s="37">
        <f t="shared" si="50"/>
        <v>703</v>
      </c>
      <c r="Q152" s="37">
        <f t="shared" si="50"/>
        <v>528</v>
      </c>
      <c r="R152" s="37">
        <f t="shared" si="50"/>
        <v>1003</v>
      </c>
      <c r="S152" s="37">
        <f t="shared" ref="S152" si="51">S140-S146</f>
        <v>924</v>
      </c>
      <c r="U152" s="37">
        <f t="shared" ref="U152:Z154" si="52">U140-U146</f>
        <v>955</v>
      </c>
      <c r="V152" s="37">
        <f t="shared" si="52"/>
        <v>933</v>
      </c>
      <c r="W152" s="37">
        <f t="shared" si="52"/>
        <v>1592</v>
      </c>
      <c r="X152" s="37">
        <f t="shared" si="52"/>
        <v>1166</v>
      </c>
      <c r="Y152" s="37">
        <f t="shared" si="52"/>
        <v>1292</v>
      </c>
      <c r="Z152" s="37">
        <f t="shared" si="52"/>
        <v>2751</v>
      </c>
    </row>
    <row r="153" spans="2:26" s="37" customFormat="1" ht="11" x14ac:dyDescent="0.15">
      <c r="B153" s="38" t="str">
        <f>B147</f>
        <v>International</v>
      </c>
      <c r="F153" s="37">
        <f t="shared" si="50"/>
        <v>70</v>
      </c>
      <c r="G153" s="37">
        <f t="shared" si="50"/>
        <v>-16</v>
      </c>
      <c r="H153" s="37">
        <f t="shared" si="50"/>
        <v>0</v>
      </c>
      <c r="I153" s="37">
        <f t="shared" si="50"/>
        <v>-28</v>
      </c>
      <c r="J153" s="37">
        <f t="shared" si="50"/>
        <v>151</v>
      </c>
      <c r="K153" s="37">
        <f t="shared" si="50"/>
        <v>-33</v>
      </c>
      <c r="L153" s="37">
        <f t="shared" si="50"/>
        <v>-2</v>
      </c>
      <c r="M153" s="37">
        <f t="shared" si="50"/>
        <v>-174</v>
      </c>
      <c r="N153" s="37">
        <f t="shared" si="50"/>
        <v>65</v>
      </c>
      <c r="O153" s="37">
        <f t="shared" si="50"/>
        <v>-76</v>
      </c>
      <c r="P153" s="37">
        <f t="shared" si="50"/>
        <v>-19</v>
      </c>
      <c r="Q153" s="37">
        <f t="shared" si="50"/>
        <v>-56</v>
      </c>
      <c r="R153" s="37">
        <f t="shared" si="50"/>
        <v>60</v>
      </c>
      <c r="S153" s="37">
        <f t="shared" ref="S153" si="53">S141-S147</f>
        <v>20</v>
      </c>
      <c r="U153" s="37">
        <f t="shared" si="52"/>
        <v>981</v>
      </c>
      <c r="V153" s="37">
        <f t="shared" si="52"/>
        <v>641</v>
      </c>
      <c r="W153" s="37">
        <f t="shared" si="52"/>
        <v>76</v>
      </c>
      <c r="X153" s="37">
        <f t="shared" si="52"/>
        <v>154</v>
      </c>
      <c r="Y153" s="37">
        <f t="shared" si="52"/>
        <v>-144</v>
      </c>
      <c r="Z153" s="37">
        <f t="shared" si="52"/>
        <v>-91</v>
      </c>
    </row>
    <row r="154" spans="2:26" s="37" customFormat="1" ht="11" x14ac:dyDescent="0.15">
      <c r="B154" s="38" t="str">
        <f>B148</f>
        <v>AWS</v>
      </c>
      <c r="F154" s="37" t="s">
        <v>102</v>
      </c>
      <c r="G154" s="37" t="s">
        <v>102</v>
      </c>
      <c r="H154" s="37" t="s">
        <v>102</v>
      </c>
      <c r="I154" s="37" t="s">
        <v>102</v>
      </c>
      <c r="J154" s="37" t="s">
        <v>102</v>
      </c>
      <c r="K154" s="37">
        <f t="shared" si="50"/>
        <v>245</v>
      </c>
      <c r="L154" s="37">
        <f t="shared" si="50"/>
        <v>77</v>
      </c>
      <c r="M154" s="37">
        <f t="shared" si="50"/>
        <v>98</v>
      </c>
      <c r="N154" s="37">
        <f t="shared" si="50"/>
        <v>240</v>
      </c>
      <c r="O154" s="37">
        <f t="shared" si="50"/>
        <v>265</v>
      </c>
      <c r="P154" s="37">
        <f t="shared" si="50"/>
        <v>391</v>
      </c>
      <c r="Q154" s="37">
        <f t="shared" si="50"/>
        <v>521</v>
      </c>
      <c r="R154" s="37">
        <f t="shared" si="50"/>
        <v>687</v>
      </c>
      <c r="S154" s="37">
        <f t="shared" ref="S154" si="54">S142-S148</f>
        <v>716</v>
      </c>
      <c r="U154" s="37" t="s">
        <v>102</v>
      </c>
      <c r="V154" s="37" t="s">
        <v>102</v>
      </c>
      <c r="W154" s="37" t="s">
        <v>102</v>
      </c>
      <c r="X154" s="37">
        <f t="shared" si="52"/>
        <v>673</v>
      </c>
      <c r="Y154" s="37">
        <f t="shared" si="52"/>
        <v>660</v>
      </c>
      <c r="Z154" s="37">
        <f t="shared" si="52"/>
        <v>1863</v>
      </c>
    </row>
    <row r="155" spans="2:26" s="36" customFormat="1" ht="11" x14ac:dyDescent="0.15">
      <c r="B155" s="36" t="s">
        <v>289</v>
      </c>
      <c r="F155" s="36">
        <f t="shared" ref="F155:R155" si="55">SUM(F152:F154)</f>
        <v>678</v>
      </c>
      <c r="G155" s="36">
        <f t="shared" si="55"/>
        <v>441</v>
      </c>
      <c r="H155" s="36">
        <f t="shared" si="55"/>
        <v>409</v>
      </c>
      <c r="I155" s="36">
        <f t="shared" si="55"/>
        <v>267</v>
      </c>
      <c r="J155" s="36">
        <f t="shared" si="55"/>
        <v>876</v>
      </c>
      <c r="K155" s="36">
        <f t="shared" si="55"/>
        <v>502</v>
      </c>
      <c r="L155" s="36">
        <f t="shared" si="55"/>
        <v>404</v>
      </c>
      <c r="M155" s="36">
        <f t="shared" si="55"/>
        <v>-136</v>
      </c>
      <c r="N155" s="36">
        <f t="shared" si="55"/>
        <v>1038</v>
      </c>
      <c r="O155" s="36">
        <f t="shared" si="55"/>
        <v>706</v>
      </c>
      <c r="P155" s="36">
        <f t="shared" si="55"/>
        <v>1075</v>
      </c>
      <c r="Q155" s="36">
        <f t="shared" si="55"/>
        <v>993</v>
      </c>
      <c r="R155" s="36">
        <f t="shared" si="55"/>
        <v>1750</v>
      </c>
      <c r="S155" s="36">
        <f t="shared" ref="S155" si="56">SUM(S152:S154)</f>
        <v>1660</v>
      </c>
      <c r="U155" s="36">
        <f t="shared" ref="U155:Z155" si="57">SUM(U152:U154)</f>
        <v>1936</v>
      </c>
      <c r="V155" s="36">
        <f t="shared" si="57"/>
        <v>1574</v>
      </c>
      <c r="W155" s="36">
        <f t="shared" si="57"/>
        <v>1668</v>
      </c>
      <c r="X155" s="36">
        <f t="shared" si="57"/>
        <v>1993</v>
      </c>
      <c r="Y155" s="36">
        <f t="shared" si="57"/>
        <v>1808</v>
      </c>
      <c r="Z155" s="36">
        <f t="shared" si="57"/>
        <v>4523</v>
      </c>
    </row>
    <row r="156" spans="2:26" s="37" customFormat="1" ht="11" x14ac:dyDescent="0.15"/>
    <row r="157" spans="2:26" s="37" customFormat="1" ht="11" x14ac:dyDescent="0.15">
      <c r="B157" s="37" t="s">
        <v>290</v>
      </c>
    </row>
    <row r="158" spans="2:26" s="37" customFormat="1" ht="11" x14ac:dyDescent="0.15">
      <c r="B158" s="38" t="s">
        <v>291</v>
      </c>
      <c r="C158" s="38"/>
      <c r="D158" s="38"/>
      <c r="E158" s="38"/>
      <c r="K158" s="37">
        <v>849</v>
      </c>
      <c r="L158" s="37">
        <v>889</v>
      </c>
      <c r="M158" s="37">
        <v>1048</v>
      </c>
      <c r="N158" s="37">
        <f>X158-2786</f>
        <v>311</v>
      </c>
      <c r="O158" s="37">
        <v>1299</v>
      </c>
      <c r="P158" s="37">
        <v>1399</v>
      </c>
      <c r="Q158" s="37">
        <v>1494</v>
      </c>
      <c r="R158" s="37">
        <f>Z158-4192</f>
        <v>2328</v>
      </c>
      <c r="S158" s="37">
        <v>1820</v>
      </c>
      <c r="X158" s="37">
        <v>3097</v>
      </c>
      <c r="Y158" s="37">
        <v>4486</v>
      </c>
      <c r="Z158" s="37">
        <v>6520</v>
      </c>
    </row>
    <row r="159" spans="2:26" s="37" customFormat="1" ht="11" x14ac:dyDescent="0.15">
      <c r="B159" s="38" t="s">
        <v>292</v>
      </c>
      <c r="C159" s="38"/>
      <c r="D159" s="38"/>
      <c r="E159" s="38"/>
      <c r="K159" s="37">
        <v>1829</v>
      </c>
      <c r="L159" s="37">
        <v>1812</v>
      </c>
      <c r="M159" s="37">
        <v>2020</v>
      </c>
      <c r="N159" s="37">
        <f>X159-5661</f>
        <v>974</v>
      </c>
      <c r="O159" s="37">
        <v>2309</v>
      </c>
      <c r="P159" s="37">
        <v>2340</v>
      </c>
      <c r="Q159" s="37">
        <v>2720</v>
      </c>
      <c r="R159" s="37">
        <f>Z159-7369</f>
        <v>4170</v>
      </c>
      <c r="S159" s="37">
        <v>3275</v>
      </c>
      <c r="X159" s="37">
        <v>6635</v>
      </c>
      <c r="Y159" s="37">
        <v>8709</v>
      </c>
      <c r="Z159" s="37">
        <v>11539</v>
      </c>
    </row>
    <row r="160" spans="2:26" s="36" customFormat="1" ht="11" x14ac:dyDescent="0.15">
      <c r="B160" s="36" t="s">
        <v>293</v>
      </c>
      <c r="K160" s="36">
        <f t="shared" ref="K160:S160" si="58">K158-K159</f>
        <v>-980</v>
      </c>
      <c r="L160" s="36">
        <f t="shared" si="58"/>
        <v>-923</v>
      </c>
      <c r="M160" s="36">
        <f t="shared" si="58"/>
        <v>-972</v>
      </c>
      <c r="N160" s="36">
        <f t="shared" si="58"/>
        <v>-663</v>
      </c>
      <c r="O160" s="36">
        <f t="shared" si="58"/>
        <v>-1010</v>
      </c>
      <c r="P160" s="36">
        <f t="shared" si="58"/>
        <v>-941</v>
      </c>
      <c r="Q160" s="36">
        <f t="shared" si="58"/>
        <v>-1226</v>
      </c>
      <c r="R160" s="36">
        <f t="shared" si="58"/>
        <v>-1842</v>
      </c>
      <c r="S160" s="36">
        <f t="shared" si="58"/>
        <v>-1455</v>
      </c>
      <c r="U160" s="36">
        <f t="shared" ref="U160:Z160" si="59">U158-U159</f>
        <v>0</v>
      </c>
      <c r="V160" s="36">
        <f t="shared" si="59"/>
        <v>0</v>
      </c>
      <c r="W160" s="36">
        <f t="shared" si="59"/>
        <v>0</v>
      </c>
      <c r="X160" s="36">
        <f t="shared" si="59"/>
        <v>-3538</v>
      </c>
      <c r="Y160" s="36">
        <f t="shared" si="59"/>
        <v>-4223</v>
      </c>
      <c r="Z160" s="36">
        <f t="shared" si="59"/>
        <v>-5019</v>
      </c>
    </row>
    <row r="161" s="37" customFormat="1" ht="11" x14ac:dyDescent="0.15"/>
    <row r="162" s="37" customFormat="1" ht="11" x14ac:dyDescent="0.15"/>
    <row r="163" s="37" customFormat="1" ht="11" x14ac:dyDescent="0.15"/>
    <row r="164" s="37" customFormat="1" ht="11" x14ac:dyDescent="0.15"/>
    <row r="165" s="37" customFormat="1" ht="11" x14ac:dyDescent="0.15"/>
    <row r="166" s="37" customFormat="1" ht="11" x14ac:dyDescent="0.15"/>
    <row r="167" s="37" customFormat="1" ht="11" x14ac:dyDescent="0.15"/>
    <row r="168" s="37" customFormat="1" ht="11" x14ac:dyDescent="0.15"/>
    <row r="169" s="37" customFormat="1" ht="11" x14ac:dyDescent="0.15"/>
    <row r="170" s="37" customFormat="1" ht="11" x14ac:dyDescent="0.15"/>
    <row r="171" s="37" customFormat="1" ht="11" x14ac:dyDescent="0.15"/>
    <row r="172" s="37" customFormat="1" ht="11" x14ac:dyDescent="0.15"/>
    <row r="173" s="37" customFormat="1" ht="11" x14ac:dyDescent="0.15"/>
    <row r="174" s="37" customFormat="1" ht="11" x14ac:dyDescent="0.15"/>
    <row r="175" s="37" customFormat="1" ht="11" x14ac:dyDescent="0.15"/>
    <row r="176" s="37" customFormat="1" ht="11" x14ac:dyDescent="0.15"/>
    <row r="177" s="37" customFormat="1" ht="11" x14ac:dyDescent="0.15"/>
    <row r="178" s="37" customFormat="1" ht="11" x14ac:dyDescent="0.15"/>
    <row r="179" s="37" customFormat="1" ht="11" x14ac:dyDescent="0.15"/>
    <row r="180" s="37" customFormat="1" ht="11" x14ac:dyDescent="0.15"/>
    <row r="181" s="37" customFormat="1" ht="11" x14ac:dyDescent="0.15"/>
    <row r="182" s="37" customFormat="1" ht="11" x14ac:dyDescent="0.15"/>
    <row r="183" s="37" customFormat="1" ht="11" x14ac:dyDescent="0.15"/>
    <row r="184" s="37" customFormat="1" ht="11" x14ac:dyDescent="0.15"/>
    <row r="185" s="37" customFormat="1" ht="11" x14ac:dyDescent="0.15"/>
    <row r="186" s="37" customFormat="1" ht="11" x14ac:dyDescent="0.15"/>
    <row r="187" s="37" customFormat="1" ht="11" x14ac:dyDescent="0.15"/>
    <row r="188" s="37" customFormat="1" ht="11" x14ac:dyDescent="0.15"/>
    <row r="189" s="37" customFormat="1" ht="11" x14ac:dyDescent="0.15"/>
    <row r="190" s="37" customFormat="1" ht="11" x14ac:dyDescent="0.15"/>
    <row r="191" s="37" customFormat="1" ht="11" x14ac:dyDescent="0.15"/>
    <row r="192" s="37" customFormat="1" ht="11" x14ac:dyDescent="0.15"/>
    <row r="193" s="37" customFormat="1" ht="11" x14ac:dyDescent="0.15"/>
    <row r="194" s="37" customFormat="1" ht="11" x14ac:dyDescent="0.15"/>
    <row r="195" s="37" customFormat="1" ht="11" x14ac:dyDescent="0.15"/>
    <row r="196" s="37" customFormat="1" ht="11" x14ac:dyDescent="0.15"/>
    <row r="197" s="37" customFormat="1" ht="11" x14ac:dyDescent="0.15"/>
    <row r="198" s="37" customFormat="1" ht="11" x14ac:dyDescent="0.15"/>
    <row r="199" s="37" customFormat="1" ht="11" x14ac:dyDescent="0.15"/>
    <row r="200" s="37" customFormat="1" ht="11" x14ac:dyDescent="0.15"/>
    <row r="201" s="37" customFormat="1" ht="11" x14ac:dyDescent="0.15"/>
    <row r="202" s="37" customFormat="1" ht="11" x14ac:dyDescent="0.15"/>
    <row r="203" s="37" customFormat="1" ht="11" x14ac:dyDescent="0.15"/>
    <row r="204" s="37" customFormat="1" ht="11" x14ac:dyDescent="0.15"/>
    <row r="205" s="37" customFormat="1" ht="11" x14ac:dyDescent="0.15"/>
    <row r="206" s="37" customFormat="1" ht="11" x14ac:dyDescent="0.15"/>
    <row r="207" s="37" customFormat="1" ht="11" x14ac:dyDescent="0.15"/>
    <row r="208" s="37" customFormat="1" ht="11" x14ac:dyDescent="0.15"/>
    <row r="209" s="37" customFormat="1" ht="11" x14ac:dyDescent="0.15"/>
    <row r="210" s="37" customFormat="1" ht="11" x14ac:dyDescent="0.15"/>
    <row r="211" s="37" customFormat="1" ht="11" x14ac:dyDescent="0.15"/>
    <row r="212" s="37" customFormat="1" ht="11" x14ac:dyDescent="0.15"/>
    <row r="213" s="37" customFormat="1" ht="11" x14ac:dyDescent="0.15"/>
    <row r="214" s="37" customFormat="1" ht="11" x14ac:dyDescent="0.15"/>
    <row r="215" s="37" customFormat="1" ht="11" x14ac:dyDescent="0.15"/>
    <row r="216" s="37" customFormat="1" ht="11" x14ac:dyDescent="0.15"/>
    <row r="217" s="37" customFormat="1" ht="11" x14ac:dyDescent="0.15"/>
    <row r="218" s="37" customFormat="1" ht="11" x14ac:dyDescent="0.15"/>
    <row r="219" s="37" customFormat="1" ht="11" x14ac:dyDescent="0.15"/>
    <row r="220" s="37" customFormat="1" ht="11" x14ac:dyDescent="0.15"/>
    <row r="221" s="37" customFormat="1" ht="11" x14ac:dyDescent="0.15"/>
    <row r="222" s="37" customFormat="1" ht="11" x14ac:dyDescent="0.15"/>
    <row r="223" s="37" customFormat="1" ht="11" x14ac:dyDescent="0.15"/>
    <row r="224" s="37" customFormat="1" ht="11" x14ac:dyDescent="0.15"/>
    <row r="225" s="37" customFormat="1" ht="11" x14ac:dyDescent="0.15"/>
    <row r="226" s="37" customFormat="1" ht="11" x14ac:dyDescent="0.15"/>
    <row r="227" s="37" customFormat="1" ht="11" x14ac:dyDescent="0.15"/>
    <row r="228" s="37" customFormat="1" ht="11" x14ac:dyDescent="0.15"/>
    <row r="229" s="37" customFormat="1" ht="11" x14ac:dyDescent="0.15"/>
    <row r="230" s="37" customFormat="1" ht="11" x14ac:dyDescent="0.15"/>
    <row r="231" s="37" customFormat="1" ht="11" x14ac:dyDescent="0.15"/>
    <row r="232" s="37" customFormat="1" ht="11" x14ac:dyDescent="0.15"/>
    <row r="233" s="37" customFormat="1" ht="11" x14ac:dyDescent="0.15"/>
    <row r="234" s="37" customFormat="1" ht="11" x14ac:dyDescent="0.15"/>
    <row r="235" s="37" customFormat="1" ht="11" x14ac:dyDescent="0.15"/>
    <row r="236" s="37" customFormat="1" ht="11" x14ac:dyDescent="0.15"/>
    <row r="237" s="37" customFormat="1" ht="11" x14ac:dyDescent="0.15"/>
    <row r="238" s="37" customFormat="1" ht="11" x14ac:dyDescent="0.15"/>
    <row r="239" s="37" customFormat="1" ht="11" x14ac:dyDescent="0.15"/>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baseColWidth="10" defaultColWidth="8.83203125" defaultRowHeight="15" x14ac:dyDescent="0.2"/>
  <sheetData>
    <row r="1" spans="1:1" x14ac:dyDescent="0.2">
      <c r="A1" t="s">
        <v>306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0171F07C5B4174897B18B166E59D36C" ma:contentTypeVersion="1" ma:contentTypeDescription="Create a new document." ma:contentTypeScope="" ma:versionID="b299c81390cd835f1a8ee90de5739f87">
  <xsd:schema xmlns:xsd="http://www.w3.org/2001/XMLSchema" xmlns:xs="http://www.w3.org/2001/XMLSchema" xmlns:p="http://schemas.microsoft.com/office/2006/metadata/properties" xmlns:ns3="ea46a55c-c62d-4b7e-ab3f-f9eb3389d49b" targetNamespace="http://schemas.microsoft.com/office/2006/metadata/properties" ma:root="true" ma:fieldsID="02576ee602a6ce051af80d1f39092a7b" ns3:_="">
    <xsd:import namespace="ea46a55c-c62d-4b7e-ab3f-f9eb3389d49b"/>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46a55c-c62d-4b7e-ab3f-f9eb3389d49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E90F19-8C37-47E5-8695-43127F748563}">
  <ds:schemaRefs>
    <ds:schemaRef ds:uri="http://purl.org/dc/dcmitype/"/>
    <ds:schemaRef ds:uri="http://schemas.microsoft.com/office/infopath/2007/PartnerControls"/>
    <ds:schemaRef ds:uri="ea46a55c-c62d-4b7e-ab3f-f9eb3389d49b"/>
    <ds:schemaRef ds:uri="http://purl.org/dc/elements/1.1/"/>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FD38FFF-F4EB-47AE-AF2F-9490F518EB75}">
  <ds:schemaRefs>
    <ds:schemaRef ds:uri="http://schemas.microsoft.com/sharepoint/v3/contenttype/forms"/>
  </ds:schemaRefs>
</ds:datastoreItem>
</file>

<file path=customXml/itemProps3.xml><?xml version="1.0" encoding="utf-8"?>
<ds:datastoreItem xmlns:ds="http://schemas.openxmlformats.org/officeDocument/2006/customXml" ds:itemID="{DB247EBD-E7F4-49A4-9BF1-78F9281B4A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46a55c-c62d-4b7e-ab3f-f9eb3389d4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Valuation</vt:lpstr>
      <vt:lpstr>Model</vt:lpstr>
      <vt:lpstr>Variance</vt:lpstr>
      <vt:lpstr>Company Data</vt:lpstr>
      <vt:lpstr>Query 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Bhardwaj</dc:creator>
  <cp:keywords/>
  <dc:description/>
  <cp:lastModifiedBy>Microsoft Office User</cp:lastModifiedBy>
  <cp:revision/>
  <dcterms:created xsi:type="dcterms:W3CDTF">2006-09-16T00:00:00Z</dcterms:created>
  <dcterms:modified xsi:type="dcterms:W3CDTF">2016-05-18T01:28:36Z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0x010100B0171F07C5B4174897B18B166E59D36C</vt:lpwstr>
  </property>
  <property fmtid="{D5CDD505-2E9C-101B-9397-08002B2CF9AE}" pid="3" name="IsMyDocuments">
    <vt:bool>true</vt:bool>
  </property>
</Properties>
</file>