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bin" ContentType="image/jpeg"/>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754801b99cc54457" /></Relationships>
</file>

<file path=xl/workbook.xml><?xml version="1.0" encoding="utf-8"?>
<x:workbook xmlns:x="http://schemas.openxmlformats.org/spreadsheetml/2006/main">
  <x:sheets>
    <x:sheet xmlns:r="http://schemas.openxmlformats.org/officeDocument/2006/relationships" name="Sheet1" sheetId="1" r:id="Rc65207a58cfa4cdf"/>
  </x:sheets>
</x:workbook>
</file>

<file path=xl/styles.xml><?xml version="1.0" encoding="utf-8"?>
<x:styleSheet xmlns:x="http://schemas.openxmlformats.org/spreadsheetml/2006/main">
  <x:fonts count="5">
    <x:font>
      <x:sz val="11"/>
      <x:name val="Calibri"/>
    </x:font>
    <x:font>
      <x:sz val="18"/>
      <x:name val="Palatino Linotype"/>
    </x:font>
    <x:font>
      <x:b val="1"/>
      <x:sz val="11"/>
      <x:name val="Calibri"/>
    </x:font>
    <x:font>
      <x:b val="1"/>
      <x:sz val="60"/>
      <x:name val="Calibri"/>
    </x:font>
    <x:font>
      <x:u val="single"/>
      <x:sz val="11"/>
      <x:color rgb="0000ff"/>
      <x:name val="Calibri"/>
    </x:font>
  </x:fonts>
  <x:fills count="3">
    <x:fill>
      <x:patternFill patternType="none"/>
    </x:fill>
    <x:fill>
      <x:patternFill patternType="gray125"/>
    </x:fill>
    <x:fill>
      <x:patternFill patternType="solid">
        <x:fgColor rgb="00ff9728"/>
        <x:bgColor rgb="00ff9728"/>
      </x:patternFill>
    </x:fill>
  </x:fills>
  <x:borders count="2">
    <x:border>
      <x:left/>
      <x:right/>
      <x:top/>
      <x:bottom/>
      <x:diagonal/>
    </x:border>
    <x:border>
      <x:left style="thin"/>
      <x:right style="thin"/>
      <x:top style="thin"/>
      <x:bottom style="thin"/>
      <x:diagonal/>
    </x:border>
  </x:borders>
  <x:cellStyleXfs count="1">
    <x:xf numFmtId="0" fontId="0" fillId="0" borderId="0"/>
  </x:cellStyleXfs>
  <x:cellXfs count="10">
    <x:xf numFmtId="0" fontId="0" fillId="0" borderId="0" xfId="0"/>
    <x:xf fontId="0" fillId="0" borderId="0" xfId="0" applyNumberFormat="1">
      <x:alignment vertical="center" wrapText="1"/>
    </x:xf>
    <x:xf fontId="1" fillId="0" borderId="0" xfId="0" applyNumberFormat="1">
      <x:alignment vertical="center"/>
    </x:xf>
    <x:xf fontId="0" fillId="0" borderId="1" xfId="0" applyNumberFormat="1">
      <x:alignment vertical="center" wrapText="1"/>
    </x:xf>
    <x:xf fontId="0" fillId="2" borderId="0" xfId="0" applyNumberFormat="1">
      <x:alignment vertical="center"/>
    </x:xf>
    <x:xf fontId="0" fillId="2" borderId="1" xfId="0" applyNumberFormat="1">
      <x:alignment horizontal="center" vertical="center" wrapText="1"/>
    </x:xf>
    <x:xf fontId="2" fillId="0" borderId="0" xfId="0" applyNumberFormat="1">
      <x:alignment vertical="center" wrapText="1"/>
    </x:xf>
    <x:xf fontId="0" fillId="0" borderId="0" xfId="0" applyNumberFormat="1">
      <x:alignment vertical="center" wrapText="0"/>
    </x:xf>
    <x:xf fontId="2" fillId="0" borderId="0" xfId="0" applyNumberFormat="1">
      <x:alignment vertical="center" wrapText="0"/>
    </x:xf>
    <x:xf fontId="3" fillId="0" borderId="1" xfId="0" applyNumberFormat="1">
      <x:alignment vertical="center" wrapText="0"/>
    </x:xf>
    <x:xf fontId="4" fillId="0" borderId="1" xfId="0" applyNumberFormat="1">
      <x:alignment vertical="center" wrapText="1"/>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c65207a58cfa4cdf" /><Relationship Type="http://schemas.openxmlformats.org/officeDocument/2006/relationships/styles" Target="/xl/styles.xml" Id="R425017cc39d843e3" /></Relationships>
</file>

<file path=xl/drawings/_rels/drawing1.xml.rels>&#65279;<?xml version="1.0" encoding="utf-8"?><Relationships xmlns="http://schemas.openxmlformats.org/package/2006/relationships"><Relationship Type="http://schemas.openxmlformats.org/officeDocument/2006/relationships/image" Target="/xl/media/image.bin" Id="R542173bd6cc64b4e" /><Relationship Type="http://schemas.openxmlformats.org/officeDocument/2006/relationships/image" Target="/xl/media/image2.bin" Id="R5da03b0ec322486b" /><Relationship Type="http://schemas.openxmlformats.org/officeDocument/2006/relationships/image" Target="/xl/media/image3.bin" Id="Ra1d650fe4ad74197" /><Relationship Type="http://schemas.openxmlformats.org/officeDocument/2006/relationships/image" Target="/xl/media/image4.bin" Id="R79222847e6734d40" /><Relationship Type="http://schemas.openxmlformats.org/officeDocument/2006/relationships/image" Target="/xl/media/image5.bin" Id="R76ead89f95d14054" /><Relationship Type="http://schemas.openxmlformats.org/officeDocument/2006/relationships/image" Target="/xl/media/image6.bin" Id="R362dbadba7564fe0" /><Relationship Type="http://schemas.openxmlformats.org/officeDocument/2006/relationships/image" Target="/xl/media/image7.bin" Id="Rb5a83e3d97d24292" /><Relationship Type="http://schemas.openxmlformats.org/officeDocument/2006/relationships/image" Target="/xl/media/image8.bin" Id="R9dd9aa1a86214f67" /><Relationship Type="http://schemas.openxmlformats.org/officeDocument/2006/relationships/image" Target="/xl/media/image9.bin" Id="Rd72ea93d57c64b3b" /><Relationship Type="http://schemas.openxmlformats.org/officeDocument/2006/relationships/image" Target="/xl/media/image10.bin" Id="R979abf582dd44a4c" /><Relationship Type="http://schemas.openxmlformats.org/officeDocument/2006/relationships/image" Target="/xl/media/image11.bin" Id="R59e1b25eecde4633" /><Relationship Type="http://schemas.openxmlformats.org/officeDocument/2006/relationships/image" Target="/xl/media/image12.bin" Id="R666b18b1b8104476" /><Relationship Type="http://schemas.openxmlformats.org/officeDocument/2006/relationships/image" Target="/xl/media/image13.bin" Id="Rc30b919fcf10462f" /><Relationship Type="http://schemas.openxmlformats.org/officeDocument/2006/relationships/image" Target="/xl/media/image14.bin" Id="Re30b08bff0db4eb6" /><Relationship Type="http://schemas.openxmlformats.org/officeDocument/2006/relationships/image" Target="/xl/media/image15.bin" Id="Rcafb23cde4614dd8" /><Relationship Type="http://schemas.openxmlformats.org/officeDocument/2006/relationships/image" Target="/xl/media/image16.bin" Id="R55f18f39182c4f50" /><Relationship Type="http://schemas.openxmlformats.org/officeDocument/2006/relationships/image" Target="/xl/media/image17.bin" Id="R93e27d7174234518" /><Relationship Type="http://schemas.openxmlformats.org/officeDocument/2006/relationships/image" Target="/xl/media/image18.bin" Id="R938d2198814940c9" /><Relationship Type="http://schemas.openxmlformats.org/officeDocument/2006/relationships/image" Target="/xl/media/image19.bin" Id="R2922aced3a374e9c" /><Relationship Type="http://schemas.openxmlformats.org/officeDocument/2006/relationships/image" Target="/xl/media/image20.bin" Id="Rd8f8b945cf21460b" /><Relationship Type="http://schemas.openxmlformats.org/officeDocument/2006/relationships/image" Target="/xl/media/image21.bin" Id="R63f4b74da3a247f6" /><Relationship Type="http://schemas.openxmlformats.org/officeDocument/2006/relationships/image" Target="/xl/media/image22.bin" Id="R901b2ccf7acd46bf" /><Relationship Type="http://schemas.openxmlformats.org/officeDocument/2006/relationships/image" Target="/xl/media/image23.bin" Id="R15c645f8f0e84a97" /><Relationship Type="http://schemas.openxmlformats.org/officeDocument/2006/relationships/image" Target="/xl/media/image24.bin" Id="R3246dacecc4948a5" /><Relationship Type="http://schemas.openxmlformats.org/officeDocument/2006/relationships/image" Target="/xl/media/image25.bin" Id="R5a30c3847b534e32" /><Relationship Type="http://schemas.openxmlformats.org/officeDocument/2006/relationships/image" Target="/xl/media/image26.bin" Id="R3b8b08c7de8844da" /><Relationship Type="http://schemas.openxmlformats.org/officeDocument/2006/relationships/image" Target="/xl/media/image27.bin" Id="Ra7f7d1ff6b6b4108" /><Relationship Type="http://schemas.openxmlformats.org/officeDocument/2006/relationships/image" Target="/xl/media/image28.bin" Id="R13dc8277496d4e55" /><Relationship Type="http://schemas.openxmlformats.org/officeDocument/2006/relationships/image" Target="/xl/media/image29.bin" Id="Recb09e99b6bf4de6" /><Relationship Type="http://schemas.openxmlformats.org/officeDocument/2006/relationships/image" Target="/xl/media/image30.bin" Id="Rb0478938a66242e9" /><Relationship Type="http://schemas.openxmlformats.org/officeDocument/2006/relationships/image" Target="/xl/media/image31.bin" Id="R2ac9969ac44b4004" /><Relationship Type="http://schemas.openxmlformats.org/officeDocument/2006/relationships/image" Target="/xl/media/image32.bin" Id="R960cc6ab19bf4500" /><Relationship Type="http://schemas.openxmlformats.org/officeDocument/2006/relationships/image" Target="/xl/media/image33.bin" Id="Raec5d1bcfa744c42" /><Relationship Type="http://schemas.openxmlformats.org/officeDocument/2006/relationships/image" Target="/xl/media/image34.bin" Id="Ra78f972c01d744b5" /><Relationship Type="http://schemas.openxmlformats.org/officeDocument/2006/relationships/image" Target="/xl/media/image35.bin" Id="R8178047e66a64d03" /><Relationship Type="http://schemas.openxmlformats.org/officeDocument/2006/relationships/image" Target="/xl/media/image36.bin" Id="R104442ef59c14e65" /><Relationship Type="http://schemas.openxmlformats.org/officeDocument/2006/relationships/image" Target="/xl/media/image37.bin" Id="Re834b6e52ea34e2f" /><Relationship Type="http://schemas.openxmlformats.org/officeDocument/2006/relationships/image" Target="/xl/media/image38.bin" Id="R5f9be91918cd46ca" /><Relationship Type="http://schemas.openxmlformats.org/officeDocument/2006/relationships/image" Target="/xl/media/image39.bin" Id="R9c166d550feb41ba" /><Relationship Type="http://schemas.openxmlformats.org/officeDocument/2006/relationships/image" Target="/xl/media/image40.bin" Id="Rf301660d986b400e" /><Relationship Type="http://schemas.openxmlformats.org/officeDocument/2006/relationships/image" Target="/xl/media/image41.bin" Id="R5975a2eebd7c47ac" /><Relationship Type="http://schemas.openxmlformats.org/officeDocument/2006/relationships/image" Target="/xl/media/image42.bin" Id="Rac9285fabb234c70" /><Relationship Type="http://schemas.openxmlformats.org/officeDocument/2006/relationships/image" Target="/xl/media/image43.bin" Id="R0b03a1ff4e9d4fdf" /><Relationship Type="http://schemas.openxmlformats.org/officeDocument/2006/relationships/image" Target="/xl/media/image44.bin" Id="Re53ec92ec4a845ec" /><Relationship Type="http://schemas.openxmlformats.org/officeDocument/2006/relationships/image" Target="/xl/media/image45.bin" Id="R2f73e87d6608403f" /><Relationship Type="http://schemas.openxmlformats.org/officeDocument/2006/relationships/image" Target="/xl/media/image46.bin" Id="R2bf88d0e196e428b" /><Relationship Type="http://schemas.openxmlformats.org/officeDocument/2006/relationships/image" Target="/xl/media/image47.bin" Id="R7b2c2ff23c1e4fe8" /><Relationship Type="http://schemas.openxmlformats.org/officeDocument/2006/relationships/image" Target="/xl/media/image48.bin" Id="Rb1aace21030941e2" /><Relationship Type="http://schemas.openxmlformats.org/officeDocument/2006/relationships/image" Target="/xl/media/image49.bin" Id="R4038ced9a3aa4b95" /><Relationship Type="http://schemas.openxmlformats.org/officeDocument/2006/relationships/image" Target="/xl/media/image50.bin" Id="R3af523d1b2a34af4" /><Relationship Type="http://schemas.openxmlformats.org/officeDocument/2006/relationships/image" Target="/xl/media/image51.bin" Id="R811edb52582f4ab5" /><Relationship Type="http://schemas.openxmlformats.org/officeDocument/2006/relationships/image" Target="/xl/media/image52.bin" Id="R35a7a8d302074517" /><Relationship Type="http://schemas.openxmlformats.org/officeDocument/2006/relationships/image" Target="/xl/media/image53.bin" Id="R87261a1ad0ff497e" /><Relationship Type="http://schemas.openxmlformats.org/officeDocument/2006/relationships/image" Target="/xl/media/image54.bin" Id="Ra4283fb866eb46ce" /><Relationship Type="http://schemas.openxmlformats.org/officeDocument/2006/relationships/image" Target="/xl/media/image55.bin" Id="R5b0956cbf4a34cf0" /><Relationship Type="http://schemas.openxmlformats.org/officeDocument/2006/relationships/image" Target="/xl/media/image56.bin" Id="Ree2c8459e2154de0" /><Relationship Type="http://schemas.openxmlformats.org/officeDocument/2006/relationships/image" Target="/xl/media/image57.bin" Id="R2fe0c6794447436d" /><Relationship Type="http://schemas.openxmlformats.org/officeDocument/2006/relationships/image" Target="/xl/media/image58.bin" Id="R0d6cc6fcd9bb4f87" /><Relationship Type="http://schemas.openxmlformats.org/officeDocument/2006/relationships/image" Target="/xl/media/image59.bin" Id="R67af8046a0264a37" /><Relationship Type="http://schemas.openxmlformats.org/officeDocument/2006/relationships/image" Target="/xl/media/image60.bin" Id="R6f04c76f52714585" /><Relationship Type="http://schemas.openxmlformats.org/officeDocument/2006/relationships/image" Target="/xl/media/image61.bin" Id="Radd206a5700b476f" /><Relationship Type="http://schemas.openxmlformats.org/officeDocument/2006/relationships/image" Target="/xl/media/image62.bin" Id="R5c4e99c5c44b49f7" /><Relationship Type="http://schemas.openxmlformats.org/officeDocument/2006/relationships/image" Target="/xl/media/image63.bin" Id="R4947f31a2d4948fa" /><Relationship Type="http://schemas.openxmlformats.org/officeDocument/2006/relationships/image" Target="/xl/media/image64.bin" Id="Rcd1eaa5a316a4323" /><Relationship Type="http://schemas.openxmlformats.org/officeDocument/2006/relationships/image" Target="/xl/media/image65.bin" Id="Re2b8c24626dc4175" /><Relationship Type="http://schemas.openxmlformats.org/officeDocument/2006/relationships/image" Target="/xl/media/image66.bin" Id="R58b02d1107dc4d89" /><Relationship Type="http://schemas.openxmlformats.org/officeDocument/2006/relationships/image" Target="/xl/media/image67.bin" Id="R8780b8403b17490a" /><Relationship Type="http://schemas.openxmlformats.org/officeDocument/2006/relationships/image" Target="/xl/media/image68.bin" Id="R13f95b468f034705" /><Relationship Type="http://schemas.openxmlformats.org/officeDocument/2006/relationships/image" Target="/xl/media/image69.bin" Id="R48a766a17bc04d89" /><Relationship Type="http://schemas.openxmlformats.org/officeDocument/2006/relationships/image" Target="/xl/media/image70.bin" Id="R50b76e2ae15c4a76" /><Relationship Type="http://schemas.openxmlformats.org/officeDocument/2006/relationships/image" Target="/xl/media/image71.bin" Id="R9031290cc07344d3" /><Relationship Type="http://schemas.openxmlformats.org/officeDocument/2006/relationships/image" Target="/xl/media/image72.bin" Id="R2781c3952cce4ef5" /><Relationship Type="http://schemas.openxmlformats.org/officeDocument/2006/relationships/image" Target="/xl/media/image73.bin" Id="R3c904745da574e6e" /><Relationship Type="http://schemas.openxmlformats.org/officeDocument/2006/relationships/image" Target="/xl/media/image74.bin" Id="R62789e5fe5bb4c56" /><Relationship Type="http://schemas.openxmlformats.org/officeDocument/2006/relationships/image" Target="/xl/media/image75.bin" Id="R7ce9d830e4054d1f" /><Relationship Type="http://schemas.openxmlformats.org/officeDocument/2006/relationships/image" Target="/xl/media/image76.bin" Id="R2de6568dc5a44414" /><Relationship Type="http://schemas.openxmlformats.org/officeDocument/2006/relationships/image" Target="/xl/media/image77.bin" Id="R3e71af338e31425c" /><Relationship Type="http://schemas.openxmlformats.org/officeDocument/2006/relationships/image" Target="/xl/media/image78.bin" Id="Ra1167fea0ad64b26" /><Relationship Type="http://schemas.openxmlformats.org/officeDocument/2006/relationships/image" Target="/xl/media/image79.bin" Id="Rfaa296e9bd224437" /><Relationship Type="http://schemas.openxmlformats.org/officeDocument/2006/relationships/image" Target="/xl/media/image80.bin" Id="R5d91e7b95f1d4562" /><Relationship Type="http://schemas.openxmlformats.org/officeDocument/2006/relationships/image" Target="/xl/media/image81.bin" Id="Rc3b13cb01a2340fc" /><Relationship Type="http://schemas.openxmlformats.org/officeDocument/2006/relationships/image" Target="/xl/media/image82.bin" Id="Rc535c1997b9d422c" /><Relationship Type="http://schemas.openxmlformats.org/officeDocument/2006/relationships/image" Target="/xl/media/image83.bin" Id="Rb546ca68e0c948a5" /><Relationship Type="http://schemas.openxmlformats.org/officeDocument/2006/relationships/image" Target="/xl/media/image84.bin" Id="R715c96bf8eea4c99" /><Relationship Type="http://schemas.openxmlformats.org/officeDocument/2006/relationships/image" Target="/xl/media/image85.bin" Id="R14a4c67c7d6c4b00" /><Relationship Type="http://schemas.openxmlformats.org/officeDocument/2006/relationships/image" Target="/xl/media/image86.bin" Id="Rf1eb7cd741424947" /><Relationship Type="http://schemas.openxmlformats.org/officeDocument/2006/relationships/image" Target="/xl/media/image87.bin" Id="Rfe9f07a9ca264995" /><Relationship Type="http://schemas.openxmlformats.org/officeDocument/2006/relationships/image" Target="/xl/media/image88.bin" Id="R4c5ff0713e38457c" /><Relationship Type="http://schemas.openxmlformats.org/officeDocument/2006/relationships/image" Target="/xl/media/image89.bin" Id="Rd8a5622a91234df8" /><Relationship Type="http://schemas.openxmlformats.org/officeDocument/2006/relationships/image" Target="/xl/media/image90.bin" Id="Rc096fe3f4d07461c" /><Relationship Type="http://schemas.openxmlformats.org/officeDocument/2006/relationships/image" Target="/xl/media/image91.bin" Id="R21c4d7129c4b412b" /><Relationship Type="http://schemas.openxmlformats.org/officeDocument/2006/relationships/image" Target="/xl/media/image92.bin" Id="R627003a0e15c44ca" /><Relationship Type="http://schemas.openxmlformats.org/officeDocument/2006/relationships/image" Target="/xl/media/image93.bin" Id="R063acfb4b91d4768" /><Relationship Type="http://schemas.openxmlformats.org/officeDocument/2006/relationships/image" Target="/xl/media/image94.bin" Id="R06773df46aa74d40" /><Relationship Type="http://schemas.openxmlformats.org/officeDocument/2006/relationships/image" Target="/xl/media/image95.bin" Id="Rf132a2e4da27404a" /><Relationship Type="http://schemas.openxmlformats.org/officeDocument/2006/relationships/image" Target="/xl/media/image96.bin" Id="R388a3df67dbf40cc" /><Relationship Type="http://schemas.openxmlformats.org/officeDocument/2006/relationships/image" Target="/xl/media/image97.bin" Id="R500c7ee1f31849d7" /><Relationship Type="http://schemas.openxmlformats.org/officeDocument/2006/relationships/image" Target="/xl/media/image98.bin" Id="R335f38d356464117" /><Relationship Type="http://schemas.openxmlformats.org/officeDocument/2006/relationships/image" Target="/xl/media/image99.bin" Id="Ra22a7d82f80a42c5" /><Relationship Type="http://schemas.openxmlformats.org/officeDocument/2006/relationships/image" Target="/xl/media/image100.bin" Id="R1a37a737f52b4a85" /><Relationship Type="http://schemas.openxmlformats.org/officeDocument/2006/relationships/image" Target="/xl/media/image101.bin" Id="Rcedda7c00f404aae" /><Relationship Type="http://schemas.openxmlformats.org/officeDocument/2006/relationships/image" Target="/xl/media/image102.bin" Id="Rc201a936772843d2" /><Relationship Type="http://schemas.openxmlformats.org/officeDocument/2006/relationships/image" Target="/xl/media/image103.bin" Id="R4e0187fb65d14b24" /><Relationship Type="http://schemas.openxmlformats.org/officeDocument/2006/relationships/image" Target="/xl/media/image104.bin" Id="R36ef3bfe735945a2" /><Relationship Type="http://schemas.openxmlformats.org/officeDocument/2006/relationships/image" Target="/xl/media/image105.bin" Id="Reec9c59b67b64e0d" /><Relationship Type="http://schemas.openxmlformats.org/officeDocument/2006/relationships/image" Target="/xl/media/image106.bin" Id="R0aafd727b91849d3" /><Relationship Type="http://schemas.openxmlformats.org/officeDocument/2006/relationships/image" Target="/xl/media/image107.bin" Id="R42573398c8a74df6" /><Relationship Type="http://schemas.openxmlformats.org/officeDocument/2006/relationships/image" Target="/xl/media/image108.bin" Id="R80fa32006bc04156" /><Relationship Type="http://schemas.openxmlformats.org/officeDocument/2006/relationships/image" Target="/xl/media/image109.bin" Id="R5779880914384ae0" /><Relationship Type="http://schemas.openxmlformats.org/officeDocument/2006/relationships/image" Target="/xl/media/image110.bin" Id="R0b8a992271314034" /><Relationship Type="http://schemas.openxmlformats.org/officeDocument/2006/relationships/image" Target="/xl/media/image111.bin" Id="R300ab6608f084c9f" /><Relationship Type="http://schemas.openxmlformats.org/officeDocument/2006/relationships/image" Target="/xl/media/image112.bin" Id="R3569a647f06e44b1" /><Relationship Type="http://schemas.openxmlformats.org/officeDocument/2006/relationships/image" Target="/xl/media/image113.bin" Id="R8962bfeed5ed4cb0" /><Relationship Type="http://schemas.openxmlformats.org/officeDocument/2006/relationships/image" Target="/xl/media/image114.bin" Id="Rb4da56eafb6048ba" /><Relationship Type="http://schemas.openxmlformats.org/officeDocument/2006/relationships/image" Target="/xl/media/image115.bin" Id="R5a08d17faccd473d" /><Relationship Type="http://schemas.openxmlformats.org/officeDocument/2006/relationships/image" Target="/xl/media/image116.bin" Id="Rcb47342c98184803" /><Relationship Type="http://schemas.openxmlformats.org/officeDocument/2006/relationships/image" Target="/xl/media/image117.bin" Id="R5220bbb550be4068" /><Relationship Type="http://schemas.openxmlformats.org/officeDocument/2006/relationships/image" Target="/xl/media/image118.bin" Id="R78c69989e71a49f9" /><Relationship Type="http://schemas.openxmlformats.org/officeDocument/2006/relationships/image" Target="/xl/media/image119.bin" Id="R9423087ddd914b6b" /><Relationship Type="http://schemas.openxmlformats.org/officeDocument/2006/relationships/image" Target="/xl/media/image120.bin" Id="Rb2344a354dc9465f" /><Relationship Type="http://schemas.openxmlformats.org/officeDocument/2006/relationships/image" Target="/xl/media/image121.bin" Id="R8c00ceca439c4751" /><Relationship Type="http://schemas.openxmlformats.org/officeDocument/2006/relationships/image" Target="/xl/media/image122.bin" Id="Ra621be411ec444dd" /><Relationship Type="http://schemas.openxmlformats.org/officeDocument/2006/relationships/image" Target="/xl/media/image123.bin" Id="R7c1af2efd38a4588" /><Relationship Type="http://schemas.openxmlformats.org/officeDocument/2006/relationships/image" Target="/xl/media/image124.bin" Id="R386527a662744d3d" /><Relationship Type="http://schemas.openxmlformats.org/officeDocument/2006/relationships/image" Target="/xl/media/image125.bin" Id="Rfc7e3f6e9b9745db" /><Relationship Type="http://schemas.openxmlformats.org/officeDocument/2006/relationships/image" Target="/xl/media/image126.bin" Id="R16dc01eb06024e6f" /><Relationship Type="http://schemas.openxmlformats.org/officeDocument/2006/relationships/image" Target="/xl/media/image127.bin" Id="Ra484f893e519472b" /><Relationship Type="http://schemas.openxmlformats.org/officeDocument/2006/relationships/image" Target="/xl/media/image128.bin" Id="R5f893a39c2c642c3" /><Relationship Type="http://schemas.openxmlformats.org/officeDocument/2006/relationships/image" Target="/xl/media/image129.bin" Id="R81dffdfb93874cb2" /><Relationship Type="http://schemas.openxmlformats.org/officeDocument/2006/relationships/image" Target="/xl/media/image130.bin" Id="Re9e52461318843dd" /><Relationship Type="http://schemas.openxmlformats.org/officeDocument/2006/relationships/image" Target="/xl/media/image131.bin" Id="Rda48181e48e54f4d" /><Relationship Type="http://schemas.openxmlformats.org/officeDocument/2006/relationships/image" Target="/xl/media/image132.bin" Id="R456c3c903d264bde" /><Relationship Type="http://schemas.openxmlformats.org/officeDocument/2006/relationships/image" Target="/xl/media/image133.bin" Id="Ra1e5e0981f55459e" /><Relationship Type="http://schemas.openxmlformats.org/officeDocument/2006/relationships/image" Target="/xl/media/image134.bin" Id="Rd62e6532be3b4a55" /><Relationship Type="http://schemas.openxmlformats.org/officeDocument/2006/relationships/image" Target="/xl/media/image135.bin" Id="Rbc4d17eaaa8f425a" /><Relationship Type="http://schemas.openxmlformats.org/officeDocument/2006/relationships/image" Target="/xl/media/image136.bin" Id="Reacc14b46c1c47d7" /><Relationship Type="http://schemas.openxmlformats.org/officeDocument/2006/relationships/image" Target="/xl/media/image137.bin" Id="R67a73f4f350a433b" /><Relationship Type="http://schemas.openxmlformats.org/officeDocument/2006/relationships/image" Target="/xl/media/image138.bin" Id="Ra010d3790d8c408a" /><Relationship Type="http://schemas.openxmlformats.org/officeDocument/2006/relationships/image" Target="/xl/media/image139.bin" Id="R5757e21dc1c54b72" /><Relationship Type="http://schemas.openxmlformats.org/officeDocument/2006/relationships/image" Target="/xl/media/image140.bin" Id="R2673d4edb9534a0c" /><Relationship Type="http://schemas.openxmlformats.org/officeDocument/2006/relationships/image" Target="/xl/media/image141.bin" Id="Ra127c73d19584c5b" /><Relationship Type="http://schemas.openxmlformats.org/officeDocument/2006/relationships/image" Target="/xl/media/image142.bin" Id="R4d20d31b022e4510" /><Relationship Type="http://schemas.openxmlformats.org/officeDocument/2006/relationships/image" Target="/xl/media/image143.bin" Id="R46521e901d5d4ef7" /><Relationship Type="http://schemas.openxmlformats.org/officeDocument/2006/relationships/image" Target="/xl/media/image144.bin" Id="R40d4aa7ddcd34b59" /><Relationship Type="http://schemas.openxmlformats.org/officeDocument/2006/relationships/image" Target="/xl/media/image145.bin" Id="R38412786b61845d0" /><Relationship Type="http://schemas.openxmlformats.org/officeDocument/2006/relationships/image" Target="/xl/media/image146.bin" Id="R1a99534d0c53420a" /><Relationship Type="http://schemas.openxmlformats.org/officeDocument/2006/relationships/image" Target="/xl/media/image147.bin" Id="R88f005329c194d23" /><Relationship Type="http://schemas.openxmlformats.org/officeDocument/2006/relationships/image" Target="/xl/media/image148.bin" Id="R92d48944cc8e4ca8" /><Relationship Type="http://schemas.openxmlformats.org/officeDocument/2006/relationships/image" Target="/xl/media/image149.bin" Id="R496763d76e474096" /><Relationship Type="http://schemas.openxmlformats.org/officeDocument/2006/relationships/image" Target="/xl/media/image150.bin" Id="Rfcc5712d22ac4bc2" /><Relationship Type="http://schemas.openxmlformats.org/officeDocument/2006/relationships/image" Target="/xl/media/image151.bin" Id="Re3189b79c88e4dd3" /><Relationship Type="http://schemas.openxmlformats.org/officeDocument/2006/relationships/image" Target="/xl/media/image152.bin" Id="R25d36c9a51dd4594" /><Relationship Type="http://schemas.openxmlformats.org/officeDocument/2006/relationships/image" Target="/xl/media/image153.bin" Id="R97e91b294f76467c" /><Relationship Type="http://schemas.openxmlformats.org/officeDocument/2006/relationships/image" Target="/xl/media/image154.bin" Id="Rf20b2fb295eb4f6a" /><Relationship Type="http://schemas.openxmlformats.org/officeDocument/2006/relationships/image" Target="/xl/media/image155.bin" Id="Rc66053d33e8248ca" /><Relationship Type="http://schemas.openxmlformats.org/officeDocument/2006/relationships/image" Target="/xl/media/image156.bin" Id="Rbb96ded13887490d" /><Relationship Type="http://schemas.openxmlformats.org/officeDocument/2006/relationships/image" Target="/xl/media/image157.bin" Id="R0fd2d31b3122496e" /><Relationship Type="http://schemas.openxmlformats.org/officeDocument/2006/relationships/image" Target="/xl/media/image158.bin" Id="R9075480cd56841e8" /><Relationship Type="http://schemas.openxmlformats.org/officeDocument/2006/relationships/image" Target="/xl/media/image159.bin" Id="R5cc380eb92cc40cf" /><Relationship Type="http://schemas.openxmlformats.org/officeDocument/2006/relationships/image" Target="/xl/media/image160.bin" Id="Rb20a0c1b895846fb" /><Relationship Type="http://schemas.openxmlformats.org/officeDocument/2006/relationships/image" Target="/xl/media/image161.bin" Id="R05bae996babd4946" /><Relationship Type="http://schemas.openxmlformats.org/officeDocument/2006/relationships/image" Target="/xl/media/image162.bin" Id="R95bfa54687014fef" /><Relationship Type="http://schemas.openxmlformats.org/officeDocument/2006/relationships/image" Target="/xl/media/image163.bin" Id="Rd473b5f419414074" /><Relationship Type="http://schemas.openxmlformats.org/officeDocument/2006/relationships/image" Target="/xl/media/image164.bin" Id="R32fb386f8fe04070" /><Relationship Type="http://schemas.openxmlformats.org/officeDocument/2006/relationships/image" Target="/xl/media/image165.bin" Id="R175fb6c27abe4072" /><Relationship Type="http://schemas.openxmlformats.org/officeDocument/2006/relationships/image" Target="/xl/media/image166.bin" Id="R69f7aebf74ad4d13" /><Relationship Type="http://schemas.openxmlformats.org/officeDocument/2006/relationships/image" Target="/xl/media/image167.bin" Id="R6b3e0458843c4841" /><Relationship Type="http://schemas.openxmlformats.org/officeDocument/2006/relationships/image" Target="/xl/media/image168.bin" Id="R3d01c0b8ece84b42" /><Relationship Type="http://schemas.openxmlformats.org/officeDocument/2006/relationships/image" Target="/xl/media/image169.bin" Id="Rad20f9cacff94dc6" /><Relationship Type="http://schemas.openxmlformats.org/officeDocument/2006/relationships/image" Target="/xl/media/image170.bin" Id="Rf174cca43fe74a3d" /><Relationship Type="http://schemas.openxmlformats.org/officeDocument/2006/relationships/image" Target="/xl/media/image171.bin" Id="Rbe3526a0461f4a48" /><Relationship Type="http://schemas.openxmlformats.org/officeDocument/2006/relationships/image" Target="/xl/media/image172.bin" Id="R5aadcbcc13354027" /><Relationship Type="http://schemas.openxmlformats.org/officeDocument/2006/relationships/image" Target="/xl/media/image173.bin" Id="Raeea0039396b4725" /><Relationship Type="http://schemas.openxmlformats.org/officeDocument/2006/relationships/image" Target="/xl/media/image174.bin" Id="Rdeb8931e5dbe4d46" /><Relationship Type="http://schemas.openxmlformats.org/officeDocument/2006/relationships/image" Target="/xl/media/image175.bin" Id="Rdd4e866a342642ab" /><Relationship Type="http://schemas.openxmlformats.org/officeDocument/2006/relationships/image" Target="/xl/media/image176.bin" Id="R99ae2624822945d7" /><Relationship Type="http://schemas.openxmlformats.org/officeDocument/2006/relationships/image" Target="/xl/media/image177.bin" Id="R2c56ba5f36aa486c" /><Relationship Type="http://schemas.openxmlformats.org/officeDocument/2006/relationships/image" Target="/xl/media/image178.bin" Id="Rfaa98b8fee5d4b35" /><Relationship Type="http://schemas.openxmlformats.org/officeDocument/2006/relationships/image" Target="/xl/media/image179.bin" Id="R401ee8dfb9b84cad" /><Relationship Type="http://schemas.openxmlformats.org/officeDocument/2006/relationships/image" Target="/xl/media/image180.bin" Id="R6723d9b4d77e4610" /><Relationship Type="http://schemas.openxmlformats.org/officeDocument/2006/relationships/image" Target="/xl/media/image181.bin" Id="Rb2189fac986043d7" /><Relationship Type="http://schemas.openxmlformats.org/officeDocument/2006/relationships/image" Target="/xl/media/image182.bin" Id="R15407c5e655d45e7" /><Relationship Type="http://schemas.openxmlformats.org/officeDocument/2006/relationships/image" Target="/xl/media/image183.bin" Id="R53d86c834f8845db" /><Relationship Type="http://schemas.openxmlformats.org/officeDocument/2006/relationships/image" Target="/xl/media/image184.bin" Id="R83ce0ed64e20431e" /><Relationship Type="http://schemas.openxmlformats.org/officeDocument/2006/relationships/image" Target="/xl/media/image185.bin" Id="R3b37415273234742" /><Relationship Type="http://schemas.openxmlformats.org/officeDocument/2006/relationships/image" Target="/xl/media/image186.bin" Id="R82478a084ea54919" /><Relationship Type="http://schemas.openxmlformats.org/officeDocument/2006/relationships/image" Target="/xl/media/image187.bin" Id="R1605b08c53d048ad" /><Relationship Type="http://schemas.openxmlformats.org/officeDocument/2006/relationships/image" Target="/xl/media/image188.bin" Id="R042e0d91b029428d" /><Relationship Type="http://schemas.openxmlformats.org/officeDocument/2006/relationships/image" Target="/xl/media/image189.bin" Id="R790ca44dd24d40a2" /><Relationship Type="http://schemas.openxmlformats.org/officeDocument/2006/relationships/image" Target="/xl/media/image190.bin" Id="R415e9b7f2adc471f" /><Relationship Type="http://schemas.openxmlformats.org/officeDocument/2006/relationships/image" Target="/xl/media/image191.bin" Id="Rbeec27232e2f45dc" /><Relationship Type="http://schemas.openxmlformats.org/officeDocument/2006/relationships/image" Target="/xl/media/image192.bin" Id="Rc44295d3d51b4e41" /><Relationship Type="http://schemas.openxmlformats.org/officeDocument/2006/relationships/image" Target="/xl/media/image193.bin" Id="R5c6332ca58e44416" /><Relationship Type="http://schemas.openxmlformats.org/officeDocument/2006/relationships/image" Target="/xl/media/image194.bin" Id="R531375d9e0ba423e" /><Relationship Type="http://schemas.openxmlformats.org/officeDocument/2006/relationships/image" Target="/xl/media/image195.bin" Id="R400c685686a54bc4" /><Relationship Type="http://schemas.openxmlformats.org/officeDocument/2006/relationships/image" Target="/xl/media/image196.bin" Id="R54070acc6d004713" /><Relationship Type="http://schemas.openxmlformats.org/officeDocument/2006/relationships/image" Target="/xl/media/image197.bin" Id="Rb73a9a074ccf441c" /><Relationship Type="http://schemas.openxmlformats.org/officeDocument/2006/relationships/image" Target="/xl/media/image198.bin" Id="R9c3641fd01bf4d30" /><Relationship Type="http://schemas.openxmlformats.org/officeDocument/2006/relationships/image" Target="/xl/media/image199.bin" Id="R53470e1d8d104e93" /><Relationship Type="http://schemas.openxmlformats.org/officeDocument/2006/relationships/image" Target="/xl/media/image200.bin" Id="R4a748a55e87b44e6" /><Relationship Type="http://schemas.openxmlformats.org/officeDocument/2006/relationships/image" Target="/xl/media/image201.bin" Id="R6a6bb57f50394649" /><Relationship Type="http://schemas.openxmlformats.org/officeDocument/2006/relationships/image" Target="/xl/media/image202.bin" Id="Ra55ac32089d64498" /><Relationship Type="http://schemas.openxmlformats.org/officeDocument/2006/relationships/image" Target="/xl/media/image203.bin" Id="Ra577c656462c4b37" /><Relationship Type="http://schemas.openxmlformats.org/officeDocument/2006/relationships/image" Target="/xl/media/image204.bin" Id="R3f9f4849d0324fa1" /><Relationship Type="http://schemas.openxmlformats.org/officeDocument/2006/relationships/image" Target="/xl/media/image205.bin" Id="R8091a0762ef74d2c" /><Relationship Type="http://schemas.openxmlformats.org/officeDocument/2006/relationships/image" Target="/xl/media/image206.bin" Id="R23b1ec4b1a0647ec" /><Relationship Type="http://schemas.openxmlformats.org/officeDocument/2006/relationships/image" Target="/xl/media/image207.bin" Id="R3195f78d83a3407f" /><Relationship Type="http://schemas.openxmlformats.org/officeDocument/2006/relationships/image" Target="/xl/media/image208.bin" Id="R60074b4d7e6645e4" /><Relationship Type="http://schemas.openxmlformats.org/officeDocument/2006/relationships/image" Target="/xl/media/image209.bin" Id="R71c4a474c43f42c5" /><Relationship Type="http://schemas.openxmlformats.org/officeDocument/2006/relationships/image" Target="/xl/media/image210.bin" Id="R81aa0c958f8d4c58" /><Relationship Type="http://schemas.openxmlformats.org/officeDocument/2006/relationships/image" Target="/xl/media/image211.bin" Id="R056d8c986f834b32" /><Relationship Type="http://schemas.openxmlformats.org/officeDocument/2006/relationships/image" Target="/xl/media/image212.bin" Id="R5c1919751cd440b2" /><Relationship Type="http://schemas.openxmlformats.org/officeDocument/2006/relationships/image" Target="/xl/media/image213.bin" Id="R42c1a19f37b74c02" /><Relationship Type="http://schemas.openxmlformats.org/officeDocument/2006/relationships/image" Target="/xl/media/image214.bin" Id="Re10fe80a0b88423b" /><Relationship Type="http://schemas.openxmlformats.org/officeDocument/2006/relationships/image" Target="/xl/media/image215.bin" Id="R66e10db14ead4a0a" /><Relationship Type="http://schemas.openxmlformats.org/officeDocument/2006/relationships/image" Target="/xl/media/image216.bin" Id="R5360340b4899498e" /><Relationship Type="http://schemas.openxmlformats.org/officeDocument/2006/relationships/image" Target="/xl/media/image217.bin" Id="Rbdc1998292344d04" /><Relationship Type="http://schemas.openxmlformats.org/officeDocument/2006/relationships/image" Target="/xl/media/image218.bin" Id="R5b02349091524882" /><Relationship Type="http://schemas.openxmlformats.org/officeDocument/2006/relationships/image" Target="/xl/media/image219.bin" Id="R4c7d62cc30cc448e" /><Relationship Type="http://schemas.openxmlformats.org/officeDocument/2006/relationships/image" Target="/xl/media/image220.bin" Id="R1f356872b596403c" /><Relationship Type="http://schemas.openxmlformats.org/officeDocument/2006/relationships/image" Target="/xl/media/image221.bin" Id="Rce6f9b79f4d443c0" /><Relationship Type="http://schemas.openxmlformats.org/officeDocument/2006/relationships/image" Target="/xl/media/image222.bin" Id="Raf0b290893f54dc3" /><Relationship Type="http://schemas.openxmlformats.org/officeDocument/2006/relationships/image" Target="/xl/media/image223.bin" Id="Rc6360be9073441ab" /><Relationship Type="http://schemas.openxmlformats.org/officeDocument/2006/relationships/image" Target="/xl/media/image224.bin" Id="R403a6af73e79459c" /><Relationship Type="http://schemas.openxmlformats.org/officeDocument/2006/relationships/image" Target="/xl/media/image225.bin" Id="Re1db89474fa6471f" /><Relationship Type="http://schemas.openxmlformats.org/officeDocument/2006/relationships/image" Target="/xl/media/image226.bin" Id="Rd05e1895119f4f38" /><Relationship Type="http://schemas.openxmlformats.org/officeDocument/2006/relationships/image" Target="/xl/media/image227.bin" Id="R22664f41fb664930" /><Relationship Type="http://schemas.openxmlformats.org/officeDocument/2006/relationships/image" Target="/xl/media/image228.bin" Id="R13a120f6b8794ab1" /><Relationship Type="http://schemas.openxmlformats.org/officeDocument/2006/relationships/image" Target="/xl/media/image229.bin" Id="Re095cad6d3194fea" /><Relationship Type="http://schemas.openxmlformats.org/officeDocument/2006/relationships/image" Target="/xl/media/image230.bin" Id="Rf338678eae284048" /><Relationship Type="http://schemas.openxmlformats.org/officeDocument/2006/relationships/image" Target="/xl/media/image231.bin" Id="R21e5b02603ce4789" /><Relationship Type="http://schemas.openxmlformats.org/officeDocument/2006/relationships/image" Target="/xl/media/image232.bin" Id="R4e0a20fdcaf04b61" /><Relationship Type="http://schemas.openxmlformats.org/officeDocument/2006/relationships/image" Target="/xl/media/image233.bin" Id="R333bca13e97546ac" /><Relationship Type="http://schemas.openxmlformats.org/officeDocument/2006/relationships/image" Target="/xl/media/image234.bin" Id="R0f9f87f1208b4eb0" /><Relationship Type="http://schemas.openxmlformats.org/officeDocument/2006/relationships/image" Target="/xl/media/image235.bin" Id="R4966e725668b4188" /><Relationship Type="http://schemas.openxmlformats.org/officeDocument/2006/relationships/image" Target="/xl/media/image236.bin" Id="Rdddaf896a3c44f3f" /><Relationship Type="http://schemas.openxmlformats.org/officeDocument/2006/relationships/image" Target="/xl/media/image237.bin" Id="R5abc9d91715f4ae6" /><Relationship Type="http://schemas.openxmlformats.org/officeDocument/2006/relationships/image" Target="/xl/media/image238.bin" Id="Rdb14196ba19741ea" /><Relationship Type="http://schemas.openxmlformats.org/officeDocument/2006/relationships/image" Target="/xl/media/image239.bin" Id="R677e4799535c4481" /><Relationship Type="http://schemas.openxmlformats.org/officeDocument/2006/relationships/image" Target="/xl/media/image240.bin" Id="Rea2ead9ec1c447ba" /><Relationship Type="http://schemas.openxmlformats.org/officeDocument/2006/relationships/image" Target="/xl/media/image241.bin" Id="R5d8cb29fe7e44b94" /><Relationship Type="http://schemas.openxmlformats.org/officeDocument/2006/relationships/image" Target="/xl/media/image242.bin" Id="R8dd91f5052864df5" /><Relationship Type="http://schemas.openxmlformats.org/officeDocument/2006/relationships/image" Target="/xl/media/image243.bin" Id="Rcca33df00df34d72" /><Relationship Type="http://schemas.openxmlformats.org/officeDocument/2006/relationships/image" Target="/xl/media/image244.bin" Id="Rfa51aa6c38bf4c9e" /><Relationship Type="http://schemas.openxmlformats.org/officeDocument/2006/relationships/image" Target="/xl/media/image245.bin" Id="Rbc2c5d58905e426c" /><Relationship Type="http://schemas.openxmlformats.org/officeDocument/2006/relationships/image" Target="/xl/media/image246.bin" Id="R6aed0ed54f8c4194" /><Relationship Type="http://schemas.openxmlformats.org/officeDocument/2006/relationships/image" Target="/xl/media/image247.bin" Id="R57e1c5a9a1e84a45" /><Relationship Type="http://schemas.openxmlformats.org/officeDocument/2006/relationships/image" Target="/xl/media/image248.bin" Id="Re415a90af151483e" /><Relationship Type="http://schemas.openxmlformats.org/officeDocument/2006/relationships/image" Target="/xl/media/image249.bin" Id="Rd33430966a78471b" /><Relationship Type="http://schemas.openxmlformats.org/officeDocument/2006/relationships/image" Target="/xl/media/image250.bin" Id="R9ab7bafb4953419c" /><Relationship Type="http://schemas.openxmlformats.org/officeDocument/2006/relationships/image" Target="/xl/media/image251.bin" Id="Re7dcc2f807074559" /><Relationship Type="http://schemas.openxmlformats.org/officeDocument/2006/relationships/image" Target="/xl/media/image252.bin" Id="R582c7aeac24f4af9" /><Relationship Type="http://schemas.openxmlformats.org/officeDocument/2006/relationships/image" Target="/xl/media/image253.bin" Id="R8b5ae00e17904fae" /><Relationship Type="http://schemas.openxmlformats.org/officeDocument/2006/relationships/image" Target="/xl/media/image254.bin" Id="Rdb9e5ac2b7bc4091" /><Relationship Type="http://schemas.openxmlformats.org/officeDocument/2006/relationships/image" Target="/xl/media/image255.bin" Id="R4f59f0340bdf470a" /><Relationship Type="http://schemas.openxmlformats.org/officeDocument/2006/relationships/image" Target="/xl/media/image256.bin" Id="R670b2cf1e21b4020" /><Relationship Type="http://schemas.openxmlformats.org/officeDocument/2006/relationships/image" Target="/xl/media/image257.bin" Id="R00ec758e3f324204" /><Relationship Type="http://schemas.openxmlformats.org/officeDocument/2006/relationships/image" Target="/xl/media/image258.bin" Id="R86861fe68f9a4e5f" /><Relationship Type="http://schemas.openxmlformats.org/officeDocument/2006/relationships/image" Target="/xl/media/image259.bin" Id="R1de039134c694f4d" /><Relationship Type="http://schemas.openxmlformats.org/officeDocument/2006/relationships/image" Target="/xl/media/image260.bin" Id="Raf40c4526ebf4b98" /><Relationship Type="http://schemas.openxmlformats.org/officeDocument/2006/relationships/image" Target="/xl/media/image261.bin" Id="R23a633aec89b4557" /><Relationship Type="http://schemas.openxmlformats.org/officeDocument/2006/relationships/image" Target="/xl/media/image262.bin" Id="R2aba0dd0ad714820" /><Relationship Type="http://schemas.openxmlformats.org/officeDocument/2006/relationships/image" Target="/xl/media/image263.bin" Id="R9844db83b3394711" /><Relationship Type="http://schemas.openxmlformats.org/officeDocument/2006/relationships/image" Target="/xl/media/image264.bin" Id="R93b528e6e37b4caf" /><Relationship Type="http://schemas.openxmlformats.org/officeDocument/2006/relationships/image" Target="/xl/media/image265.bin" Id="R719526dfe5d04cc2" /><Relationship Type="http://schemas.openxmlformats.org/officeDocument/2006/relationships/image" Target="/xl/media/image266.bin" Id="Rcffa8c7aaad14086" /><Relationship Type="http://schemas.openxmlformats.org/officeDocument/2006/relationships/image" Target="/xl/media/image267.bin" Id="Rd257d7bb62544195" /><Relationship Type="http://schemas.openxmlformats.org/officeDocument/2006/relationships/image" Target="/xl/media/image268.bin" Id="R6b089da571154351" /><Relationship Type="http://schemas.openxmlformats.org/officeDocument/2006/relationships/image" Target="/xl/media/image269.bin" Id="R98439d98bb6640cb" /><Relationship Type="http://schemas.openxmlformats.org/officeDocument/2006/relationships/image" Target="/xl/media/image270.bin" Id="Reb694f44781d4e8c" /><Relationship Type="http://schemas.openxmlformats.org/officeDocument/2006/relationships/image" Target="/xl/media/image271.bin" Id="R3cfbe34e2f8e41a5" /><Relationship Type="http://schemas.openxmlformats.org/officeDocument/2006/relationships/image" Target="/xl/media/image272.bin" Id="Rf663e683c0d241d7" /><Relationship Type="http://schemas.openxmlformats.org/officeDocument/2006/relationships/image" Target="/xl/media/image273.bin" Id="R6233b66abff0497e" /><Relationship Type="http://schemas.openxmlformats.org/officeDocument/2006/relationships/image" Target="/xl/media/image274.bin" Id="R1305b1b5fa4b44c7" /><Relationship Type="http://schemas.openxmlformats.org/officeDocument/2006/relationships/image" Target="/xl/media/image275.bin" Id="R3ad0d54d9f8446eb" /><Relationship Type="http://schemas.openxmlformats.org/officeDocument/2006/relationships/image" Target="/xl/media/image276.bin" Id="Rd65214d3cd924c4e" /><Relationship Type="http://schemas.openxmlformats.org/officeDocument/2006/relationships/image" Target="/xl/media/image277.bin" Id="R138c894e2d934a8d" /><Relationship Type="http://schemas.openxmlformats.org/officeDocument/2006/relationships/image" Target="/xl/media/image278.bin" Id="Rf0b230c6ce55401f" /><Relationship Type="http://schemas.openxmlformats.org/officeDocument/2006/relationships/image" Target="/xl/media/image279.bin" Id="R66390d2bbdab4090" /><Relationship Type="http://schemas.openxmlformats.org/officeDocument/2006/relationships/image" Target="/xl/media/image280.bin" Id="Rfa3e3e7026cf443b" /><Relationship Type="http://schemas.openxmlformats.org/officeDocument/2006/relationships/image" Target="/xl/media/image281.bin" Id="Rca3de2b893a24e69" /><Relationship Type="http://schemas.openxmlformats.org/officeDocument/2006/relationships/image" Target="/xl/media/image282.bin" Id="R631541cb9580453f" /><Relationship Type="http://schemas.openxmlformats.org/officeDocument/2006/relationships/image" Target="/xl/media/image283.bin" Id="R972ab46d47964239" /><Relationship Type="http://schemas.openxmlformats.org/officeDocument/2006/relationships/image" Target="/xl/media/image284.bin" Id="R5506b0abbf7840dd" /><Relationship Type="http://schemas.openxmlformats.org/officeDocument/2006/relationships/image" Target="/xl/media/image285.bin" Id="Rbaa9beaf906045f1" /><Relationship Type="http://schemas.openxmlformats.org/officeDocument/2006/relationships/image" Target="/xl/media/image286.bin" Id="R0357691461b64cda" /><Relationship Type="http://schemas.openxmlformats.org/officeDocument/2006/relationships/image" Target="/xl/media/image287.bin" Id="Re30bf1b7452f4645" /><Relationship Type="http://schemas.openxmlformats.org/officeDocument/2006/relationships/image" Target="/xl/media/image288.bin" Id="R9a9d0aabbbd84955" /><Relationship Type="http://schemas.openxmlformats.org/officeDocument/2006/relationships/image" Target="/xl/media/image289.bin" Id="R0d326fb1d23e487f" /><Relationship Type="http://schemas.openxmlformats.org/officeDocument/2006/relationships/image" Target="/xl/media/image290.bin" Id="R6b69c8fb96a749fb" /><Relationship Type="http://schemas.openxmlformats.org/officeDocument/2006/relationships/image" Target="/xl/media/image291.bin" Id="R776120fb9a8f4b3b" /><Relationship Type="http://schemas.openxmlformats.org/officeDocument/2006/relationships/image" Target="/xl/media/image292.bin" Id="Rc370dddc9c05409e" /><Relationship Type="http://schemas.openxmlformats.org/officeDocument/2006/relationships/image" Target="/xl/media/image293.bin" Id="R3a9ded6d5d9c4445" /><Relationship Type="http://schemas.openxmlformats.org/officeDocument/2006/relationships/image" Target="/xl/media/image294.bin" Id="R7449b70890dd493f" /><Relationship Type="http://schemas.openxmlformats.org/officeDocument/2006/relationships/image" Target="/xl/media/image295.bin" Id="R844bf9e4e2c34fe4" /><Relationship Type="http://schemas.openxmlformats.org/officeDocument/2006/relationships/image" Target="/xl/media/image296.bin" Id="R7a2a35f4933b4391" /><Relationship Type="http://schemas.openxmlformats.org/officeDocument/2006/relationships/image" Target="/xl/media/image297.bin" Id="R71a51714e1e247bc" /><Relationship Type="http://schemas.openxmlformats.org/officeDocument/2006/relationships/image" Target="/xl/media/image298.bin" Id="Re3811421c9934343" /><Relationship Type="http://schemas.openxmlformats.org/officeDocument/2006/relationships/image" Target="/xl/media/image299.bin" Id="R28edcf8ed05c401e" /><Relationship Type="http://schemas.openxmlformats.org/officeDocument/2006/relationships/image" Target="/xl/media/image300.bin" Id="Rb8f956dcf72c4426" /><Relationship Type="http://schemas.openxmlformats.org/officeDocument/2006/relationships/image" Target="/xl/media/image301.bin" Id="R1fbb9847acaa4f03" /><Relationship Type="http://schemas.openxmlformats.org/officeDocument/2006/relationships/image" Target="/xl/media/image302.bin" Id="Rb4ea179cbc744cf2" /><Relationship Type="http://schemas.openxmlformats.org/officeDocument/2006/relationships/image" Target="/xl/media/image303.bin" Id="Re2c462805a244b2d" /><Relationship Type="http://schemas.openxmlformats.org/officeDocument/2006/relationships/image" Target="/xl/media/image304.bin" Id="Rff87e414f9b549a0" /><Relationship Type="http://schemas.openxmlformats.org/officeDocument/2006/relationships/image" Target="/xl/media/image305.bin" Id="Re575323516124230" /><Relationship Type="http://schemas.openxmlformats.org/officeDocument/2006/relationships/image" Target="/xl/media/image306.bin" Id="R740a428249394c15" /><Relationship Type="http://schemas.openxmlformats.org/officeDocument/2006/relationships/image" Target="/xl/media/image307.bin" Id="Rb43b52aebd7c4946" /><Relationship Type="http://schemas.openxmlformats.org/officeDocument/2006/relationships/image" Target="/xl/media/image308.bin" Id="Rbb39715f02d24d41" /><Relationship Type="http://schemas.openxmlformats.org/officeDocument/2006/relationships/image" Target="/xl/media/image309.bin" Id="R0c610218f48a455f" /><Relationship Type="http://schemas.openxmlformats.org/officeDocument/2006/relationships/image" Target="/xl/media/image310.bin" Id="R4aff5b7c790847fb" /><Relationship Type="http://schemas.openxmlformats.org/officeDocument/2006/relationships/image" Target="/xl/media/image311.bin" Id="R7a0717c328d241b6" /><Relationship Type="http://schemas.openxmlformats.org/officeDocument/2006/relationships/image" Target="/xl/media/image312.bin" Id="R40eff983ffa841d6" /><Relationship Type="http://schemas.openxmlformats.org/officeDocument/2006/relationships/image" Target="/xl/media/image313.bin" Id="Rb113286684b441fb" /><Relationship Type="http://schemas.openxmlformats.org/officeDocument/2006/relationships/image" Target="/xl/media/image314.bin" Id="R65d36affe47440f9" /><Relationship Type="http://schemas.openxmlformats.org/officeDocument/2006/relationships/image" Target="/xl/media/image315.bin" Id="R3d8361c322164161" /><Relationship Type="http://schemas.openxmlformats.org/officeDocument/2006/relationships/image" Target="/xl/media/image316.bin" Id="R76d6352cdb2b4dd3" /><Relationship Type="http://schemas.openxmlformats.org/officeDocument/2006/relationships/image" Target="/xl/media/image317.bin" Id="R098eacfc67614aaa" /><Relationship Type="http://schemas.openxmlformats.org/officeDocument/2006/relationships/image" Target="/xl/media/image318.bin" Id="Rc41bce568f59476f" /><Relationship Type="http://schemas.openxmlformats.org/officeDocument/2006/relationships/image" Target="/xl/media/image319.bin" Id="Ra96d34ead80b44cc" /><Relationship Type="http://schemas.openxmlformats.org/officeDocument/2006/relationships/image" Target="/xl/media/image320.bin" Id="R3066bf058dbe4473" /><Relationship Type="http://schemas.openxmlformats.org/officeDocument/2006/relationships/image" Target="/xl/media/image321.bin" Id="R775c0c62c5b34cc1" /><Relationship Type="http://schemas.openxmlformats.org/officeDocument/2006/relationships/image" Target="/xl/media/image322.bin" Id="R54efa3f327ab4e3d" /><Relationship Type="http://schemas.openxmlformats.org/officeDocument/2006/relationships/image" Target="/xl/media/image323.bin" Id="Rc1a75b80cb0c4f75" /><Relationship Type="http://schemas.openxmlformats.org/officeDocument/2006/relationships/image" Target="/xl/media/image324.bin" Id="Rc0d09cb1a71042aa" /><Relationship Type="http://schemas.openxmlformats.org/officeDocument/2006/relationships/image" Target="/xl/media/image325.bin" Id="R4edd0b34055b4fc1" /><Relationship Type="http://schemas.openxmlformats.org/officeDocument/2006/relationships/image" Target="/xl/media/image326.bin" Id="R2c1dfd7cafab4750" /><Relationship Type="http://schemas.openxmlformats.org/officeDocument/2006/relationships/image" Target="/xl/media/image327.bin" Id="R3dbd0b423e1743fc" /><Relationship Type="http://schemas.openxmlformats.org/officeDocument/2006/relationships/image" Target="/xl/media/image328.bin" Id="R834080ee89f549ba" /><Relationship Type="http://schemas.openxmlformats.org/officeDocument/2006/relationships/image" Target="/xl/media/image329.bin" Id="R17643eaf24984607" /><Relationship Type="http://schemas.openxmlformats.org/officeDocument/2006/relationships/image" Target="/xl/media/image330.bin" Id="R07c23b1e642c4554" /><Relationship Type="http://schemas.openxmlformats.org/officeDocument/2006/relationships/image" Target="/xl/media/image331.bin" Id="Rebe253b5613d49c6" /><Relationship Type="http://schemas.openxmlformats.org/officeDocument/2006/relationships/image" Target="/xl/media/image332.bin" Id="Raf3794fc4746404d" /><Relationship Type="http://schemas.openxmlformats.org/officeDocument/2006/relationships/image" Target="/xl/media/image333.bin" Id="R8279bfef92dd46eb" /><Relationship Type="http://schemas.openxmlformats.org/officeDocument/2006/relationships/image" Target="/xl/media/image334.bin" Id="R9e8b769e7b8b41ef" /><Relationship Type="http://schemas.openxmlformats.org/officeDocument/2006/relationships/image" Target="/xl/media/image335.bin" Id="Ra9c9e79b95dc4d20" /><Relationship Type="http://schemas.openxmlformats.org/officeDocument/2006/relationships/image" Target="/xl/media/image336.bin" Id="Rf56c157210394a4e" /><Relationship Type="http://schemas.openxmlformats.org/officeDocument/2006/relationships/image" Target="/xl/media/image337.bin" Id="R391d84a00ed34998" /><Relationship Type="http://schemas.openxmlformats.org/officeDocument/2006/relationships/image" Target="/xl/media/image338.bin" Id="Rf9e1c9d2f4c040f7" /><Relationship Type="http://schemas.openxmlformats.org/officeDocument/2006/relationships/image" Target="/xl/media/image339.bin" Id="Re1b05aa1fb1247a3" /><Relationship Type="http://schemas.openxmlformats.org/officeDocument/2006/relationships/image" Target="/xl/media/image340.bin" Id="Rf8ee688e5251462d" /><Relationship Type="http://schemas.openxmlformats.org/officeDocument/2006/relationships/image" Target="/xl/media/image341.bin" Id="R4e3f291960974d76" /><Relationship Type="http://schemas.openxmlformats.org/officeDocument/2006/relationships/image" Target="/xl/media/image342.bin" Id="R5fd4a8052504412e" /><Relationship Type="http://schemas.openxmlformats.org/officeDocument/2006/relationships/image" Target="/xl/media/image343.bin" Id="R00b5a1125ebf46dd" /><Relationship Type="http://schemas.openxmlformats.org/officeDocument/2006/relationships/image" Target="/xl/media/image344.bin" Id="Rd83b5b9e34d94f3a" /><Relationship Type="http://schemas.openxmlformats.org/officeDocument/2006/relationships/image" Target="/xl/media/image345.bin" Id="R7152e335c0cc4df5" /><Relationship Type="http://schemas.openxmlformats.org/officeDocument/2006/relationships/image" Target="/xl/media/image346.bin" Id="R0f8e2fd182524bef" /><Relationship Type="http://schemas.openxmlformats.org/officeDocument/2006/relationships/image" Target="/xl/media/image347.bin" Id="Rbde498bbd98d40e7" /><Relationship Type="http://schemas.openxmlformats.org/officeDocument/2006/relationships/image" Target="/xl/media/image348.bin" Id="Ra817104a49f84c03" /><Relationship Type="http://schemas.openxmlformats.org/officeDocument/2006/relationships/image" Target="/xl/media/image349.bin" Id="R1fbc23eb1dfd40ea" /><Relationship Type="http://schemas.openxmlformats.org/officeDocument/2006/relationships/image" Target="/xl/media/image350.bin" Id="R4d488d41adc14a5e" /><Relationship Type="http://schemas.openxmlformats.org/officeDocument/2006/relationships/image" Target="/xl/media/image351.bin" Id="R4eff0375ae954816" /><Relationship Type="http://schemas.openxmlformats.org/officeDocument/2006/relationships/image" Target="/xl/media/image352.bin" Id="R8486dc0f644c4052" /><Relationship Type="http://schemas.openxmlformats.org/officeDocument/2006/relationships/image" Target="/xl/media/image353.bin" Id="Rfe4f00de30e64142" /><Relationship Type="http://schemas.openxmlformats.org/officeDocument/2006/relationships/image" Target="/xl/media/image354.bin" Id="R9b4727438ff34a00" /><Relationship Type="http://schemas.openxmlformats.org/officeDocument/2006/relationships/image" Target="/xl/media/image355.bin" Id="Re47ec68a43fa41f8" /><Relationship Type="http://schemas.openxmlformats.org/officeDocument/2006/relationships/image" Target="/xl/media/image356.bin" Id="Rce483784e41b4245" /><Relationship Type="http://schemas.openxmlformats.org/officeDocument/2006/relationships/image" Target="/xl/media/image357.bin" Id="R193bf5bec869435e" /><Relationship Type="http://schemas.openxmlformats.org/officeDocument/2006/relationships/image" Target="/xl/media/image358.bin" Id="R2571034ad7c84dac" /><Relationship Type="http://schemas.openxmlformats.org/officeDocument/2006/relationships/image" Target="/xl/media/image359.bin" Id="R6c9822d3c28744e0" /><Relationship Type="http://schemas.openxmlformats.org/officeDocument/2006/relationships/image" Target="/xl/media/image360.bin" Id="Rcb4bd6c0746147a3" /><Relationship Type="http://schemas.openxmlformats.org/officeDocument/2006/relationships/image" Target="/xl/media/image361.bin" Id="R7da9bfc0429143d4" /><Relationship Type="http://schemas.openxmlformats.org/officeDocument/2006/relationships/image" Target="/xl/media/image362.bin" Id="Rcda1c8483dcd4353" /><Relationship Type="http://schemas.openxmlformats.org/officeDocument/2006/relationships/image" Target="/xl/media/image363.bin" Id="Ra1b811df47a641d6" /><Relationship Type="http://schemas.openxmlformats.org/officeDocument/2006/relationships/image" Target="/xl/media/image364.bin" Id="R5c3797daa52f404e" /><Relationship Type="http://schemas.openxmlformats.org/officeDocument/2006/relationships/image" Target="/xl/media/image365.bin" Id="R4f711e2ef37145d7" /><Relationship Type="http://schemas.openxmlformats.org/officeDocument/2006/relationships/image" Target="/xl/media/image366.bin" Id="Rb83593e0dec2427c" /><Relationship Type="http://schemas.openxmlformats.org/officeDocument/2006/relationships/image" Target="/xl/media/image367.bin" Id="R535c7750a8164bd3" /><Relationship Type="http://schemas.openxmlformats.org/officeDocument/2006/relationships/image" Target="/xl/media/image368.bin" Id="Rb955ee9b8ae14a44" /><Relationship Type="http://schemas.openxmlformats.org/officeDocument/2006/relationships/image" Target="/xl/media/image369.bin" Id="R0a4449469e294181" /><Relationship Type="http://schemas.openxmlformats.org/officeDocument/2006/relationships/image" Target="/xl/media/image370.bin" Id="Rc42bf30de7dc4f08" /><Relationship Type="http://schemas.openxmlformats.org/officeDocument/2006/relationships/image" Target="/xl/media/image371.bin" Id="R4f16543c1c39486b" /><Relationship Type="http://schemas.openxmlformats.org/officeDocument/2006/relationships/image" Target="/xl/media/image372.bin" Id="R08efb3b7fa6546cd" /><Relationship Type="http://schemas.openxmlformats.org/officeDocument/2006/relationships/image" Target="/xl/media/image373.bin" Id="R26d0e66921bd4178" /><Relationship Type="http://schemas.openxmlformats.org/officeDocument/2006/relationships/image" Target="/xl/media/image374.bin" Id="R91326e8a59db4686" /><Relationship Type="http://schemas.openxmlformats.org/officeDocument/2006/relationships/image" Target="/xl/media/image375.bin" Id="Raa37f1f7e6a1486e" /><Relationship Type="http://schemas.openxmlformats.org/officeDocument/2006/relationships/image" Target="/xl/media/image376.bin" Id="R841ad0719b464ba9" /><Relationship Type="http://schemas.openxmlformats.org/officeDocument/2006/relationships/image" Target="/xl/media/image377.bin" Id="R249c6373d0494095" /><Relationship Type="http://schemas.openxmlformats.org/officeDocument/2006/relationships/image" Target="/xl/media/image378.bin" Id="R3f9d08c6cd0740fa" /><Relationship Type="http://schemas.openxmlformats.org/officeDocument/2006/relationships/image" Target="/xl/media/image379.bin" Id="R1cb2454b2a1e4861" /><Relationship Type="http://schemas.openxmlformats.org/officeDocument/2006/relationships/image" Target="/xl/media/image380.bin" Id="Rfe3661b249664133" /><Relationship Type="http://schemas.openxmlformats.org/officeDocument/2006/relationships/image" Target="/xl/media/image381.bin" Id="R4db7df6b5c7d4d4b" /><Relationship Type="http://schemas.openxmlformats.org/officeDocument/2006/relationships/image" Target="/xl/media/image382.bin" Id="Rf453dc5a5a33465b" /><Relationship Type="http://schemas.openxmlformats.org/officeDocument/2006/relationships/image" Target="/xl/media/image383.bin" Id="Rfccd87aa88f14357" /><Relationship Type="http://schemas.openxmlformats.org/officeDocument/2006/relationships/image" Target="/xl/media/image384.bin" Id="R3086603ef2dd40eb" /><Relationship Type="http://schemas.openxmlformats.org/officeDocument/2006/relationships/image" Target="/xl/media/image385.bin" Id="R5f33184d03d84f49" /><Relationship Type="http://schemas.openxmlformats.org/officeDocument/2006/relationships/image" Target="/xl/media/image386.bin" Id="Rf0ffc3ac772a4ab6" /><Relationship Type="http://schemas.openxmlformats.org/officeDocument/2006/relationships/image" Target="/xl/media/image387.bin" Id="Rd1f20ce7db9e4078" /><Relationship Type="http://schemas.openxmlformats.org/officeDocument/2006/relationships/image" Target="/xl/media/image388.bin" Id="Rc7cf91c24f8e4867" /><Relationship Type="http://schemas.openxmlformats.org/officeDocument/2006/relationships/image" Target="/xl/media/image389.bin" Id="R957ba20a29ea47e8" /><Relationship Type="http://schemas.openxmlformats.org/officeDocument/2006/relationships/image" Target="/xl/media/image390.bin" Id="Rd30d4ff1f51748cd" /><Relationship Type="http://schemas.openxmlformats.org/officeDocument/2006/relationships/image" Target="/xl/media/image391.bin" Id="Rd19efd09525d48e0" /><Relationship Type="http://schemas.openxmlformats.org/officeDocument/2006/relationships/image" Target="/xl/media/image392.bin" Id="R0eed192dfcf64e25" /><Relationship Type="http://schemas.openxmlformats.org/officeDocument/2006/relationships/image" Target="/xl/media/image393.bin" Id="Rf255e035efec4c7e" /><Relationship Type="http://schemas.openxmlformats.org/officeDocument/2006/relationships/image" Target="/xl/media/image394.bin" Id="R3d6f53d83fe64958" /><Relationship Type="http://schemas.openxmlformats.org/officeDocument/2006/relationships/image" Target="/xl/media/image395.bin" Id="R41eda0a93d114398" /><Relationship Type="http://schemas.openxmlformats.org/officeDocument/2006/relationships/image" Target="/xl/media/image396.bin" Id="Rf82ec058d1304fcc" /><Relationship Type="http://schemas.openxmlformats.org/officeDocument/2006/relationships/image" Target="/xl/media/image397.bin" Id="R661ab6bce3714fa2" /><Relationship Type="http://schemas.openxmlformats.org/officeDocument/2006/relationships/image" Target="/xl/media/image398.bin" Id="R257216dda87e486b" /><Relationship Type="http://schemas.openxmlformats.org/officeDocument/2006/relationships/image" Target="/xl/media/image399.bin" Id="R1a38f126b8944902" /><Relationship Type="http://schemas.openxmlformats.org/officeDocument/2006/relationships/image" Target="/xl/media/image400.bin" Id="R3c8f8119a0144a7e" /><Relationship Type="http://schemas.openxmlformats.org/officeDocument/2006/relationships/image" Target="/xl/media/image401.bin" Id="R39ca2c4c9b81431d" /><Relationship Type="http://schemas.openxmlformats.org/officeDocument/2006/relationships/image" Target="/xl/media/image402.bin" Id="R19c53927915848f4" /><Relationship Type="http://schemas.openxmlformats.org/officeDocument/2006/relationships/image" Target="/xl/media/image403.bin" Id="Ra43e680cc70a4f7c" /><Relationship Type="http://schemas.openxmlformats.org/officeDocument/2006/relationships/image" Target="/xl/media/image404.bin" Id="R59dd1e60d1154d5a" /><Relationship Type="http://schemas.openxmlformats.org/officeDocument/2006/relationships/image" Target="/xl/media/image405.bin" Id="R78d8a409c7b04e02" /><Relationship Type="http://schemas.openxmlformats.org/officeDocument/2006/relationships/image" Target="/xl/media/image406.bin" Id="Rf61e83c9c1ae481d" /><Relationship Type="http://schemas.openxmlformats.org/officeDocument/2006/relationships/image" Target="/xl/media/image407.bin" Id="R2fe386edb3d14635" /><Relationship Type="http://schemas.openxmlformats.org/officeDocument/2006/relationships/image" Target="/xl/media/image408.bin" Id="Rbfa44ee9a4a64e22" /><Relationship Type="http://schemas.openxmlformats.org/officeDocument/2006/relationships/image" Target="/xl/media/image409.bin" Id="Red1cecfa07704276" /><Relationship Type="http://schemas.openxmlformats.org/officeDocument/2006/relationships/image" Target="/xl/media/image410.bin" Id="R235955c6e4314abc" /><Relationship Type="http://schemas.openxmlformats.org/officeDocument/2006/relationships/image" Target="/xl/media/image411.bin" Id="Radd503832b294a32" /><Relationship Type="http://schemas.openxmlformats.org/officeDocument/2006/relationships/image" Target="/xl/media/image412.bin" Id="R51611572e75d422c" /><Relationship Type="http://schemas.openxmlformats.org/officeDocument/2006/relationships/image" Target="/xl/media/image413.bin" Id="Re5b510518c594180" /><Relationship Type="http://schemas.openxmlformats.org/officeDocument/2006/relationships/image" Target="/xl/media/image414.bin" Id="R45607185a51d4f76" /><Relationship Type="http://schemas.openxmlformats.org/officeDocument/2006/relationships/image" Target="/xl/media/image415.bin" Id="Rf1ab19d85bbe47ea" /><Relationship Type="http://schemas.openxmlformats.org/officeDocument/2006/relationships/image" Target="/xl/media/image416.bin" Id="R4dfc58baa67447ea" /><Relationship Type="http://schemas.openxmlformats.org/officeDocument/2006/relationships/image" Target="/xl/media/image417.bin" Id="Ra5165b6177004b37" /><Relationship Type="http://schemas.openxmlformats.org/officeDocument/2006/relationships/image" Target="/xl/media/image418.bin" Id="R8c98810c0d8c4daf" /><Relationship Type="http://schemas.openxmlformats.org/officeDocument/2006/relationships/image" Target="/xl/media/image419.bin" Id="Rf8883de40f034b01" /><Relationship Type="http://schemas.openxmlformats.org/officeDocument/2006/relationships/image" Target="/xl/media/image420.bin" Id="R8a8995cb2a404300" /><Relationship Type="http://schemas.openxmlformats.org/officeDocument/2006/relationships/image" Target="/xl/media/image421.bin" Id="R80e96c7a800f42ff" /><Relationship Type="http://schemas.openxmlformats.org/officeDocument/2006/relationships/image" Target="/xl/media/image422.bin" Id="Rde6c48fdbda24d71" /><Relationship Type="http://schemas.openxmlformats.org/officeDocument/2006/relationships/image" Target="/xl/media/image423.bin" Id="Ra7fd268a789f42ab" /><Relationship Type="http://schemas.openxmlformats.org/officeDocument/2006/relationships/image" Target="/xl/media/image424.bin" Id="R7dd649441f0e49e5" /><Relationship Type="http://schemas.openxmlformats.org/officeDocument/2006/relationships/image" Target="/xl/media/image425.bin" Id="R32b3f61154fc46ea" /><Relationship Type="http://schemas.openxmlformats.org/officeDocument/2006/relationships/image" Target="/xl/media/image426.bin" Id="R74941473530a4203" /><Relationship Type="http://schemas.openxmlformats.org/officeDocument/2006/relationships/image" Target="/xl/media/image427.bin" Id="R619615e37e624c0f" /><Relationship Type="http://schemas.openxmlformats.org/officeDocument/2006/relationships/image" Target="/xl/media/image428.bin" Id="R4648bf9b694f482b" /><Relationship Type="http://schemas.openxmlformats.org/officeDocument/2006/relationships/image" Target="/xl/media/image429.bin" Id="R22ce45396c5a4ecb" /><Relationship Type="http://schemas.openxmlformats.org/officeDocument/2006/relationships/image" Target="/xl/media/image430.bin" Id="R575bea506433477e" /><Relationship Type="http://schemas.openxmlformats.org/officeDocument/2006/relationships/image" Target="/xl/media/image431.bin" Id="R2714c2ea2df44668" /><Relationship Type="http://schemas.openxmlformats.org/officeDocument/2006/relationships/image" Target="/xl/media/image432.bin" Id="Ra97a137b25864a22" /><Relationship Type="http://schemas.openxmlformats.org/officeDocument/2006/relationships/image" Target="/xl/media/image433.bin" Id="R2fb76dddda314117" /><Relationship Type="http://schemas.openxmlformats.org/officeDocument/2006/relationships/image" Target="/xl/media/image434.bin" Id="Rb58512ccabb04b6c" /><Relationship Type="http://schemas.openxmlformats.org/officeDocument/2006/relationships/image" Target="/xl/media/image435.bin" Id="Rf269184684b44479" /><Relationship Type="http://schemas.openxmlformats.org/officeDocument/2006/relationships/image" Target="/xl/media/image436.bin" Id="R7c9049e7c9904691" /><Relationship Type="http://schemas.openxmlformats.org/officeDocument/2006/relationships/image" Target="/xl/media/image437.bin" Id="Ra647532c6b4d4751" /><Relationship Type="http://schemas.openxmlformats.org/officeDocument/2006/relationships/image" Target="/xl/media/image438.bin" Id="Rdcc9c400e2ef42fc" /><Relationship Type="http://schemas.openxmlformats.org/officeDocument/2006/relationships/image" Target="/xl/media/image439.bin" Id="R53df471c7e60472f" /><Relationship Type="http://schemas.openxmlformats.org/officeDocument/2006/relationships/image" Target="/xl/media/image440.bin" Id="R65bdca89c82f41de" /><Relationship Type="http://schemas.openxmlformats.org/officeDocument/2006/relationships/image" Target="/xl/media/image441.bin" Id="R6a4e361285aa4f39" /><Relationship Type="http://schemas.openxmlformats.org/officeDocument/2006/relationships/image" Target="/xl/media/image442.bin" Id="R337530720cc246c2" /><Relationship Type="http://schemas.openxmlformats.org/officeDocument/2006/relationships/image" Target="/xl/media/image443.bin" Id="R55d98c1be0254ee2" /><Relationship Type="http://schemas.openxmlformats.org/officeDocument/2006/relationships/image" Target="/xl/media/image444.bin" Id="R5bfbd839b3d54673" /><Relationship Type="http://schemas.openxmlformats.org/officeDocument/2006/relationships/image" Target="/xl/media/image445.bin" Id="R47fba856cec742af" /><Relationship Type="http://schemas.openxmlformats.org/officeDocument/2006/relationships/image" Target="/xl/media/image446.bin" Id="R3536f4af38df4d51" /><Relationship Type="http://schemas.openxmlformats.org/officeDocument/2006/relationships/image" Target="/xl/media/image447.bin" Id="R9f0b5f0545c94824" /><Relationship Type="http://schemas.openxmlformats.org/officeDocument/2006/relationships/image" Target="/xl/media/image448.bin" Id="R911e0b5f7b954661" /><Relationship Type="http://schemas.openxmlformats.org/officeDocument/2006/relationships/image" Target="/xl/media/image449.bin" Id="Rccd498ceba9e4935" /><Relationship Type="http://schemas.openxmlformats.org/officeDocument/2006/relationships/image" Target="/xl/media/image450.bin" Id="R1957e382d71d4e95" /><Relationship Type="http://schemas.openxmlformats.org/officeDocument/2006/relationships/image" Target="/xl/media/image451.bin" Id="R78e52c4518e44bd3" /><Relationship Type="http://schemas.openxmlformats.org/officeDocument/2006/relationships/image" Target="/xl/media/image452.bin" Id="R16b6ba8a5f59439d" /><Relationship Type="http://schemas.openxmlformats.org/officeDocument/2006/relationships/image" Target="/xl/media/image453.bin" Id="R160336cf06ad4ce0" /><Relationship Type="http://schemas.openxmlformats.org/officeDocument/2006/relationships/image" Target="/xl/media/image454.bin" Id="R098c67e58f984692" /><Relationship Type="http://schemas.openxmlformats.org/officeDocument/2006/relationships/image" Target="/xl/media/image455.bin" Id="R8d63ca02e86542ef" /><Relationship Type="http://schemas.openxmlformats.org/officeDocument/2006/relationships/image" Target="/xl/media/image456.bin" Id="R600008855b67430a" /><Relationship Type="http://schemas.openxmlformats.org/officeDocument/2006/relationships/image" Target="/xl/media/image457.bin" Id="R1db8b575bc654561" /><Relationship Type="http://schemas.openxmlformats.org/officeDocument/2006/relationships/image" Target="/xl/media/image458.bin" Id="Re98acce3fc2d4d1a" /><Relationship Type="http://schemas.openxmlformats.org/officeDocument/2006/relationships/image" Target="/xl/media/image459.bin" Id="R638cf65cf3034f5d" /><Relationship Type="http://schemas.openxmlformats.org/officeDocument/2006/relationships/image" Target="/xl/media/image460.bin" Id="Rc21c57bf4e144dbb" /><Relationship Type="http://schemas.openxmlformats.org/officeDocument/2006/relationships/image" Target="/xl/media/image461.bin" Id="R386476fb947a4f20" /><Relationship Type="http://schemas.openxmlformats.org/officeDocument/2006/relationships/image" Target="/xl/media/image462.bin" Id="R8aacec7ec1234e75" /><Relationship Type="http://schemas.openxmlformats.org/officeDocument/2006/relationships/image" Target="/xl/media/image463.bin" Id="Re5c53b86aec24e88" /><Relationship Type="http://schemas.openxmlformats.org/officeDocument/2006/relationships/image" Target="/xl/media/image464.bin" Id="Re6a0bff6c0714f33" /><Relationship Type="http://schemas.openxmlformats.org/officeDocument/2006/relationships/image" Target="/xl/media/image465.bin" Id="R146c8559d295416f" /><Relationship Type="http://schemas.openxmlformats.org/officeDocument/2006/relationships/image" Target="/xl/media/image466.bin" Id="R7f8399036306417f" /><Relationship Type="http://schemas.openxmlformats.org/officeDocument/2006/relationships/image" Target="/xl/media/image467.bin" Id="R4d77d453b33b4552" /><Relationship Type="http://schemas.openxmlformats.org/officeDocument/2006/relationships/image" Target="/xl/media/image468.bin" Id="Rf0e223cda92845c7" /><Relationship Type="http://schemas.openxmlformats.org/officeDocument/2006/relationships/image" Target="/xl/media/image469.bin" Id="R8688b66a251544cc" /><Relationship Type="http://schemas.openxmlformats.org/officeDocument/2006/relationships/image" Target="/xl/media/image470.bin" Id="R75ccbcb0f0714cfc" /><Relationship Type="http://schemas.openxmlformats.org/officeDocument/2006/relationships/image" Target="/xl/media/image471.bin" Id="R7f21dc37d34c4621" /><Relationship Type="http://schemas.openxmlformats.org/officeDocument/2006/relationships/image" Target="/xl/media/image472.bin" Id="R7738f9d91f584efa" /><Relationship Type="http://schemas.openxmlformats.org/officeDocument/2006/relationships/image" Target="/xl/media/image473.bin" Id="R8775e5dcf97b4306" /><Relationship Type="http://schemas.openxmlformats.org/officeDocument/2006/relationships/image" Target="/xl/media/image474.bin" Id="R280e8f687b2948e0" /><Relationship Type="http://schemas.openxmlformats.org/officeDocument/2006/relationships/image" Target="/xl/media/image475.bin" Id="Rec21a31f2a8c41c6" /><Relationship Type="http://schemas.openxmlformats.org/officeDocument/2006/relationships/image" Target="/xl/media/image476.bin" Id="Rf7c580a63ee04f58" /><Relationship Type="http://schemas.openxmlformats.org/officeDocument/2006/relationships/image" Target="/xl/media/image477.bin" Id="R9d7c1a2abe254df5" /><Relationship Type="http://schemas.openxmlformats.org/officeDocument/2006/relationships/image" Target="/xl/media/image478.bin" Id="Rfded48103dfb485f" /><Relationship Type="http://schemas.openxmlformats.org/officeDocument/2006/relationships/image" Target="/xl/media/image479.bin" Id="Rc679a38588cc406e" /><Relationship Type="http://schemas.openxmlformats.org/officeDocument/2006/relationships/image" Target="/xl/media/image480.bin" Id="R1d13e39ac72348ad" /><Relationship Type="http://schemas.openxmlformats.org/officeDocument/2006/relationships/image" Target="/xl/media/image481.bin" Id="R69e7baac19a94632" /><Relationship Type="http://schemas.openxmlformats.org/officeDocument/2006/relationships/image" Target="/xl/media/image482.bin" Id="R6bcb1e4909c94cce" /><Relationship Type="http://schemas.openxmlformats.org/officeDocument/2006/relationships/image" Target="/xl/media/image483.bin" Id="Rc75e4e80d7484421" /><Relationship Type="http://schemas.openxmlformats.org/officeDocument/2006/relationships/image" Target="/xl/media/image484.bin" Id="R44f9b1936bfe4cd5" /><Relationship Type="http://schemas.openxmlformats.org/officeDocument/2006/relationships/image" Target="/xl/media/image485.bin" Id="R6008a1c5834b48c4" /><Relationship Type="http://schemas.openxmlformats.org/officeDocument/2006/relationships/image" Target="/xl/media/image486.bin" Id="Rdfa74b224c644314" /><Relationship Type="http://schemas.openxmlformats.org/officeDocument/2006/relationships/image" Target="/xl/media/image487.bin" Id="Rc4da78cecb354a98" /><Relationship Type="http://schemas.openxmlformats.org/officeDocument/2006/relationships/image" Target="/xl/media/image488.bin" Id="R0efdb1b519c046dd" /><Relationship Type="http://schemas.openxmlformats.org/officeDocument/2006/relationships/image" Target="/xl/media/image489.bin" Id="R840b4102aad340e3" /><Relationship Type="http://schemas.openxmlformats.org/officeDocument/2006/relationships/image" Target="/xl/media/image490.bin" Id="Rc3596d882f2a40bf" /><Relationship Type="http://schemas.openxmlformats.org/officeDocument/2006/relationships/image" Target="/xl/media/image491.bin" Id="R44f05cd980ac4561" /><Relationship Type="http://schemas.openxmlformats.org/officeDocument/2006/relationships/image" Target="/xl/media/image492.bin" Id="R5a782ca2f7ef4c35" /><Relationship Type="http://schemas.openxmlformats.org/officeDocument/2006/relationships/image" Target="/xl/media/image493.bin" Id="Re5e976fd8abf40af" /><Relationship Type="http://schemas.openxmlformats.org/officeDocument/2006/relationships/image" Target="/xl/media/image494.bin" Id="Rd41add17ca6d4a5a" /><Relationship Type="http://schemas.openxmlformats.org/officeDocument/2006/relationships/image" Target="/xl/media/image495.bin" Id="R6860c73aa099427b" /><Relationship Type="http://schemas.openxmlformats.org/officeDocument/2006/relationships/image" Target="/xl/media/image496.bin" Id="Re0765e8e26944461" /><Relationship Type="http://schemas.openxmlformats.org/officeDocument/2006/relationships/image" Target="/xl/media/image497.bin" Id="Rc7e49cc04f9a4ef0" /><Relationship Type="http://schemas.openxmlformats.org/officeDocument/2006/relationships/image" Target="/xl/media/image498.bin" Id="Rb2005bdbf68d4479" /><Relationship Type="http://schemas.openxmlformats.org/officeDocument/2006/relationships/image" Target="/xl/media/image499.bin" Id="R2d4f9297986e4fd5" /><Relationship Type="http://schemas.openxmlformats.org/officeDocument/2006/relationships/image" Target="/xl/media/image500.bin" Id="R105ab5000b6e458b" /><Relationship Type="http://schemas.openxmlformats.org/officeDocument/2006/relationships/image" Target="/xl/media/image501.bin" Id="R34d9f68164c44266" /><Relationship Type="http://schemas.openxmlformats.org/officeDocument/2006/relationships/image" Target="/xl/media/image502.bin" Id="R65c9ffacce534c88" /><Relationship Type="http://schemas.openxmlformats.org/officeDocument/2006/relationships/image" Target="/xl/media/image503.bin" Id="Rbc4676ca48304951" /><Relationship Type="http://schemas.openxmlformats.org/officeDocument/2006/relationships/image" Target="/xl/media/image504.bin" Id="R69a8a052245b4f5d" /><Relationship Type="http://schemas.openxmlformats.org/officeDocument/2006/relationships/image" Target="/xl/media/image505.bin" Id="Rea3457bd22c84058" /><Relationship Type="http://schemas.openxmlformats.org/officeDocument/2006/relationships/image" Target="/xl/media/image506.bin" Id="R15e7ad6d43bc4931" /><Relationship Type="http://schemas.openxmlformats.org/officeDocument/2006/relationships/image" Target="/xl/media/image507.bin" Id="R5092c430acda4911" /><Relationship Type="http://schemas.openxmlformats.org/officeDocument/2006/relationships/image" Target="/xl/media/image508.bin" Id="R5180036f18314eb9" /><Relationship Type="http://schemas.openxmlformats.org/officeDocument/2006/relationships/image" Target="/xl/media/image509.bin" Id="R345365e1fa99412d" /><Relationship Type="http://schemas.openxmlformats.org/officeDocument/2006/relationships/image" Target="/xl/media/image510.bin" Id="R87f94ce3f1c6440a" /><Relationship Type="http://schemas.openxmlformats.org/officeDocument/2006/relationships/image" Target="/xl/media/image511.bin" Id="Rbb86c932405642a7" /><Relationship Type="http://schemas.openxmlformats.org/officeDocument/2006/relationships/image" Target="/xl/media/image512.bin" Id="R0c45ae1bcdcc4d52" /><Relationship Type="http://schemas.openxmlformats.org/officeDocument/2006/relationships/image" Target="/xl/media/image513.bin" Id="R329c361e0eb444b6" /><Relationship Type="http://schemas.openxmlformats.org/officeDocument/2006/relationships/image" Target="/xl/media/image514.bin" Id="R170a4231be9143b5" /><Relationship Type="http://schemas.openxmlformats.org/officeDocument/2006/relationships/image" Target="/xl/media/image515.bin" Id="R86a38f545f8a4d58" /><Relationship Type="http://schemas.openxmlformats.org/officeDocument/2006/relationships/image" Target="/xl/media/image516.bin" Id="Rac62aa8e913b45c8" /><Relationship Type="http://schemas.openxmlformats.org/officeDocument/2006/relationships/image" Target="/xl/media/image517.bin" Id="Rc8c5877c0d364ce7" /><Relationship Type="http://schemas.openxmlformats.org/officeDocument/2006/relationships/image" Target="/xl/media/image518.bin" Id="R77f6d9b5c7e247b6" /><Relationship Type="http://schemas.openxmlformats.org/officeDocument/2006/relationships/image" Target="/xl/media/image519.bin" Id="R4f6afa85f08b492b" /><Relationship Type="http://schemas.openxmlformats.org/officeDocument/2006/relationships/image" Target="/xl/media/image520.bin" Id="Re5ee0096a0e04f39" /><Relationship Type="http://schemas.openxmlformats.org/officeDocument/2006/relationships/image" Target="/xl/media/image521.bin" Id="R2cdf0492866c45e6" /><Relationship Type="http://schemas.openxmlformats.org/officeDocument/2006/relationships/image" Target="/xl/media/image522.bin" Id="Rbfdc620c90dc45d7" /><Relationship Type="http://schemas.openxmlformats.org/officeDocument/2006/relationships/image" Target="/xl/media/image523.bin" Id="R1f532dd4d35745c3" /><Relationship Type="http://schemas.openxmlformats.org/officeDocument/2006/relationships/image" Target="/xl/media/image524.bin" Id="Re4cef1cd3ee84903" /><Relationship Type="http://schemas.openxmlformats.org/officeDocument/2006/relationships/image" Target="/xl/media/image525.bin" Id="Ra77c1451b3b24eb8" /><Relationship Type="http://schemas.openxmlformats.org/officeDocument/2006/relationships/image" Target="/xl/media/image526.bin" Id="R688f4da2749f4bf1" /><Relationship Type="http://schemas.openxmlformats.org/officeDocument/2006/relationships/image" Target="/xl/media/image527.bin" Id="Re259b4712abd49f7" /><Relationship Type="http://schemas.openxmlformats.org/officeDocument/2006/relationships/image" Target="/xl/media/image528.bin" Id="R9de7738b0a7946c1" /><Relationship Type="http://schemas.openxmlformats.org/officeDocument/2006/relationships/image" Target="/xl/media/image529.bin" Id="R4849a5f9db7340de" /><Relationship Type="http://schemas.openxmlformats.org/officeDocument/2006/relationships/image" Target="/xl/media/image530.bin" Id="R9b2cd39ab1f346d8" /><Relationship Type="http://schemas.openxmlformats.org/officeDocument/2006/relationships/image" Target="/xl/media/image531.bin" Id="Rc2cf9fde3cc947c5" /><Relationship Type="http://schemas.openxmlformats.org/officeDocument/2006/relationships/image" Target="/xl/media/image532.bin" Id="R5951a939ee7e4b56" /><Relationship Type="http://schemas.openxmlformats.org/officeDocument/2006/relationships/image" Target="/xl/media/image533.bin" Id="R9d536debf09f4f2c" /><Relationship Type="http://schemas.openxmlformats.org/officeDocument/2006/relationships/image" Target="/xl/media/image534.bin" Id="Rb353f296f75e40b6" /><Relationship Type="http://schemas.openxmlformats.org/officeDocument/2006/relationships/image" Target="/xl/media/image535.bin" Id="R2cf41279bbf346a5" /><Relationship Type="http://schemas.openxmlformats.org/officeDocument/2006/relationships/image" Target="/xl/media/image536.bin" Id="Ra2f0efc7d94d459c" /><Relationship Type="http://schemas.openxmlformats.org/officeDocument/2006/relationships/image" Target="/xl/media/image537.bin" Id="R9f9634ebb1f84e95" /><Relationship Type="http://schemas.openxmlformats.org/officeDocument/2006/relationships/image" Target="/xl/media/image538.bin" Id="R2a6fd805f0c14e5c" /><Relationship Type="http://schemas.openxmlformats.org/officeDocument/2006/relationships/image" Target="/xl/media/image539.bin" Id="R960bcb5a107c42f3" /><Relationship Type="http://schemas.openxmlformats.org/officeDocument/2006/relationships/image" Target="/xl/media/image540.bin" Id="R9165f830a57d467b" /><Relationship Type="http://schemas.openxmlformats.org/officeDocument/2006/relationships/image" Target="/xl/media/image541.bin" Id="Race6df8829af4d67" /><Relationship Type="http://schemas.openxmlformats.org/officeDocument/2006/relationships/image" Target="/xl/media/image542.bin" Id="R6508021ca4d149de" /><Relationship Type="http://schemas.openxmlformats.org/officeDocument/2006/relationships/image" Target="/xl/media/image543.bin" Id="R0333e8c2e2944b6e" /><Relationship Type="http://schemas.openxmlformats.org/officeDocument/2006/relationships/image" Target="/xl/media/image544.bin" Id="R2b4b42e5aeec433f" /><Relationship Type="http://schemas.openxmlformats.org/officeDocument/2006/relationships/image" Target="/xl/media/image545.bin" Id="R1cf12863e1e94c35" /><Relationship Type="http://schemas.openxmlformats.org/officeDocument/2006/relationships/image" Target="/xl/media/image546.bin" Id="R1955df6cd02d4968" /><Relationship Type="http://schemas.openxmlformats.org/officeDocument/2006/relationships/image" Target="/xl/media/image547.bin" Id="R5f4d994707a3453d" /><Relationship Type="http://schemas.openxmlformats.org/officeDocument/2006/relationships/image" Target="/xl/media/image548.bin" Id="Rcd13d6ad70ab4ffd" /><Relationship Type="http://schemas.openxmlformats.org/officeDocument/2006/relationships/image" Target="/xl/media/image549.bin" Id="R721ae9c690f04b47" /><Relationship Type="http://schemas.openxmlformats.org/officeDocument/2006/relationships/image" Target="/xl/media/image550.bin" Id="R36992068e03148d1" /><Relationship Type="http://schemas.openxmlformats.org/officeDocument/2006/relationships/image" Target="/xl/media/image551.bin" Id="R9d63a8bed733420b" /><Relationship Type="http://schemas.openxmlformats.org/officeDocument/2006/relationships/image" Target="/xl/media/image552.bin" Id="Rfabcfb5e1e104750" /><Relationship Type="http://schemas.openxmlformats.org/officeDocument/2006/relationships/image" Target="/xl/media/image553.bin" Id="R49c44e5eb7214217" /><Relationship Type="http://schemas.openxmlformats.org/officeDocument/2006/relationships/image" Target="/xl/media/image554.bin" Id="Rcbb31b05641745d6" /><Relationship Type="http://schemas.openxmlformats.org/officeDocument/2006/relationships/image" Target="/xl/media/image555.bin" Id="R20cde071dbc24f5c" /><Relationship Type="http://schemas.openxmlformats.org/officeDocument/2006/relationships/image" Target="/xl/media/image556.bin" Id="R2d2429b57ab14fa6" /><Relationship Type="http://schemas.openxmlformats.org/officeDocument/2006/relationships/image" Target="/xl/media/image557.bin" Id="R3069d665c606410a" /><Relationship Type="http://schemas.openxmlformats.org/officeDocument/2006/relationships/image" Target="/xl/media/image558.bin" Id="R6050be9cca444ae8" /><Relationship Type="http://schemas.openxmlformats.org/officeDocument/2006/relationships/image" Target="/xl/media/image559.bin" Id="Ra47a117fc809434f" /><Relationship Type="http://schemas.openxmlformats.org/officeDocument/2006/relationships/image" Target="/xl/media/image560.bin" Id="R111d46a8b2314033" /><Relationship Type="http://schemas.openxmlformats.org/officeDocument/2006/relationships/image" Target="/xl/media/image561.bin" Id="Rb3f9649a057745d7" /><Relationship Type="http://schemas.openxmlformats.org/officeDocument/2006/relationships/image" Target="/xl/media/image562.bin" Id="R80bcfddd41de4a02" /><Relationship Type="http://schemas.openxmlformats.org/officeDocument/2006/relationships/image" Target="/xl/media/image563.bin" Id="Re0354887bbf74b69" /><Relationship Type="http://schemas.openxmlformats.org/officeDocument/2006/relationships/image" Target="/xl/media/image564.bin" Id="R3d403747569e4709" /><Relationship Type="http://schemas.openxmlformats.org/officeDocument/2006/relationships/image" Target="/xl/media/image565.bin" Id="R8d2c66a32b344239" /><Relationship Type="http://schemas.openxmlformats.org/officeDocument/2006/relationships/image" Target="/xl/media/image566.bin" Id="R3b622b8853cd404b" /><Relationship Type="http://schemas.openxmlformats.org/officeDocument/2006/relationships/image" Target="/xl/media/image567.bin" Id="Ra58f363d4e924afd" /><Relationship Type="http://schemas.openxmlformats.org/officeDocument/2006/relationships/image" Target="/xl/media/image568.bin" Id="R3e4ca10391cc467a" /><Relationship Type="http://schemas.openxmlformats.org/officeDocument/2006/relationships/image" Target="/xl/media/image569.bin" Id="R3176dc474e9a42f3" /><Relationship Type="http://schemas.openxmlformats.org/officeDocument/2006/relationships/image" Target="/xl/media/image570.bin" Id="Rae1d2e0cc3da4655" /><Relationship Type="http://schemas.openxmlformats.org/officeDocument/2006/relationships/image" Target="/xl/media/image571.bin" Id="R062830d492d54037" /><Relationship Type="http://schemas.openxmlformats.org/officeDocument/2006/relationships/image" Target="/xl/media/image572.bin" Id="R7116fde140a745ed" /><Relationship Type="http://schemas.openxmlformats.org/officeDocument/2006/relationships/image" Target="/xl/media/image573.bin" Id="Rb4f110ab68ae4600" /><Relationship Type="http://schemas.openxmlformats.org/officeDocument/2006/relationships/image" Target="/xl/media/image574.bin" Id="Ra0e62ffe3c57416c" /><Relationship Type="http://schemas.openxmlformats.org/officeDocument/2006/relationships/image" Target="/xl/media/image575.bin" Id="R76baa58270594451" /><Relationship Type="http://schemas.openxmlformats.org/officeDocument/2006/relationships/image" Target="/xl/media/image576.bin" Id="R0cde9d8408a140ac" /><Relationship Type="http://schemas.openxmlformats.org/officeDocument/2006/relationships/image" Target="/xl/media/image577.bin" Id="Rb62cadfc967347cd" /><Relationship Type="http://schemas.openxmlformats.org/officeDocument/2006/relationships/image" Target="/xl/media/image578.bin" Id="R3eb9421b2ab44820" /><Relationship Type="http://schemas.openxmlformats.org/officeDocument/2006/relationships/image" Target="/xl/media/image579.bin" Id="Ra91f4dfed80b4b6e" /><Relationship Type="http://schemas.openxmlformats.org/officeDocument/2006/relationships/image" Target="/xl/media/image580.bin" Id="R8fa8381d4b5540aa" /><Relationship Type="http://schemas.openxmlformats.org/officeDocument/2006/relationships/image" Target="/xl/media/image581.bin" Id="R6e034a4a046645b5" /><Relationship Type="http://schemas.openxmlformats.org/officeDocument/2006/relationships/image" Target="/xl/media/image582.bin" Id="Rd44916b3d86240b9" /><Relationship Type="http://schemas.openxmlformats.org/officeDocument/2006/relationships/image" Target="/xl/media/image583.bin" Id="Ra728cc19ffa64fda" /><Relationship Type="http://schemas.openxmlformats.org/officeDocument/2006/relationships/image" Target="/xl/media/image584.bin" Id="Rc1d67ef4d220483c" /><Relationship Type="http://schemas.openxmlformats.org/officeDocument/2006/relationships/image" Target="/xl/media/image585.bin" Id="Rde8dc7b32b644aa9" /><Relationship Type="http://schemas.openxmlformats.org/officeDocument/2006/relationships/image" Target="/xl/media/image586.bin" Id="Rd185bf6ccd6c4da9" /><Relationship Type="http://schemas.openxmlformats.org/officeDocument/2006/relationships/image" Target="/xl/media/image587.bin" Id="R208f3a39f02346ff" /><Relationship Type="http://schemas.openxmlformats.org/officeDocument/2006/relationships/image" Target="/xl/media/image588.bin" Id="Rfeb11c1afdad41c5" /><Relationship Type="http://schemas.openxmlformats.org/officeDocument/2006/relationships/image" Target="/xl/media/image589.bin" Id="Rcdd83adb1704498b" /><Relationship Type="http://schemas.openxmlformats.org/officeDocument/2006/relationships/image" Target="/xl/media/image590.bin" Id="Rfb6bf99b8ac74043" /><Relationship Type="http://schemas.openxmlformats.org/officeDocument/2006/relationships/image" Target="/xl/media/image591.bin" Id="Rca52097edfbc40c8" /><Relationship Type="http://schemas.openxmlformats.org/officeDocument/2006/relationships/image" Target="/xl/media/image592.bin" Id="R58abb6e076954773" /><Relationship Type="http://schemas.openxmlformats.org/officeDocument/2006/relationships/image" Target="/xl/media/image593.bin" Id="Rb914faad0e6b41d2" /><Relationship Type="http://schemas.openxmlformats.org/officeDocument/2006/relationships/image" Target="/xl/media/image594.bin" Id="Ra9b09030a329451e" /><Relationship Type="http://schemas.openxmlformats.org/officeDocument/2006/relationships/image" Target="/xl/media/image595.bin" Id="R8b98302b1ece4682" /><Relationship Type="http://schemas.openxmlformats.org/officeDocument/2006/relationships/image" Target="/xl/media/image596.bin" Id="R5d3d3ddfd2a44e7e" /><Relationship Type="http://schemas.openxmlformats.org/officeDocument/2006/relationships/image" Target="/xl/media/image597.bin" Id="Rcf36538d8a444e0b" /><Relationship Type="http://schemas.openxmlformats.org/officeDocument/2006/relationships/image" Target="/xl/media/image598.bin" Id="R6959afaf106c472c" /><Relationship Type="http://schemas.openxmlformats.org/officeDocument/2006/relationships/image" Target="/xl/media/image599.bin" Id="Ra64439a64edb4cb4" /><Relationship Type="http://schemas.openxmlformats.org/officeDocument/2006/relationships/image" Target="/xl/media/image600.bin" Id="R27d1692dc1b74cd0" /><Relationship Type="http://schemas.openxmlformats.org/officeDocument/2006/relationships/image" Target="/xl/media/image601.bin" Id="R36391134e55b4b0c" /><Relationship Type="http://schemas.openxmlformats.org/officeDocument/2006/relationships/image" Target="/xl/media/image602.bin" Id="R755cda7f0e9441c5"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editAs="oneCell">
    <xdr:from>
      <xdr:col>2</xdr:col>
      <xdr:colOff>38100</xdr:colOff>
      <xdr:row>14</xdr:row>
      <xdr:rowOff>38100</xdr:rowOff>
    </xdr:from>
    <xdr:to>
      <xdr:col>2</xdr:col>
      <xdr:colOff>800100</xdr:colOff>
      <xdr:row>14</xdr:row>
      <xdr:rowOff>793750</xdr:rowOff>
    </xdr:to>
    <xdr:pic>
      <xdr:nvPicPr>
        <xdr:cNvPr id="1025" name="Picture 1" descr=""/>
        <xdr:cNvPicPr>
          <a:picLocks xmlns:a="http://schemas.openxmlformats.org/drawingml/2006/main" noChangeAspect="1" noChangeArrowheads="1"/>
        </xdr:cNvPicPr>
      </xdr:nvPicPr>
      <xdr:blipFill>
        <a:blip xmlns:r="http://schemas.openxmlformats.org/officeDocument/2006/relationships" xmlns:a="http://schemas.openxmlformats.org/drawingml/2006/main" r:embed="R542173bd6cc64b4e" cstate="print"/>
        <a:srcRect xmlns:a="http://schemas.openxmlformats.org/drawingml/2006/main"/>
        <a:stretch xmlns:a="http://schemas.openxmlformats.org/drawingml/2006/main">
          <a:fillRect/>
        </a:stretch>
      </xdr:blipFill>
      <xdr:spPr bwMode="auto">
        <a:xfrm xmlns:a="http://schemas.openxmlformats.org/drawingml/2006/main">
          <a:off x="0" y="0"/>
          <a:ext cx="762000" cy="755650"/>
        </a:xfrm>
        <a:prstGeom xmlns:a="http://schemas.openxmlformats.org/drawingml/2006/main" prst="rect">
          <a:avLst/>
        </a:prstGeom>
        <a:noFill xmlns:a="http://schemas.openxmlformats.org/drawingml/2006/main"/>
      </xdr:spPr>
    </xdr:pic>
    <xdr:clientData/>
  </xdr:twoCellAnchor>
  <xdr:twoCellAnchor editAs="oneCell">
    <xdr:from>
      <xdr:col>2</xdr:col>
      <xdr:colOff>38100</xdr:colOff>
      <xdr:row>16</xdr:row>
      <xdr:rowOff>38100</xdr:rowOff>
    </xdr:from>
    <xdr:to>
      <xdr:col>2</xdr:col>
      <xdr:colOff>1181100</xdr:colOff>
      <xdr:row>16</xdr:row>
      <xdr:rowOff>590550</xdr:rowOff>
    </xdr:to>
    <xdr:pic>
      <xdr:nvPicPr>
        <xdr:cNvPr id="1026" name="Picture 2" descr=""/>
        <xdr:cNvPicPr>
          <a:picLocks noChangeAspect="1" noChangeArrowheads="1"/>
        </xdr:cNvPicPr>
      </xdr:nvPicPr>
      <xdr:blipFill>
        <a:blip r:embed="R5da03b0ec322486b" cstate="print"/>
        <a:srcRect/>
        <a:stretch>
          <a:fillRect/>
        </a:stretch>
      </xdr:blipFill>
      <xdr:spPr bwMode="auto">
        <a:xfrm>
          <a:off x="0" y="0"/>
          <a:ext cx="1143000" cy="552450"/>
        </a:xfrm>
        <a:prstGeom prst="rect">
          <a:avLst/>
        </a:prstGeom>
        <a:noFill/>
      </xdr:spPr>
    </xdr:pic>
    <xdr:clientData/>
  </xdr:twoCellAnchor>
  <xdr:twoCellAnchor editAs="oneCell">
    <xdr:from>
      <xdr:col>2</xdr:col>
      <xdr:colOff>38100</xdr:colOff>
      <xdr:row>19</xdr:row>
      <xdr:rowOff>38100</xdr:rowOff>
    </xdr:from>
    <xdr:to>
      <xdr:col>2</xdr:col>
      <xdr:colOff>1181100</xdr:colOff>
      <xdr:row>19</xdr:row>
      <xdr:rowOff>1181100</xdr:rowOff>
    </xdr:to>
    <xdr:pic>
      <xdr:nvPicPr>
        <xdr:cNvPr id="1027" name="Picture 3" descr=""/>
        <xdr:cNvPicPr>
          <a:picLocks noChangeAspect="1" noChangeArrowheads="1"/>
        </xdr:cNvPicPr>
      </xdr:nvPicPr>
      <xdr:blipFill>
        <a:blip r:embed="Ra1d650fe4ad7419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22</xdr:row>
      <xdr:rowOff>38100</xdr:rowOff>
    </xdr:from>
    <xdr:to>
      <xdr:col>2</xdr:col>
      <xdr:colOff>857570</xdr:colOff>
      <xdr:row>22</xdr:row>
      <xdr:rowOff>1073220</xdr:rowOff>
    </xdr:to>
    <xdr:pic>
      <xdr:nvPicPr>
        <xdr:cNvPr id="1028" name="Picture 4" descr=""/>
        <xdr:cNvPicPr>
          <a:picLocks noChangeAspect="1" noChangeArrowheads="1"/>
        </xdr:cNvPicPr>
      </xdr:nvPicPr>
      <xdr:blipFill>
        <a:blip r:embed="R79222847e6734d40" cstate="print"/>
        <a:srcRect/>
        <a:stretch>
          <a:fillRect/>
        </a:stretch>
      </xdr:blipFill>
      <xdr:spPr bwMode="auto">
        <a:xfrm>
          <a:off x="0" y="0"/>
          <a:ext cx="819470" cy="1035120"/>
        </a:xfrm>
        <a:prstGeom prst="rect">
          <a:avLst/>
        </a:prstGeom>
        <a:noFill/>
      </xdr:spPr>
    </xdr:pic>
    <xdr:clientData/>
  </xdr:twoCellAnchor>
  <xdr:twoCellAnchor editAs="oneCell">
    <xdr:from>
      <xdr:col>2</xdr:col>
      <xdr:colOff>38100</xdr:colOff>
      <xdr:row>24</xdr:row>
      <xdr:rowOff>38100</xdr:rowOff>
    </xdr:from>
    <xdr:to>
      <xdr:col>2</xdr:col>
      <xdr:colOff>1181100</xdr:colOff>
      <xdr:row>24</xdr:row>
      <xdr:rowOff>685800</xdr:rowOff>
    </xdr:to>
    <xdr:pic>
      <xdr:nvPicPr>
        <xdr:cNvPr id="1029" name="Picture 5" descr=""/>
        <xdr:cNvPicPr>
          <a:picLocks noChangeAspect="1" noChangeArrowheads="1"/>
        </xdr:cNvPicPr>
      </xdr:nvPicPr>
      <xdr:blipFill>
        <a:blip r:embed="R76ead89f95d14054" cstate="print"/>
        <a:srcRect/>
        <a:stretch>
          <a:fillRect/>
        </a:stretch>
      </xdr:blipFill>
      <xdr:spPr bwMode="auto">
        <a:xfrm>
          <a:off x="0" y="0"/>
          <a:ext cx="1143000" cy="647700"/>
        </a:xfrm>
        <a:prstGeom prst="rect">
          <a:avLst/>
        </a:prstGeom>
        <a:noFill/>
      </xdr:spPr>
    </xdr:pic>
    <xdr:clientData/>
  </xdr:twoCellAnchor>
  <xdr:twoCellAnchor editAs="oneCell">
    <xdr:from>
      <xdr:col>2</xdr:col>
      <xdr:colOff>38100</xdr:colOff>
      <xdr:row>26</xdr:row>
      <xdr:rowOff>38100</xdr:rowOff>
    </xdr:from>
    <xdr:to>
      <xdr:col>2</xdr:col>
      <xdr:colOff>769620</xdr:colOff>
      <xdr:row>26</xdr:row>
      <xdr:rowOff>684276</xdr:rowOff>
    </xdr:to>
    <xdr:pic>
      <xdr:nvPicPr>
        <xdr:cNvPr id="1030" name="Picture 6" descr=""/>
        <xdr:cNvPicPr>
          <a:picLocks noChangeAspect="1" noChangeArrowheads="1"/>
        </xdr:cNvPicPr>
      </xdr:nvPicPr>
      <xdr:blipFill>
        <a:blip r:embed="R362dbadba7564fe0" cstate="print"/>
        <a:srcRect/>
        <a:stretch>
          <a:fillRect/>
        </a:stretch>
      </xdr:blipFill>
      <xdr:spPr bwMode="auto">
        <a:xfrm>
          <a:off x="0" y="0"/>
          <a:ext cx="731520" cy="646176"/>
        </a:xfrm>
        <a:prstGeom prst="rect">
          <a:avLst/>
        </a:prstGeom>
        <a:noFill/>
      </xdr:spPr>
    </xdr:pic>
    <xdr:clientData/>
  </xdr:twoCellAnchor>
  <xdr:twoCellAnchor editAs="oneCell">
    <xdr:from>
      <xdr:col>2</xdr:col>
      <xdr:colOff>38100</xdr:colOff>
      <xdr:row>27</xdr:row>
      <xdr:rowOff>38100</xdr:rowOff>
    </xdr:from>
    <xdr:to>
      <xdr:col>2</xdr:col>
      <xdr:colOff>1181100</xdr:colOff>
      <xdr:row>27</xdr:row>
      <xdr:rowOff>1181100</xdr:rowOff>
    </xdr:to>
    <xdr:pic>
      <xdr:nvPicPr>
        <xdr:cNvPr id="1031" name="Picture 7" descr=""/>
        <xdr:cNvPicPr>
          <a:picLocks noChangeAspect="1" noChangeArrowheads="1"/>
        </xdr:cNvPicPr>
      </xdr:nvPicPr>
      <xdr:blipFill>
        <a:blip r:embed="Rb5a83e3d97d2429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29</xdr:row>
      <xdr:rowOff>38100</xdr:rowOff>
    </xdr:from>
    <xdr:to>
      <xdr:col>2</xdr:col>
      <xdr:colOff>1181100</xdr:colOff>
      <xdr:row>29</xdr:row>
      <xdr:rowOff>657225</xdr:rowOff>
    </xdr:to>
    <xdr:pic>
      <xdr:nvPicPr>
        <xdr:cNvPr id="1032" name="Picture 8" descr=""/>
        <xdr:cNvPicPr>
          <a:picLocks noChangeAspect="1" noChangeArrowheads="1"/>
        </xdr:cNvPicPr>
      </xdr:nvPicPr>
      <xdr:blipFill>
        <a:blip r:embed="R9dd9aa1a86214f67" cstate="print"/>
        <a:srcRect/>
        <a:stretch>
          <a:fillRect/>
        </a:stretch>
      </xdr:blipFill>
      <xdr:spPr bwMode="auto">
        <a:xfrm>
          <a:off x="0" y="0"/>
          <a:ext cx="1143000" cy="619125"/>
        </a:xfrm>
        <a:prstGeom prst="rect">
          <a:avLst/>
        </a:prstGeom>
        <a:noFill/>
      </xdr:spPr>
    </xdr:pic>
    <xdr:clientData/>
  </xdr:twoCellAnchor>
  <xdr:twoCellAnchor editAs="oneCell">
    <xdr:from>
      <xdr:col>2</xdr:col>
      <xdr:colOff>38100</xdr:colOff>
      <xdr:row>30</xdr:row>
      <xdr:rowOff>38100</xdr:rowOff>
    </xdr:from>
    <xdr:to>
      <xdr:col>2</xdr:col>
      <xdr:colOff>1181100</xdr:colOff>
      <xdr:row>30</xdr:row>
      <xdr:rowOff>1181100</xdr:rowOff>
    </xdr:to>
    <xdr:pic>
      <xdr:nvPicPr>
        <xdr:cNvPr id="1033" name="Picture 9" descr=""/>
        <xdr:cNvPicPr>
          <a:picLocks noChangeAspect="1" noChangeArrowheads="1"/>
        </xdr:cNvPicPr>
      </xdr:nvPicPr>
      <xdr:blipFill>
        <a:blip r:embed="Rd72ea93d57c64b3b"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31</xdr:row>
      <xdr:rowOff>38100</xdr:rowOff>
    </xdr:from>
    <xdr:to>
      <xdr:col>2</xdr:col>
      <xdr:colOff>891540</xdr:colOff>
      <xdr:row>31</xdr:row>
      <xdr:rowOff>952500</xdr:rowOff>
    </xdr:to>
    <xdr:pic>
      <xdr:nvPicPr>
        <xdr:cNvPr id="1034" name="Picture 10" descr=""/>
        <xdr:cNvPicPr>
          <a:picLocks noChangeAspect="1" noChangeArrowheads="1"/>
        </xdr:cNvPicPr>
      </xdr:nvPicPr>
      <xdr:blipFill>
        <a:blip r:embed="R979abf582dd44a4c" cstate="print"/>
        <a:srcRect/>
        <a:stretch>
          <a:fillRect/>
        </a:stretch>
      </xdr:blipFill>
      <xdr:spPr bwMode="auto">
        <a:xfrm>
          <a:off x="0" y="0"/>
          <a:ext cx="853440" cy="914400"/>
        </a:xfrm>
        <a:prstGeom prst="rect">
          <a:avLst/>
        </a:prstGeom>
        <a:noFill/>
      </xdr:spPr>
    </xdr:pic>
    <xdr:clientData/>
  </xdr:twoCellAnchor>
  <xdr:twoCellAnchor editAs="oneCell">
    <xdr:from>
      <xdr:col>2</xdr:col>
      <xdr:colOff>38100</xdr:colOff>
      <xdr:row>32</xdr:row>
      <xdr:rowOff>38100</xdr:rowOff>
    </xdr:from>
    <xdr:to>
      <xdr:col>2</xdr:col>
      <xdr:colOff>1181100</xdr:colOff>
      <xdr:row>32</xdr:row>
      <xdr:rowOff>1181100</xdr:rowOff>
    </xdr:to>
    <xdr:pic>
      <xdr:nvPicPr>
        <xdr:cNvPr id="1035" name="Picture 11" descr=""/>
        <xdr:cNvPicPr>
          <a:picLocks noChangeAspect="1" noChangeArrowheads="1"/>
        </xdr:cNvPicPr>
      </xdr:nvPicPr>
      <xdr:blipFill>
        <a:blip r:embed="R59e1b25eecde463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33</xdr:row>
      <xdr:rowOff>38100</xdr:rowOff>
    </xdr:from>
    <xdr:to>
      <xdr:col>2</xdr:col>
      <xdr:colOff>1562100</xdr:colOff>
      <xdr:row>33</xdr:row>
      <xdr:rowOff>889000</xdr:rowOff>
    </xdr:to>
    <xdr:pic>
      <xdr:nvPicPr>
        <xdr:cNvPr id="1036" name="Picture 12" descr=""/>
        <xdr:cNvPicPr>
          <a:picLocks noChangeAspect="1" noChangeArrowheads="1"/>
        </xdr:cNvPicPr>
      </xdr:nvPicPr>
      <xdr:blipFill>
        <a:blip r:embed="R666b18b1b8104476" cstate="print"/>
        <a:srcRect/>
        <a:stretch>
          <a:fillRect/>
        </a:stretch>
      </xdr:blipFill>
      <xdr:spPr bwMode="auto">
        <a:xfrm>
          <a:off x="0" y="0"/>
          <a:ext cx="1524000" cy="850900"/>
        </a:xfrm>
        <a:prstGeom prst="rect">
          <a:avLst/>
        </a:prstGeom>
        <a:noFill/>
      </xdr:spPr>
    </xdr:pic>
    <xdr:clientData/>
  </xdr:twoCellAnchor>
  <xdr:twoCellAnchor editAs="oneCell">
    <xdr:from>
      <xdr:col>2</xdr:col>
      <xdr:colOff>38100</xdr:colOff>
      <xdr:row>35</xdr:row>
      <xdr:rowOff>38100</xdr:rowOff>
    </xdr:from>
    <xdr:to>
      <xdr:col>2</xdr:col>
      <xdr:colOff>1562100</xdr:colOff>
      <xdr:row>35</xdr:row>
      <xdr:rowOff>1562100</xdr:rowOff>
    </xdr:to>
    <xdr:pic>
      <xdr:nvPicPr>
        <xdr:cNvPr id="1037" name="Picture 13" descr=""/>
        <xdr:cNvPicPr>
          <a:picLocks noChangeAspect="1" noChangeArrowheads="1"/>
        </xdr:cNvPicPr>
      </xdr:nvPicPr>
      <xdr:blipFill>
        <a:blip r:embed="Rc30b919fcf10462f"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36</xdr:row>
      <xdr:rowOff>38100</xdr:rowOff>
    </xdr:from>
    <xdr:to>
      <xdr:col>2</xdr:col>
      <xdr:colOff>769620</xdr:colOff>
      <xdr:row>36</xdr:row>
      <xdr:rowOff>769620</xdr:rowOff>
    </xdr:to>
    <xdr:pic>
      <xdr:nvPicPr>
        <xdr:cNvPr id="1038" name="Picture 14" descr=""/>
        <xdr:cNvPicPr>
          <a:picLocks noChangeAspect="1" noChangeArrowheads="1"/>
        </xdr:cNvPicPr>
      </xdr:nvPicPr>
      <xdr:blipFill>
        <a:blip r:embed="Re30b08bff0db4eb6"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37</xdr:row>
      <xdr:rowOff>38100</xdr:rowOff>
    </xdr:from>
    <xdr:to>
      <xdr:col>2</xdr:col>
      <xdr:colOff>1181100</xdr:colOff>
      <xdr:row>37</xdr:row>
      <xdr:rowOff>542925</xdr:rowOff>
    </xdr:to>
    <xdr:pic>
      <xdr:nvPicPr>
        <xdr:cNvPr id="1039" name="Picture 15" descr=""/>
        <xdr:cNvPicPr>
          <a:picLocks noChangeAspect="1" noChangeArrowheads="1"/>
        </xdr:cNvPicPr>
      </xdr:nvPicPr>
      <xdr:blipFill>
        <a:blip r:embed="Rcafb23cde4614dd8" cstate="print"/>
        <a:srcRect/>
        <a:stretch>
          <a:fillRect/>
        </a:stretch>
      </xdr:blipFill>
      <xdr:spPr bwMode="auto">
        <a:xfrm>
          <a:off x="0" y="0"/>
          <a:ext cx="1143000" cy="504825"/>
        </a:xfrm>
        <a:prstGeom prst="rect">
          <a:avLst/>
        </a:prstGeom>
        <a:noFill/>
      </xdr:spPr>
    </xdr:pic>
    <xdr:clientData/>
  </xdr:twoCellAnchor>
  <xdr:twoCellAnchor editAs="oneCell">
    <xdr:from>
      <xdr:col>2</xdr:col>
      <xdr:colOff>38100</xdr:colOff>
      <xdr:row>39</xdr:row>
      <xdr:rowOff>38100</xdr:rowOff>
    </xdr:from>
    <xdr:to>
      <xdr:col>2</xdr:col>
      <xdr:colOff>800100</xdr:colOff>
      <xdr:row>39</xdr:row>
      <xdr:rowOff>260350</xdr:rowOff>
    </xdr:to>
    <xdr:pic>
      <xdr:nvPicPr>
        <xdr:cNvPr id="1040" name="Picture 16" descr=""/>
        <xdr:cNvPicPr>
          <a:picLocks noChangeAspect="1" noChangeArrowheads="1"/>
        </xdr:cNvPicPr>
      </xdr:nvPicPr>
      <xdr:blipFill>
        <a:blip r:embed="R55f18f39182c4f50" cstate="print"/>
        <a:srcRect/>
        <a:stretch>
          <a:fillRect/>
        </a:stretch>
      </xdr:blipFill>
      <xdr:spPr bwMode="auto">
        <a:xfrm>
          <a:off x="0" y="0"/>
          <a:ext cx="762000" cy="222250"/>
        </a:xfrm>
        <a:prstGeom prst="rect">
          <a:avLst/>
        </a:prstGeom>
        <a:noFill/>
      </xdr:spPr>
    </xdr:pic>
    <xdr:clientData/>
  </xdr:twoCellAnchor>
  <xdr:twoCellAnchor editAs="oneCell">
    <xdr:from>
      <xdr:col>2</xdr:col>
      <xdr:colOff>38100</xdr:colOff>
      <xdr:row>40</xdr:row>
      <xdr:rowOff>38100</xdr:rowOff>
    </xdr:from>
    <xdr:to>
      <xdr:col>2</xdr:col>
      <xdr:colOff>109766100</xdr:colOff>
      <xdr:row>40</xdr:row>
      <xdr:rowOff>109766100</xdr:rowOff>
    </xdr:to>
    <xdr:pic>
      <xdr:nvPicPr>
        <xdr:cNvPr id="1041" name="Picture 17" descr=""/>
        <xdr:cNvPicPr>
          <a:picLocks noChangeAspect="1" noChangeArrowheads="1"/>
        </xdr:cNvPicPr>
      </xdr:nvPicPr>
      <xdr:blipFill>
        <a:blip r:embed="R93e27d7174234518" cstate="print"/>
        <a:srcRect/>
        <a:stretch>
          <a:fillRect/>
        </a:stretch>
      </xdr:blipFill>
      <xdr:spPr bwMode="auto">
        <a:xfrm>
          <a:off x="0" y="0"/>
          <a:ext cx="109728000" cy="109728000"/>
        </a:xfrm>
        <a:prstGeom prst="rect">
          <a:avLst/>
        </a:prstGeom>
        <a:noFill/>
      </xdr:spPr>
    </xdr:pic>
    <xdr:clientData/>
  </xdr:twoCellAnchor>
  <xdr:twoCellAnchor editAs="oneCell">
    <xdr:from>
      <xdr:col>2</xdr:col>
      <xdr:colOff>38100</xdr:colOff>
      <xdr:row>41</xdr:row>
      <xdr:rowOff>38100</xdr:rowOff>
    </xdr:from>
    <xdr:to>
      <xdr:col>2</xdr:col>
      <xdr:colOff>1181220</xdr:colOff>
      <xdr:row>41</xdr:row>
      <xdr:rowOff>381036</xdr:rowOff>
    </xdr:to>
    <xdr:pic>
      <xdr:nvPicPr>
        <xdr:cNvPr id="1042" name="Picture 18" descr=""/>
        <xdr:cNvPicPr>
          <a:picLocks noChangeAspect="1" noChangeArrowheads="1"/>
        </xdr:cNvPicPr>
      </xdr:nvPicPr>
      <xdr:blipFill>
        <a:blip r:embed="R938d2198814940c9" cstate="print"/>
        <a:srcRect/>
        <a:stretch>
          <a:fillRect/>
        </a:stretch>
      </xdr:blipFill>
      <xdr:spPr bwMode="auto">
        <a:xfrm>
          <a:off x="0" y="0"/>
          <a:ext cx="1143120" cy="342936"/>
        </a:xfrm>
        <a:prstGeom prst="rect">
          <a:avLst/>
        </a:prstGeom>
        <a:noFill/>
      </xdr:spPr>
    </xdr:pic>
    <xdr:clientData/>
  </xdr:twoCellAnchor>
  <xdr:twoCellAnchor editAs="oneCell">
    <xdr:from>
      <xdr:col>2</xdr:col>
      <xdr:colOff>38100</xdr:colOff>
      <xdr:row>42</xdr:row>
      <xdr:rowOff>38100</xdr:rowOff>
    </xdr:from>
    <xdr:to>
      <xdr:col>2</xdr:col>
      <xdr:colOff>1181100</xdr:colOff>
      <xdr:row>42</xdr:row>
      <xdr:rowOff>1181100</xdr:rowOff>
    </xdr:to>
    <xdr:pic>
      <xdr:nvPicPr>
        <xdr:cNvPr id="1043" name="Picture 19" descr=""/>
        <xdr:cNvPicPr>
          <a:picLocks noChangeAspect="1" noChangeArrowheads="1"/>
        </xdr:cNvPicPr>
      </xdr:nvPicPr>
      <xdr:blipFill>
        <a:blip r:embed="R2922aced3a374e9c"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45</xdr:row>
      <xdr:rowOff>38100</xdr:rowOff>
    </xdr:from>
    <xdr:to>
      <xdr:col>2</xdr:col>
      <xdr:colOff>1181220</xdr:colOff>
      <xdr:row>45</xdr:row>
      <xdr:rowOff>1181220</xdr:rowOff>
    </xdr:to>
    <xdr:pic>
      <xdr:nvPicPr>
        <xdr:cNvPr id="1044" name="Picture 20" descr=""/>
        <xdr:cNvPicPr>
          <a:picLocks noChangeAspect="1" noChangeArrowheads="1"/>
        </xdr:cNvPicPr>
      </xdr:nvPicPr>
      <xdr:blipFill>
        <a:blip r:embed="Rd8f8b945cf21460b" cstate="print"/>
        <a:srcRect/>
        <a:stretch>
          <a:fillRect/>
        </a:stretch>
      </xdr:blipFill>
      <xdr:spPr bwMode="auto">
        <a:xfrm>
          <a:off x="0" y="0"/>
          <a:ext cx="1143120" cy="1143120"/>
        </a:xfrm>
        <a:prstGeom prst="rect">
          <a:avLst/>
        </a:prstGeom>
        <a:noFill/>
      </xdr:spPr>
    </xdr:pic>
    <xdr:clientData/>
  </xdr:twoCellAnchor>
  <xdr:twoCellAnchor editAs="oneCell">
    <xdr:from>
      <xdr:col>2</xdr:col>
      <xdr:colOff>38100</xdr:colOff>
      <xdr:row>49</xdr:row>
      <xdr:rowOff>38100</xdr:rowOff>
    </xdr:from>
    <xdr:to>
      <xdr:col>2</xdr:col>
      <xdr:colOff>1181100</xdr:colOff>
      <xdr:row>49</xdr:row>
      <xdr:rowOff>1057275</xdr:rowOff>
    </xdr:to>
    <xdr:pic>
      <xdr:nvPicPr>
        <xdr:cNvPr id="1045" name="Picture 21" descr=""/>
        <xdr:cNvPicPr>
          <a:picLocks noChangeAspect="1" noChangeArrowheads="1"/>
        </xdr:cNvPicPr>
      </xdr:nvPicPr>
      <xdr:blipFill>
        <a:blip r:embed="R63f4b74da3a247f6" cstate="print"/>
        <a:srcRect/>
        <a:stretch>
          <a:fillRect/>
        </a:stretch>
      </xdr:blipFill>
      <xdr:spPr bwMode="auto">
        <a:xfrm>
          <a:off x="0" y="0"/>
          <a:ext cx="1143000" cy="1019175"/>
        </a:xfrm>
        <a:prstGeom prst="rect">
          <a:avLst/>
        </a:prstGeom>
        <a:noFill/>
      </xdr:spPr>
    </xdr:pic>
    <xdr:clientData/>
  </xdr:twoCellAnchor>
  <xdr:twoCellAnchor editAs="oneCell">
    <xdr:from>
      <xdr:col>2</xdr:col>
      <xdr:colOff>38100</xdr:colOff>
      <xdr:row>50</xdr:row>
      <xdr:rowOff>38100</xdr:rowOff>
    </xdr:from>
    <xdr:to>
      <xdr:col>2</xdr:col>
      <xdr:colOff>1181100</xdr:colOff>
      <xdr:row>50</xdr:row>
      <xdr:rowOff>1181100</xdr:rowOff>
    </xdr:to>
    <xdr:pic>
      <xdr:nvPicPr>
        <xdr:cNvPr id="1046" name="Picture 22" descr=""/>
        <xdr:cNvPicPr>
          <a:picLocks noChangeAspect="1" noChangeArrowheads="1"/>
        </xdr:cNvPicPr>
      </xdr:nvPicPr>
      <xdr:blipFill>
        <a:blip r:embed="R901b2ccf7acd46bf"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51</xdr:row>
      <xdr:rowOff>38100</xdr:rowOff>
    </xdr:from>
    <xdr:to>
      <xdr:col>2</xdr:col>
      <xdr:colOff>1095375</xdr:colOff>
      <xdr:row>51</xdr:row>
      <xdr:rowOff>1181100</xdr:rowOff>
    </xdr:to>
    <xdr:pic>
      <xdr:nvPicPr>
        <xdr:cNvPr id="1047" name="Picture 23" descr=""/>
        <xdr:cNvPicPr>
          <a:picLocks noChangeAspect="1" noChangeArrowheads="1"/>
        </xdr:cNvPicPr>
      </xdr:nvPicPr>
      <xdr:blipFill>
        <a:blip r:embed="R15c645f8f0e84a97" cstate="print"/>
        <a:srcRect/>
        <a:stretch>
          <a:fillRect/>
        </a:stretch>
      </xdr:blipFill>
      <xdr:spPr bwMode="auto">
        <a:xfrm>
          <a:off x="0" y="0"/>
          <a:ext cx="1057275" cy="1143000"/>
        </a:xfrm>
        <a:prstGeom prst="rect">
          <a:avLst/>
        </a:prstGeom>
        <a:noFill/>
      </xdr:spPr>
    </xdr:pic>
    <xdr:clientData/>
  </xdr:twoCellAnchor>
  <xdr:twoCellAnchor editAs="oneCell">
    <xdr:from>
      <xdr:col>2</xdr:col>
      <xdr:colOff>38100</xdr:colOff>
      <xdr:row>52</xdr:row>
      <xdr:rowOff>38100</xdr:rowOff>
    </xdr:from>
    <xdr:to>
      <xdr:col>2</xdr:col>
      <xdr:colOff>1181100</xdr:colOff>
      <xdr:row>52</xdr:row>
      <xdr:rowOff>1181100</xdr:rowOff>
    </xdr:to>
    <xdr:pic>
      <xdr:nvPicPr>
        <xdr:cNvPr id="1048" name="Picture 24" descr=""/>
        <xdr:cNvPicPr>
          <a:picLocks noChangeAspect="1" noChangeArrowheads="1"/>
        </xdr:cNvPicPr>
      </xdr:nvPicPr>
      <xdr:blipFill>
        <a:blip r:embed="R3246dacecc4948a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53</xdr:row>
      <xdr:rowOff>38100</xdr:rowOff>
    </xdr:from>
    <xdr:to>
      <xdr:col>2</xdr:col>
      <xdr:colOff>1181100</xdr:colOff>
      <xdr:row>53</xdr:row>
      <xdr:rowOff>657225</xdr:rowOff>
    </xdr:to>
    <xdr:pic>
      <xdr:nvPicPr>
        <xdr:cNvPr id="1049" name="Picture 25" descr=""/>
        <xdr:cNvPicPr>
          <a:picLocks noChangeAspect="1" noChangeArrowheads="1"/>
        </xdr:cNvPicPr>
      </xdr:nvPicPr>
      <xdr:blipFill>
        <a:blip r:embed="R5a30c3847b534e32" cstate="print"/>
        <a:srcRect/>
        <a:stretch>
          <a:fillRect/>
        </a:stretch>
      </xdr:blipFill>
      <xdr:spPr bwMode="auto">
        <a:xfrm>
          <a:off x="0" y="0"/>
          <a:ext cx="1143000" cy="619125"/>
        </a:xfrm>
        <a:prstGeom prst="rect">
          <a:avLst/>
        </a:prstGeom>
        <a:noFill/>
      </xdr:spPr>
    </xdr:pic>
    <xdr:clientData/>
  </xdr:twoCellAnchor>
  <xdr:twoCellAnchor editAs="oneCell">
    <xdr:from>
      <xdr:col>2</xdr:col>
      <xdr:colOff>38100</xdr:colOff>
      <xdr:row>54</xdr:row>
      <xdr:rowOff>38100</xdr:rowOff>
    </xdr:from>
    <xdr:to>
      <xdr:col>2</xdr:col>
      <xdr:colOff>1181100</xdr:colOff>
      <xdr:row>54</xdr:row>
      <xdr:rowOff>1000125</xdr:rowOff>
    </xdr:to>
    <xdr:pic>
      <xdr:nvPicPr>
        <xdr:cNvPr id="1050" name="Picture 26" descr=""/>
        <xdr:cNvPicPr>
          <a:picLocks noChangeAspect="1" noChangeArrowheads="1"/>
        </xdr:cNvPicPr>
      </xdr:nvPicPr>
      <xdr:blipFill>
        <a:blip r:embed="R3b8b08c7de8844da" cstate="print"/>
        <a:srcRect/>
        <a:stretch>
          <a:fillRect/>
        </a:stretch>
      </xdr:blipFill>
      <xdr:spPr bwMode="auto">
        <a:xfrm>
          <a:off x="0" y="0"/>
          <a:ext cx="1143000" cy="962025"/>
        </a:xfrm>
        <a:prstGeom prst="rect">
          <a:avLst/>
        </a:prstGeom>
        <a:noFill/>
      </xdr:spPr>
    </xdr:pic>
    <xdr:clientData/>
  </xdr:twoCellAnchor>
  <xdr:twoCellAnchor editAs="oneCell">
    <xdr:from>
      <xdr:col>2</xdr:col>
      <xdr:colOff>38100</xdr:colOff>
      <xdr:row>56</xdr:row>
      <xdr:rowOff>38100</xdr:rowOff>
    </xdr:from>
    <xdr:to>
      <xdr:col>2</xdr:col>
      <xdr:colOff>403860</xdr:colOff>
      <xdr:row>56</xdr:row>
      <xdr:rowOff>172212</xdr:rowOff>
    </xdr:to>
    <xdr:pic>
      <xdr:nvPicPr>
        <xdr:cNvPr id="1051" name="Picture 27" descr=""/>
        <xdr:cNvPicPr>
          <a:picLocks noChangeAspect="1" noChangeArrowheads="1"/>
        </xdr:cNvPicPr>
      </xdr:nvPicPr>
      <xdr:blipFill>
        <a:blip r:embed="Ra7f7d1ff6b6b4108" cstate="print"/>
        <a:srcRect/>
        <a:stretch>
          <a:fillRect/>
        </a:stretch>
      </xdr:blipFill>
      <xdr:spPr bwMode="auto">
        <a:xfrm>
          <a:off x="0" y="0"/>
          <a:ext cx="365760" cy="134112"/>
        </a:xfrm>
        <a:prstGeom prst="rect">
          <a:avLst/>
        </a:prstGeom>
        <a:noFill/>
      </xdr:spPr>
    </xdr:pic>
    <xdr:clientData/>
  </xdr:twoCellAnchor>
  <xdr:twoCellAnchor editAs="oneCell">
    <xdr:from>
      <xdr:col>2</xdr:col>
      <xdr:colOff>38100</xdr:colOff>
      <xdr:row>57</xdr:row>
      <xdr:rowOff>38100</xdr:rowOff>
    </xdr:from>
    <xdr:to>
      <xdr:col>2</xdr:col>
      <xdr:colOff>1181100</xdr:colOff>
      <xdr:row>57</xdr:row>
      <xdr:rowOff>352425</xdr:rowOff>
    </xdr:to>
    <xdr:pic>
      <xdr:nvPicPr>
        <xdr:cNvPr id="1052" name="Picture 28" descr=""/>
        <xdr:cNvPicPr>
          <a:picLocks noChangeAspect="1" noChangeArrowheads="1"/>
        </xdr:cNvPicPr>
      </xdr:nvPicPr>
      <xdr:blipFill>
        <a:blip r:embed="R13dc8277496d4e55" cstate="print"/>
        <a:srcRect/>
        <a:stretch>
          <a:fillRect/>
        </a:stretch>
      </xdr:blipFill>
      <xdr:spPr bwMode="auto">
        <a:xfrm>
          <a:off x="0" y="0"/>
          <a:ext cx="1143000" cy="314325"/>
        </a:xfrm>
        <a:prstGeom prst="rect">
          <a:avLst/>
        </a:prstGeom>
        <a:noFill/>
      </xdr:spPr>
    </xdr:pic>
    <xdr:clientData/>
  </xdr:twoCellAnchor>
  <xdr:twoCellAnchor editAs="oneCell">
    <xdr:from>
      <xdr:col>2</xdr:col>
      <xdr:colOff>38100</xdr:colOff>
      <xdr:row>59</xdr:row>
      <xdr:rowOff>38100</xdr:rowOff>
    </xdr:from>
    <xdr:to>
      <xdr:col>2</xdr:col>
      <xdr:colOff>1181100</xdr:colOff>
      <xdr:row>59</xdr:row>
      <xdr:rowOff>590550</xdr:rowOff>
    </xdr:to>
    <xdr:pic>
      <xdr:nvPicPr>
        <xdr:cNvPr id="1053" name="Picture 29" descr=""/>
        <xdr:cNvPicPr>
          <a:picLocks noChangeAspect="1" noChangeArrowheads="1"/>
        </xdr:cNvPicPr>
      </xdr:nvPicPr>
      <xdr:blipFill>
        <a:blip r:embed="Recb09e99b6bf4de6" cstate="print"/>
        <a:srcRect/>
        <a:stretch>
          <a:fillRect/>
        </a:stretch>
      </xdr:blipFill>
      <xdr:spPr bwMode="auto">
        <a:xfrm>
          <a:off x="0" y="0"/>
          <a:ext cx="1143000" cy="552450"/>
        </a:xfrm>
        <a:prstGeom prst="rect">
          <a:avLst/>
        </a:prstGeom>
        <a:noFill/>
      </xdr:spPr>
    </xdr:pic>
    <xdr:clientData/>
  </xdr:twoCellAnchor>
  <xdr:twoCellAnchor editAs="oneCell">
    <xdr:from>
      <xdr:col>2</xdr:col>
      <xdr:colOff>38100</xdr:colOff>
      <xdr:row>60</xdr:row>
      <xdr:rowOff>38100</xdr:rowOff>
    </xdr:from>
    <xdr:to>
      <xdr:col>2</xdr:col>
      <xdr:colOff>660400</xdr:colOff>
      <xdr:row>60</xdr:row>
      <xdr:rowOff>800100</xdr:rowOff>
    </xdr:to>
    <xdr:pic>
      <xdr:nvPicPr>
        <xdr:cNvPr id="1054" name="Picture 30" descr=""/>
        <xdr:cNvPicPr>
          <a:picLocks noChangeAspect="1" noChangeArrowheads="1"/>
        </xdr:cNvPicPr>
      </xdr:nvPicPr>
      <xdr:blipFill>
        <a:blip r:embed="Rb0478938a66242e9" cstate="print"/>
        <a:srcRect/>
        <a:stretch>
          <a:fillRect/>
        </a:stretch>
      </xdr:blipFill>
      <xdr:spPr bwMode="auto">
        <a:xfrm>
          <a:off x="0" y="0"/>
          <a:ext cx="622300" cy="762000"/>
        </a:xfrm>
        <a:prstGeom prst="rect">
          <a:avLst/>
        </a:prstGeom>
        <a:noFill/>
      </xdr:spPr>
    </xdr:pic>
    <xdr:clientData/>
  </xdr:twoCellAnchor>
  <xdr:twoCellAnchor editAs="oneCell">
    <xdr:from>
      <xdr:col>2</xdr:col>
      <xdr:colOff>38100</xdr:colOff>
      <xdr:row>61</xdr:row>
      <xdr:rowOff>38100</xdr:rowOff>
    </xdr:from>
    <xdr:to>
      <xdr:col>2</xdr:col>
      <xdr:colOff>403860</xdr:colOff>
      <xdr:row>61</xdr:row>
      <xdr:rowOff>403860</xdr:rowOff>
    </xdr:to>
    <xdr:pic>
      <xdr:nvPicPr>
        <xdr:cNvPr id="1055" name="Picture 31" descr=""/>
        <xdr:cNvPicPr>
          <a:picLocks noChangeAspect="1" noChangeArrowheads="1"/>
        </xdr:cNvPicPr>
      </xdr:nvPicPr>
      <xdr:blipFill>
        <a:blip r:embed="R2ac9969ac44b4004"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62</xdr:row>
      <xdr:rowOff>38100</xdr:rowOff>
    </xdr:from>
    <xdr:to>
      <xdr:col>2</xdr:col>
      <xdr:colOff>403860</xdr:colOff>
      <xdr:row>62</xdr:row>
      <xdr:rowOff>355092</xdr:rowOff>
    </xdr:to>
    <xdr:pic>
      <xdr:nvPicPr>
        <xdr:cNvPr id="1056" name="Picture 32" descr=""/>
        <xdr:cNvPicPr>
          <a:picLocks noChangeAspect="1" noChangeArrowheads="1"/>
        </xdr:cNvPicPr>
      </xdr:nvPicPr>
      <xdr:blipFill>
        <a:blip r:embed="R960cc6ab19bf4500" cstate="print"/>
        <a:srcRect/>
        <a:stretch>
          <a:fillRect/>
        </a:stretch>
      </xdr:blipFill>
      <xdr:spPr bwMode="auto">
        <a:xfrm>
          <a:off x="0" y="0"/>
          <a:ext cx="365760" cy="316992"/>
        </a:xfrm>
        <a:prstGeom prst="rect">
          <a:avLst/>
        </a:prstGeom>
        <a:noFill/>
      </xdr:spPr>
    </xdr:pic>
    <xdr:clientData/>
  </xdr:twoCellAnchor>
  <xdr:twoCellAnchor editAs="oneCell">
    <xdr:from>
      <xdr:col>2</xdr:col>
      <xdr:colOff>38100</xdr:colOff>
      <xdr:row>63</xdr:row>
      <xdr:rowOff>38100</xdr:rowOff>
    </xdr:from>
    <xdr:to>
      <xdr:col>2</xdr:col>
      <xdr:colOff>2232660</xdr:colOff>
      <xdr:row>63</xdr:row>
      <xdr:rowOff>2141220</xdr:rowOff>
    </xdr:to>
    <xdr:pic>
      <xdr:nvPicPr>
        <xdr:cNvPr id="1057" name="Picture 33" descr=""/>
        <xdr:cNvPicPr>
          <a:picLocks noChangeAspect="1" noChangeArrowheads="1"/>
        </xdr:cNvPicPr>
      </xdr:nvPicPr>
      <xdr:blipFill>
        <a:blip r:embed="Raec5d1bcfa744c42" cstate="print"/>
        <a:srcRect/>
        <a:stretch>
          <a:fillRect/>
        </a:stretch>
      </xdr:blipFill>
      <xdr:spPr bwMode="auto">
        <a:xfrm>
          <a:off x="0" y="0"/>
          <a:ext cx="2194560" cy="2103120"/>
        </a:xfrm>
        <a:prstGeom prst="rect">
          <a:avLst/>
        </a:prstGeom>
        <a:noFill/>
      </xdr:spPr>
    </xdr:pic>
    <xdr:clientData/>
  </xdr:twoCellAnchor>
  <xdr:twoCellAnchor editAs="oneCell">
    <xdr:from>
      <xdr:col>2</xdr:col>
      <xdr:colOff>38100</xdr:colOff>
      <xdr:row>64</xdr:row>
      <xdr:rowOff>38100</xdr:rowOff>
    </xdr:from>
    <xdr:to>
      <xdr:col>2</xdr:col>
      <xdr:colOff>1583580</xdr:colOff>
      <xdr:row>64</xdr:row>
      <xdr:rowOff>1094178</xdr:rowOff>
    </xdr:to>
    <xdr:pic>
      <xdr:nvPicPr>
        <xdr:cNvPr id="1058" name="Picture 34" descr=""/>
        <xdr:cNvPicPr>
          <a:picLocks noChangeAspect="1" noChangeArrowheads="1"/>
        </xdr:cNvPicPr>
      </xdr:nvPicPr>
      <xdr:blipFill>
        <a:blip r:embed="Ra78f972c01d744b5" cstate="print"/>
        <a:srcRect/>
        <a:stretch>
          <a:fillRect/>
        </a:stretch>
      </xdr:blipFill>
      <xdr:spPr bwMode="auto">
        <a:xfrm>
          <a:off x="0" y="0"/>
          <a:ext cx="1545480" cy="1056078"/>
        </a:xfrm>
        <a:prstGeom prst="rect">
          <a:avLst/>
        </a:prstGeom>
        <a:noFill/>
      </xdr:spPr>
    </xdr:pic>
    <xdr:clientData/>
  </xdr:twoCellAnchor>
  <xdr:twoCellAnchor editAs="oneCell">
    <xdr:from>
      <xdr:col>2</xdr:col>
      <xdr:colOff>38100</xdr:colOff>
      <xdr:row>65</xdr:row>
      <xdr:rowOff>38100</xdr:rowOff>
    </xdr:from>
    <xdr:to>
      <xdr:col>2</xdr:col>
      <xdr:colOff>937260</xdr:colOff>
      <xdr:row>65</xdr:row>
      <xdr:rowOff>952500</xdr:rowOff>
    </xdr:to>
    <xdr:pic>
      <xdr:nvPicPr>
        <xdr:cNvPr id="1059" name="Picture 35" descr=""/>
        <xdr:cNvPicPr>
          <a:picLocks noChangeAspect="1" noChangeArrowheads="1"/>
        </xdr:cNvPicPr>
      </xdr:nvPicPr>
      <xdr:blipFill>
        <a:blip r:embed="R8178047e66a64d03" cstate="print"/>
        <a:srcRect/>
        <a:stretch>
          <a:fillRect/>
        </a:stretch>
      </xdr:blipFill>
      <xdr:spPr bwMode="auto">
        <a:xfrm>
          <a:off x="0" y="0"/>
          <a:ext cx="899160" cy="914400"/>
        </a:xfrm>
        <a:prstGeom prst="rect">
          <a:avLst/>
        </a:prstGeom>
        <a:noFill/>
      </xdr:spPr>
    </xdr:pic>
    <xdr:clientData/>
  </xdr:twoCellAnchor>
  <xdr:twoCellAnchor editAs="oneCell">
    <xdr:from>
      <xdr:col>2</xdr:col>
      <xdr:colOff>38100</xdr:colOff>
      <xdr:row>67</xdr:row>
      <xdr:rowOff>38100</xdr:rowOff>
    </xdr:from>
    <xdr:to>
      <xdr:col>2</xdr:col>
      <xdr:colOff>1181100</xdr:colOff>
      <xdr:row>67</xdr:row>
      <xdr:rowOff>733425</xdr:rowOff>
    </xdr:to>
    <xdr:pic>
      <xdr:nvPicPr>
        <xdr:cNvPr id="1060" name="Picture 36" descr=""/>
        <xdr:cNvPicPr>
          <a:picLocks noChangeAspect="1" noChangeArrowheads="1"/>
        </xdr:cNvPicPr>
      </xdr:nvPicPr>
      <xdr:blipFill>
        <a:blip r:embed="R104442ef59c14e65" cstate="print"/>
        <a:srcRect/>
        <a:stretch>
          <a:fillRect/>
        </a:stretch>
      </xdr:blipFill>
      <xdr:spPr bwMode="auto">
        <a:xfrm>
          <a:off x="0" y="0"/>
          <a:ext cx="1143000" cy="695325"/>
        </a:xfrm>
        <a:prstGeom prst="rect">
          <a:avLst/>
        </a:prstGeom>
        <a:noFill/>
      </xdr:spPr>
    </xdr:pic>
    <xdr:clientData/>
  </xdr:twoCellAnchor>
  <xdr:twoCellAnchor editAs="oneCell">
    <xdr:from>
      <xdr:col>2</xdr:col>
      <xdr:colOff>38100</xdr:colOff>
      <xdr:row>69</xdr:row>
      <xdr:rowOff>38100</xdr:rowOff>
    </xdr:from>
    <xdr:to>
      <xdr:col>2</xdr:col>
      <xdr:colOff>1181100</xdr:colOff>
      <xdr:row>69</xdr:row>
      <xdr:rowOff>1181100</xdr:rowOff>
    </xdr:to>
    <xdr:pic>
      <xdr:nvPicPr>
        <xdr:cNvPr id="1061" name="Picture 37" descr=""/>
        <xdr:cNvPicPr>
          <a:picLocks noChangeAspect="1" noChangeArrowheads="1"/>
        </xdr:cNvPicPr>
      </xdr:nvPicPr>
      <xdr:blipFill>
        <a:blip r:embed="Re834b6e52ea34e2f"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70</xdr:row>
      <xdr:rowOff>38100</xdr:rowOff>
    </xdr:from>
    <xdr:to>
      <xdr:col>2</xdr:col>
      <xdr:colOff>403860</xdr:colOff>
      <xdr:row>70</xdr:row>
      <xdr:rowOff>361188</xdr:rowOff>
    </xdr:to>
    <xdr:pic>
      <xdr:nvPicPr>
        <xdr:cNvPr id="1062" name="Picture 38" descr=""/>
        <xdr:cNvPicPr>
          <a:picLocks noChangeAspect="1" noChangeArrowheads="1"/>
        </xdr:cNvPicPr>
      </xdr:nvPicPr>
      <xdr:blipFill>
        <a:blip r:embed="R5f9be91918cd46ca" cstate="print"/>
        <a:srcRect/>
        <a:stretch>
          <a:fillRect/>
        </a:stretch>
      </xdr:blipFill>
      <xdr:spPr bwMode="auto">
        <a:xfrm>
          <a:off x="0" y="0"/>
          <a:ext cx="365760" cy="323088"/>
        </a:xfrm>
        <a:prstGeom prst="rect">
          <a:avLst/>
        </a:prstGeom>
        <a:noFill/>
      </xdr:spPr>
    </xdr:pic>
    <xdr:clientData/>
  </xdr:twoCellAnchor>
  <xdr:twoCellAnchor editAs="oneCell">
    <xdr:from>
      <xdr:col>2</xdr:col>
      <xdr:colOff>38100</xdr:colOff>
      <xdr:row>71</xdr:row>
      <xdr:rowOff>38100</xdr:rowOff>
    </xdr:from>
    <xdr:to>
      <xdr:col>2</xdr:col>
      <xdr:colOff>403860</xdr:colOff>
      <xdr:row>71</xdr:row>
      <xdr:rowOff>403860</xdr:rowOff>
    </xdr:to>
    <xdr:pic>
      <xdr:nvPicPr>
        <xdr:cNvPr id="1063" name="Picture 39" descr=""/>
        <xdr:cNvPicPr>
          <a:picLocks noChangeAspect="1" noChangeArrowheads="1"/>
        </xdr:cNvPicPr>
      </xdr:nvPicPr>
      <xdr:blipFill>
        <a:blip r:embed="R9c166d550feb41ba"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72</xdr:row>
      <xdr:rowOff>38100</xdr:rowOff>
    </xdr:from>
    <xdr:to>
      <xdr:col>2</xdr:col>
      <xdr:colOff>1181100</xdr:colOff>
      <xdr:row>72</xdr:row>
      <xdr:rowOff>504825</xdr:rowOff>
    </xdr:to>
    <xdr:pic>
      <xdr:nvPicPr>
        <xdr:cNvPr id="1064" name="Picture 40" descr=""/>
        <xdr:cNvPicPr>
          <a:picLocks noChangeAspect="1" noChangeArrowheads="1"/>
        </xdr:cNvPicPr>
      </xdr:nvPicPr>
      <xdr:blipFill>
        <a:blip r:embed="Rf301660d986b400e" cstate="print"/>
        <a:srcRect/>
        <a:stretch>
          <a:fillRect/>
        </a:stretch>
      </xdr:blipFill>
      <xdr:spPr bwMode="auto">
        <a:xfrm>
          <a:off x="0" y="0"/>
          <a:ext cx="1143000" cy="466725"/>
        </a:xfrm>
        <a:prstGeom prst="rect">
          <a:avLst/>
        </a:prstGeom>
        <a:noFill/>
      </xdr:spPr>
    </xdr:pic>
    <xdr:clientData/>
  </xdr:twoCellAnchor>
  <xdr:twoCellAnchor editAs="oneCell">
    <xdr:from>
      <xdr:col>2</xdr:col>
      <xdr:colOff>38100</xdr:colOff>
      <xdr:row>74</xdr:row>
      <xdr:rowOff>38100</xdr:rowOff>
    </xdr:from>
    <xdr:to>
      <xdr:col>2</xdr:col>
      <xdr:colOff>403860</xdr:colOff>
      <xdr:row>74</xdr:row>
      <xdr:rowOff>309372</xdr:rowOff>
    </xdr:to>
    <xdr:pic>
      <xdr:nvPicPr>
        <xdr:cNvPr id="1065" name="Picture 41" descr=""/>
        <xdr:cNvPicPr>
          <a:picLocks noChangeAspect="1" noChangeArrowheads="1"/>
        </xdr:cNvPicPr>
      </xdr:nvPicPr>
      <xdr:blipFill>
        <a:blip r:embed="R5975a2eebd7c47ac" cstate="print"/>
        <a:srcRect/>
        <a:stretch>
          <a:fillRect/>
        </a:stretch>
      </xdr:blipFill>
      <xdr:spPr bwMode="auto">
        <a:xfrm>
          <a:off x="0" y="0"/>
          <a:ext cx="365760" cy="271272"/>
        </a:xfrm>
        <a:prstGeom prst="rect">
          <a:avLst/>
        </a:prstGeom>
        <a:noFill/>
      </xdr:spPr>
    </xdr:pic>
    <xdr:clientData/>
  </xdr:twoCellAnchor>
  <xdr:twoCellAnchor editAs="oneCell">
    <xdr:from>
      <xdr:col>2</xdr:col>
      <xdr:colOff>38100</xdr:colOff>
      <xdr:row>75</xdr:row>
      <xdr:rowOff>38100</xdr:rowOff>
    </xdr:from>
    <xdr:to>
      <xdr:col>2</xdr:col>
      <xdr:colOff>403860</xdr:colOff>
      <xdr:row>75</xdr:row>
      <xdr:rowOff>403860</xdr:rowOff>
    </xdr:to>
    <xdr:pic>
      <xdr:nvPicPr>
        <xdr:cNvPr id="1066" name="Picture 42" descr=""/>
        <xdr:cNvPicPr>
          <a:picLocks noChangeAspect="1" noChangeArrowheads="1"/>
        </xdr:cNvPicPr>
      </xdr:nvPicPr>
      <xdr:blipFill>
        <a:blip r:embed="Rac9285fabb234c70"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76</xdr:row>
      <xdr:rowOff>38100</xdr:rowOff>
    </xdr:from>
    <xdr:to>
      <xdr:col>2</xdr:col>
      <xdr:colOff>403860</xdr:colOff>
      <xdr:row>76</xdr:row>
      <xdr:rowOff>230124</xdr:rowOff>
    </xdr:to>
    <xdr:pic>
      <xdr:nvPicPr>
        <xdr:cNvPr id="1067" name="Picture 43" descr=""/>
        <xdr:cNvPicPr>
          <a:picLocks noChangeAspect="1" noChangeArrowheads="1"/>
        </xdr:cNvPicPr>
      </xdr:nvPicPr>
      <xdr:blipFill>
        <a:blip r:embed="R0b03a1ff4e9d4fdf" cstate="print"/>
        <a:srcRect/>
        <a:stretch>
          <a:fillRect/>
        </a:stretch>
      </xdr:blipFill>
      <xdr:spPr bwMode="auto">
        <a:xfrm>
          <a:off x="0" y="0"/>
          <a:ext cx="365760" cy="192024"/>
        </a:xfrm>
        <a:prstGeom prst="rect">
          <a:avLst/>
        </a:prstGeom>
        <a:noFill/>
      </xdr:spPr>
    </xdr:pic>
    <xdr:clientData/>
  </xdr:twoCellAnchor>
  <xdr:twoCellAnchor editAs="oneCell">
    <xdr:from>
      <xdr:col>2</xdr:col>
      <xdr:colOff>38100</xdr:colOff>
      <xdr:row>77</xdr:row>
      <xdr:rowOff>38100</xdr:rowOff>
    </xdr:from>
    <xdr:to>
      <xdr:col>2</xdr:col>
      <xdr:colOff>403860</xdr:colOff>
      <xdr:row>77</xdr:row>
      <xdr:rowOff>403860</xdr:rowOff>
    </xdr:to>
    <xdr:pic>
      <xdr:nvPicPr>
        <xdr:cNvPr id="1068" name="Picture 44" descr=""/>
        <xdr:cNvPicPr>
          <a:picLocks noChangeAspect="1" noChangeArrowheads="1"/>
        </xdr:cNvPicPr>
      </xdr:nvPicPr>
      <xdr:blipFill>
        <a:blip r:embed="Re53ec92ec4a845ec"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78</xdr:row>
      <xdr:rowOff>38100</xdr:rowOff>
    </xdr:from>
    <xdr:to>
      <xdr:col>2</xdr:col>
      <xdr:colOff>866775</xdr:colOff>
      <xdr:row>78</xdr:row>
      <xdr:rowOff>1181100</xdr:rowOff>
    </xdr:to>
    <xdr:pic>
      <xdr:nvPicPr>
        <xdr:cNvPr id="1069" name="Picture 45" descr=""/>
        <xdr:cNvPicPr>
          <a:picLocks noChangeAspect="1" noChangeArrowheads="1"/>
        </xdr:cNvPicPr>
      </xdr:nvPicPr>
      <xdr:blipFill>
        <a:blip r:embed="R2f73e87d6608403f" cstate="print"/>
        <a:srcRect/>
        <a:stretch>
          <a:fillRect/>
        </a:stretch>
      </xdr:blipFill>
      <xdr:spPr bwMode="auto">
        <a:xfrm>
          <a:off x="0" y="0"/>
          <a:ext cx="828675" cy="1143000"/>
        </a:xfrm>
        <a:prstGeom prst="rect">
          <a:avLst/>
        </a:prstGeom>
        <a:noFill/>
      </xdr:spPr>
    </xdr:pic>
    <xdr:clientData/>
  </xdr:twoCellAnchor>
  <xdr:twoCellAnchor editAs="oneCell">
    <xdr:from>
      <xdr:col>2</xdr:col>
      <xdr:colOff>38100</xdr:colOff>
      <xdr:row>79</xdr:row>
      <xdr:rowOff>38100</xdr:rowOff>
    </xdr:from>
    <xdr:to>
      <xdr:col>2</xdr:col>
      <xdr:colOff>952500</xdr:colOff>
      <xdr:row>79</xdr:row>
      <xdr:rowOff>952500</xdr:rowOff>
    </xdr:to>
    <xdr:pic>
      <xdr:nvPicPr>
        <xdr:cNvPr id="1070" name="Picture 46" descr=""/>
        <xdr:cNvPicPr>
          <a:picLocks noChangeAspect="1" noChangeArrowheads="1"/>
        </xdr:cNvPicPr>
      </xdr:nvPicPr>
      <xdr:blipFill>
        <a:blip r:embed="R2bf88d0e196e428b" cstate="print"/>
        <a:srcRect/>
        <a:stretch>
          <a:fillRect/>
        </a:stretch>
      </xdr:blipFill>
      <xdr:spPr bwMode="auto">
        <a:xfrm>
          <a:off x="0" y="0"/>
          <a:ext cx="914400" cy="914400"/>
        </a:xfrm>
        <a:prstGeom prst="rect">
          <a:avLst/>
        </a:prstGeom>
        <a:noFill/>
      </xdr:spPr>
    </xdr:pic>
    <xdr:clientData/>
  </xdr:twoCellAnchor>
  <xdr:twoCellAnchor editAs="oneCell">
    <xdr:from>
      <xdr:col>2</xdr:col>
      <xdr:colOff>38100</xdr:colOff>
      <xdr:row>80</xdr:row>
      <xdr:rowOff>38100</xdr:rowOff>
    </xdr:from>
    <xdr:to>
      <xdr:col>2</xdr:col>
      <xdr:colOff>1181100</xdr:colOff>
      <xdr:row>80</xdr:row>
      <xdr:rowOff>571500</xdr:rowOff>
    </xdr:to>
    <xdr:pic>
      <xdr:nvPicPr>
        <xdr:cNvPr id="1071" name="Picture 47" descr=""/>
        <xdr:cNvPicPr>
          <a:picLocks noChangeAspect="1" noChangeArrowheads="1"/>
        </xdr:cNvPicPr>
      </xdr:nvPicPr>
      <xdr:blipFill>
        <a:blip r:embed="R7b2c2ff23c1e4fe8" cstate="print"/>
        <a:srcRect/>
        <a:stretch>
          <a:fillRect/>
        </a:stretch>
      </xdr:blipFill>
      <xdr:spPr bwMode="auto">
        <a:xfrm>
          <a:off x="0" y="0"/>
          <a:ext cx="1143000" cy="533400"/>
        </a:xfrm>
        <a:prstGeom prst="rect">
          <a:avLst/>
        </a:prstGeom>
        <a:noFill/>
      </xdr:spPr>
    </xdr:pic>
    <xdr:clientData/>
  </xdr:twoCellAnchor>
  <xdr:twoCellAnchor editAs="oneCell">
    <xdr:from>
      <xdr:col>2</xdr:col>
      <xdr:colOff>38100</xdr:colOff>
      <xdr:row>81</xdr:row>
      <xdr:rowOff>38100</xdr:rowOff>
    </xdr:from>
    <xdr:to>
      <xdr:col>2</xdr:col>
      <xdr:colOff>1181100</xdr:colOff>
      <xdr:row>81</xdr:row>
      <xdr:rowOff>1181100</xdr:rowOff>
    </xdr:to>
    <xdr:pic>
      <xdr:nvPicPr>
        <xdr:cNvPr id="1072" name="Picture 48" descr=""/>
        <xdr:cNvPicPr>
          <a:picLocks noChangeAspect="1" noChangeArrowheads="1"/>
        </xdr:cNvPicPr>
      </xdr:nvPicPr>
      <xdr:blipFill>
        <a:blip r:embed="Rb1aace21030941e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86</xdr:row>
      <xdr:rowOff>38100</xdr:rowOff>
    </xdr:from>
    <xdr:to>
      <xdr:col>2</xdr:col>
      <xdr:colOff>1181100</xdr:colOff>
      <xdr:row>86</xdr:row>
      <xdr:rowOff>542925</xdr:rowOff>
    </xdr:to>
    <xdr:pic>
      <xdr:nvPicPr>
        <xdr:cNvPr id="1073" name="Picture 49" descr=""/>
        <xdr:cNvPicPr>
          <a:picLocks noChangeAspect="1" noChangeArrowheads="1"/>
        </xdr:cNvPicPr>
      </xdr:nvPicPr>
      <xdr:blipFill>
        <a:blip r:embed="R4038ced9a3aa4b95" cstate="print"/>
        <a:srcRect/>
        <a:stretch>
          <a:fillRect/>
        </a:stretch>
      </xdr:blipFill>
      <xdr:spPr bwMode="auto">
        <a:xfrm>
          <a:off x="0" y="0"/>
          <a:ext cx="1143000" cy="504825"/>
        </a:xfrm>
        <a:prstGeom prst="rect">
          <a:avLst/>
        </a:prstGeom>
        <a:noFill/>
      </xdr:spPr>
    </xdr:pic>
    <xdr:clientData/>
  </xdr:twoCellAnchor>
  <xdr:twoCellAnchor editAs="oneCell">
    <xdr:from>
      <xdr:col>2</xdr:col>
      <xdr:colOff>38100</xdr:colOff>
      <xdr:row>87</xdr:row>
      <xdr:rowOff>38100</xdr:rowOff>
    </xdr:from>
    <xdr:to>
      <xdr:col>2</xdr:col>
      <xdr:colOff>1168400</xdr:colOff>
      <xdr:row>87</xdr:row>
      <xdr:rowOff>1562100</xdr:rowOff>
    </xdr:to>
    <xdr:pic>
      <xdr:nvPicPr>
        <xdr:cNvPr id="1074" name="Picture 50" descr=""/>
        <xdr:cNvPicPr>
          <a:picLocks noChangeAspect="1" noChangeArrowheads="1"/>
        </xdr:cNvPicPr>
      </xdr:nvPicPr>
      <xdr:blipFill>
        <a:blip r:embed="R3af523d1b2a34af4" cstate="print"/>
        <a:srcRect/>
        <a:stretch>
          <a:fillRect/>
        </a:stretch>
      </xdr:blipFill>
      <xdr:spPr bwMode="auto">
        <a:xfrm>
          <a:off x="0" y="0"/>
          <a:ext cx="1130300" cy="1524000"/>
        </a:xfrm>
        <a:prstGeom prst="rect">
          <a:avLst/>
        </a:prstGeom>
        <a:noFill/>
      </xdr:spPr>
    </xdr:pic>
    <xdr:clientData/>
  </xdr:twoCellAnchor>
  <xdr:twoCellAnchor editAs="oneCell">
    <xdr:from>
      <xdr:col>2</xdr:col>
      <xdr:colOff>38100</xdr:colOff>
      <xdr:row>88</xdr:row>
      <xdr:rowOff>38100</xdr:rowOff>
    </xdr:from>
    <xdr:to>
      <xdr:col>2</xdr:col>
      <xdr:colOff>1123950</xdr:colOff>
      <xdr:row>88</xdr:row>
      <xdr:rowOff>1181100</xdr:rowOff>
    </xdr:to>
    <xdr:pic>
      <xdr:nvPicPr>
        <xdr:cNvPr id="1075" name="Picture 51" descr=""/>
        <xdr:cNvPicPr>
          <a:picLocks noChangeAspect="1" noChangeArrowheads="1"/>
        </xdr:cNvPicPr>
      </xdr:nvPicPr>
      <xdr:blipFill>
        <a:blip r:embed="R811edb52582f4ab5" cstate="print"/>
        <a:srcRect/>
        <a:stretch>
          <a:fillRect/>
        </a:stretch>
      </xdr:blipFill>
      <xdr:spPr bwMode="auto">
        <a:xfrm>
          <a:off x="0" y="0"/>
          <a:ext cx="1085850" cy="1143000"/>
        </a:xfrm>
        <a:prstGeom prst="rect">
          <a:avLst/>
        </a:prstGeom>
        <a:noFill/>
      </xdr:spPr>
    </xdr:pic>
    <xdr:clientData/>
  </xdr:twoCellAnchor>
  <xdr:twoCellAnchor editAs="oneCell">
    <xdr:from>
      <xdr:col>2</xdr:col>
      <xdr:colOff>38100</xdr:colOff>
      <xdr:row>90</xdr:row>
      <xdr:rowOff>38100</xdr:rowOff>
    </xdr:from>
    <xdr:to>
      <xdr:col>2</xdr:col>
      <xdr:colOff>1181100</xdr:colOff>
      <xdr:row>90</xdr:row>
      <xdr:rowOff>295275</xdr:rowOff>
    </xdr:to>
    <xdr:pic>
      <xdr:nvPicPr>
        <xdr:cNvPr id="1076" name="Picture 52" descr=""/>
        <xdr:cNvPicPr>
          <a:picLocks noChangeAspect="1" noChangeArrowheads="1"/>
        </xdr:cNvPicPr>
      </xdr:nvPicPr>
      <xdr:blipFill>
        <a:blip r:embed="R35a7a8d302074517" cstate="print"/>
        <a:srcRect/>
        <a:stretch>
          <a:fillRect/>
        </a:stretch>
      </xdr:blipFill>
      <xdr:spPr bwMode="auto">
        <a:xfrm>
          <a:off x="0" y="0"/>
          <a:ext cx="1143000" cy="257175"/>
        </a:xfrm>
        <a:prstGeom prst="rect">
          <a:avLst/>
        </a:prstGeom>
        <a:noFill/>
      </xdr:spPr>
    </xdr:pic>
    <xdr:clientData/>
  </xdr:twoCellAnchor>
  <xdr:twoCellAnchor editAs="oneCell">
    <xdr:from>
      <xdr:col>2</xdr:col>
      <xdr:colOff>38100</xdr:colOff>
      <xdr:row>91</xdr:row>
      <xdr:rowOff>38100</xdr:rowOff>
    </xdr:from>
    <xdr:to>
      <xdr:col>2</xdr:col>
      <xdr:colOff>1181100</xdr:colOff>
      <xdr:row>91</xdr:row>
      <xdr:rowOff>1123950</xdr:rowOff>
    </xdr:to>
    <xdr:pic>
      <xdr:nvPicPr>
        <xdr:cNvPr id="1077" name="Picture 53" descr=""/>
        <xdr:cNvPicPr>
          <a:picLocks noChangeAspect="1" noChangeArrowheads="1"/>
        </xdr:cNvPicPr>
      </xdr:nvPicPr>
      <xdr:blipFill>
        <a:blip r:embed="R87261a1ad0ff497e" cstate="print"/>
        <a:srcRect/>
        <a:stretch>
          <a:fillRect/>
        </a:stretch>
      </xdr:blipFill>
      <xdr:spPr bwMode="auto">
        <a:xfrm>
          <a:off x="0" y="0"/>
          <a:ext cx="1143000" cy="1085850"/>
        </a:xfrm>
        <a:prstGeom prst="rect">
          <a:avLst/>
        </a:prstGeom>
        <a:noFill/>
      </xdr:spPr>
    </xdr:pic>
    <xdr:clientData/>
  </xdr:twoCellAnchor>
  <xdr:twoCellAnchor editAs="oneCell">
    <xdr:from>
      <xdr:col>2</xdr:col>
      <xdr:colOff>38100</xdr:colOff>
      <xdr:row>92</xdr:row>
      <xdr:rowOff>38100</xdr:rowOff>
    </xdr:from>
    <xdr:to>
      <xdr:col>2</xdr:col>
      <xdr:colOff>1181100</xdr:colOff>
      <xdr:row>92</xdr:row>
      <xdr:rowOff>1181100</xdr:rowOff>
    </xdr:to>
    <xdr:pic>
      <xdr:nvPicPr>
        <xdr:cNvPr id="1078" name="Picture 54" descr=""/>
        <xdr:cNvPicPr>
          <a:picLocks noChangeAspect="1" noChangeArrowheads="1"/>
        </xdr:cNvPicPr>
      </xdr:nvPicPr>
      <xdr:blipFill>
        <a:blip r:embed="Ra4283fb866eb46ce"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93</xdr:row>
      <xdr:rowOff>38100</xdr:rowOff>
    </xdr:from>
    <xdr:to>
      <xdr:col>2</xdr:col>
      <xdr:colOff>403860</xdr:colOff>
      <xdr:row>93</xdr:row>
      <xdr:rowOff>178308</xdr:rowOff>
    </xdr:to>
    <xdr:pic>
      <xdr:nvPicPr>
        <xdr:cNvPr id="1079" name="Picture 55" descr=""/>
        <xdr:cNvPicPr>
          <a:picLocks noChangeAspect="1" noChangeArrowheads="1"/>
        </xdr:cNvPicPr>
      </xdr:nvPicPr>
      <xdr:blipFill>
        <a:blip r:embed="R5b0956cbf4a34cf0" cstate="print"/>
        <a:srcRect/>
        <a:stretch>
          <a:fillRect/>
        </a:stretch>
      </xdr:blipFill>
      <xdr:spPr bwMode="auto">
        <a:xfrm>
          <a:off x="0" y="0"/>
          <a:ext cx="365760" cy="140208"/>
        </a:xfrm>
        <a:prstGeom prst="rect">
          <a:avLst/>
        </a:prstGeom>
        <a:noFill/>
      </xdr:spPr>
    </xdr:pic>
    <xdr:clientData/>
  </xdr:twoCellAnchor>
  <xdr:twoCellAnchor editAs="oneCell">
    <xdr:from>
      <xdr:col>2</xdr:col>
      <xdr:colOff>38100</xdr:colOff>
      <xdr:row>97</xdr:row>
      <xdr:rowOff>38100</xdr:rowOff>
    </xdr:from>
    <xdr:to>
      <xdr:col>2</xdr:col>
      <xdr:colOff>1181100</xdr:colOff>
      <xdr:row>97</xdr:row>
      <xdr:rowOff>1181100</xdr:rowOff>
    </xdr:to>
    <xdr:pic>
      <xdr:nvPicPr>
        <xdr:cNvPr id="1080" name="Picture 56" descr=""/>
        <xdr:cNvPicPr>
          <a:picLocks noChangeAspect="1" noChangeArrowheads="1"/>
        </xdr:cNvPicPr>
      </xdr:nvPicPr>
      <xdr:blipFill>
        <a:blip r:embed="Ree2c8459e2154de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98</xdr:row>
      <xdr:rowOff>38100</xdr:rowOff>
    </xdr:from>
    <xdr:to>
      <xdr:col>2</xdr:col>
      <xdr:colOff>952500</xdr:colOff>
      <xdr:row>98</xdr:row>
      <xdr:rowOff>830580</xdr:rowOff>
    </xdr:to>
    <xdr:pic>
      <xdr:nvPicPr>
        <xdr:cNvPr id="1081" name="Picture 57" descr=""/>
        <xdr:cNvPicPr>
          <a:picLocks noChangeAspect="1" noChangeArrowheads="1"/>
        </xdr:cNvPicPr>
      </xdr:nvPicPr>
      <xdr:blipFill>
        <a:blip r:embed="R2fe0c6794447436d" cstate="print"/>
        <a:srcRect/>
        <a:stretch>
          <a:fillRect/>
        </a:stretch>
      </xdr:blipFill>
      <xdr:spPr bwMode="auto">
        <a:xfrm>
          <a:off x="0" y="0"/>
          <a:ext cx="914400" cy="792480"/>
        </a:xfrm>
        <a:prstGeom prst="rect">
          <a:avLst/>
        </a:prstGeom>
        <a:noFill/>
      </xdr:spPr>
    </xdr:pic>
    <xdr:clientData/>
  </xdr:twoCellAnchor>
  <xdr:twoCellAnchor editAs="oneCell">
    <xdr:from>
      <xdr:col>2</xdr:col>
      <xdr:colOff>38100</xdr:colOff>
      <xdr:row>99</xdr:row>
      <xdr:rowOff>38100</xdr:rowOff>
    </xdr:from>
    <xdr:to>
      <xdr:col>2</xdr:col>
      <xdr:colOff>1562100</xdr:colOff>
      <xdr:row>99</xdr:row>
      <xdr:rowOff>1333500</xdr:rowOff>
    </xdr:to>
    <xdr:pic>
      <xdr:nvPicPr>
        <xdr:cNvPr id="1082" name="Picture 58" descr=""/>
        <xdr:cNvPicPr>
          <a:picLocks noChangeAspect="1" noChangeArrowheads="1"/>
        </xdr:cNvPicPr>
      </xdr:nvPicPr>
      <xdr:blipFill>
        <a:blip r:embed="R0d6cc6fcd9bb4f87" cstate="print"/>
        <a:srcRect/>
        <a:stretch>
          <a:fillRect/>
        </a:stretch>
      </xdr:blipFill>
      <xdr:spPr bwMode="auto">
        <a:xfrm>
          <a:off x="0" y="0"/>
          <a:ext cx="1524000" cy="1295400"/>
        </a:xfrm>
        <a:prstGeom prst="rect">
          <a:avLst/>
        </a:prstGeom>
        <a:noFill/>
      </xdr:spPr>
    </xdr:pic>
    <xdr:clientData/>
  </xdr:twoCellAnchor>
  <xdr:twoCellAnchor editAs="oneCell">
    <xdr:from>
      <xdr:col>2</xdr:col>
      <xdr:colOff>38100</xdr:colOff>
      <xdr:row>100</xdr:row>
      <xdr:rowOff>38100</xdr:rowOff>
    </xdr:from>
    <xdr:to>
      <xdr:col>2</xdr:col>
      <xdr:colOff>420420</xdr:colOff>
      <xdr:row>100</xdr:row>
      <xdr:rowOff>407676</xdr:rowOff>
    </xdr:to>
    <xdr:pic>
      <xdr:nvPicPr>
        <xdr:cNvPr id="1083" name="Picture 59" descr=""/>
        <xdr:cNvPicPr>
          <a:picLocks noChangeAspect="1" noChangeArrowheads="1"/>
        </xdr:cNvPicPr>
      </xdr:nvPicPr>
      <xdr:blipFill>
        <a:blip r:embed="R67af8046a0264a37" cstate="print"/>
        <a:srcRect/>
        <a:stretch>
          <a:fillRect/>
        </a:stretch>
      </xdr:blipFill>
      <xdr:spPr bwMode="auto">
        <a:xfrm>
          <a:off x="0" y="0"/>
          <a:ext cx="382320" cy="369576"/>
        </a:xfrm>
        <a:prstGeom prst="rect">
          <a:avLst/>
        </a:prstGeom>
        <a:noFill/>
      </xdr:spPr>
    </xdr:pic>
    <xdr:clientData/>
  </xdr:twoCellAnchor>
  <xdr:twoCellAnchor editAs="oneCell">
    <xdr:from>
      <xdr:col>2</xdr:col>
      <xdr:colOff>38100</xdr:colOff>
      <xdr:row>101</xdr:row>
      <xdr:rowOff>38100</xdr:rowOff>
    </xdr:from>
    <xdr:to>
      <xdr:col>2</xdr:col>
      <xdr:colOff>562356</xdr:colOff>
      <xdr:row>101</xdr:row>
      <xdr:rowOff>769620</xdr:rowOff>
    </xdr:to>
    <xdr:pic>
      <xdr:nvPicPr>
        <xdr:cNvPr id="1084" name="Picture 60" descr=""/>
        <xdr:cNvPicPr>
          <a:picLocks noChangeAspect="1" noChangeArrowheads="1"/>
        </xdr:cNvPicPr>
      </xdr:nvPicPr>
      <xdr:blipFill>
        <a:blip r:embed="R6f04c76f52714585" cstate="print"/>
        <a:srcRect/>
        <a:stretch>
          <a:fillRect/>
        </a:stretch>
      </xdr:blipFill>
      <xdr:spPr bwMode="auto">
        <a:xfrm>
          <a:off x="0" y="0"/>
          <a:ext cx="524256" cy="731520"/>
        </a:xfrm>
        <a:prstGeom prst="rect">
          <a:avLst/>
        </a:prstGeom>
        <a:noFill/>
      </xdr:spPr>
    </xdr:pic>
    <xdr:clientData/>
  </xdr:twoCellAnchor>
  <xdr:twoCellAnchor editAs="oneCell">
    <xdr:from>
      <xdr:col>2</xdr:col>
      <xdr:colOff>38100</xdr:colOff>
      <xdr:row>103</xdr:row>
      <xdr:rowOff>38100</xdr:rowOff>
    </xdr:from>
    <xdr:to>
      <xdr:col>2</xdr:col>
      <xdr:colOff>1181100</xdr:colOff>
      <xdr:row>103</xdr:row>
      <xdr:rowOff>762000</xdr:rowOff>
    </xdr:to>
    <xdr:pic>
      <xdr:nvPicPr>
        <xdr:cNvPr id="1085" name="Picture 61" descr=""/>
        <xdr:cNvPicPr>
          <a:picLocks noChangeAspect="1" noChangeArrowheads="1"/>
        </xdr:cNvPicPr>
      </xdr:nvPicPr>
      <xdr:blipFill>
        <a:blip r:embed="Radd206a5700b476f" cstate="print"/>
        <a:srcRect/>
        <a:stretch>
          <a:fillRect/>
        </a:stretch>
      </xdr:blipFill>
      <xdr:spPr bwMode="auto">
        <a:xfrm>
          <a:off x="0" y="0"/>
          <a:ext cx="1143000" cy="723900"/>
        </a:xfrm>
        <a:prstGeom prst="rect">
          <a:avLst/>
        </a:prstGeom>
        <a:noFill/>
      </xdr:spPr>
    </xdr:pic>
    <xdr:clientData/>
  </xdr:twoCellAnchor>
  <xdr:twoCellAnchor editAs="oneCell">
    <xdr:from>
      <xdr:col>2</xdr:col>
      <xdr:colOff>38100</xdr:colOff>
      <xdr:row>104</xdr:row>
      <xdr:rowOff>38100</xdr:rowOff>
    </xdr:from>
    <xdr:to>
      <xdr:col>2</xdr:col>
      <xdr:colOff>403860</xdr:colOff>
      <xdr:row>104</xdr:row>
      <xdr:rowOff>403860</xdr:rowOff>
    </xdr:to>
    <xdr:pic>
      <xdr:nvPicPr>
        <xdr:cNvPr id="1086" name="Picture 62" descr=""/>
        <xdr:cNvPicPr>
          <a:picLocks noChangeAspect="1" noChangeArrowheads="1"/>
        </xdr:cNvPicPr>
      </xdr:nvPicPr>
      <xdr:blipFill>
        <a:blip r:embed="R5c4e99c5c44b49f7"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105</xdr:row>
      <xdr:rowOff>38100</xdr:rowOff>
    </xdr:from>
    <xdr:to>
      <xdr:col>2</xdr:col>
      <xdr:colOff>1181100</xdr:colOff>
      <xdr:row>105</xdr:row>
      <xdr:rowOff>723900</xdr:rowOff>
    </xdr:to>
    <xdr:pic>
      <xdr:nvPicPr>
        <xdr:cNvPr id="1087" name="Picture 63" descr=""/>
        <xdr:cNvPicPr>
          <a:picLocks noChangeAspect="1" noChangeArrowheads="1"/>
        </xdr:cNvPicPr>
      </xdr:nvPicPr>
      <xdr:blipFill>
        <a:blip r:embed="R4947f31a2d4948fa" cstate="print"/>
        <a:srcRect/>
        <a:stretch>
          <a:fillRect/>
        </a:stretch>
      </xdr:blipFill>
      <xdr:spPr bwMode="auto">
        <a:xfrm>
          <a:off x="0" y="0"/>
          <a:ext cx="1143000" cy="685800"/>
        </a:xfrm>
        <a:prstGeom prst="rect">
          <a:avLst/>
        </a:prstGeom>
        <a:noFill/>
      </xdr:spPr>
    </xdr:pic>
    <xdr:clientData/>
  </xdr:twoCellAnchor>
  <xdr:twoCellAnchor editAs="oneCell">
    <xdr:from>
      <xdr:col>2</xdr:col>
      <xdr:colOff>38100</xdr:colOff>
      <xdr:row>106</xdr:row>
      <xdr:rowOff>38100</xdr:rowOff>
    </xdr:from>
    <xdr:to>
      <xdr:col>2</xdr:col>
      <xdr:colOff>1181100</xdr:colOff>
      <xdr:row>106</xdr:row>
      <xdr:rowOff>1181100</xdr:rowOff>
    </xdr:to>
    <xdr:pic>
      <xdr:nvPicPr>
        <xdr:cNvPr id="1088" name="Picture 64" descr=""/>
        <xdr:cNvPicPr>
          <a:picLocks noChangeAspect="1" noChangeArrowheads="1"/>
        </xdr:cNvPicPr>
      </xdr:nvPicPr>
      <xdr:blipFill>
        <a:blip r:embed="Rcd1eaa5a316a432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107</xdr:row>
      <xdr:rowOff>38100</xdr:rowOff>
    </xdr:from>
    <xdr:to>
      <xdr:col>2</xdr:col>
      <xdr:colOff>1181100</xdr:colOff>
      <xdr:row>107</xdr:row>
      <xdr:rowOff>685800</xdr:rowOff>
    </xdr:to>
    <xdr:pic>
      <xdr:nvPicPr>
        <xdr:cNvPr id="1089" name="Picture 65" descr=""/>
        <xdr:cNvPicPr>
          <a:picLocks noChangeAspect="1" noChangeArrowheads="1"/>
        </xdr:cNvPicPr>
      </xdr:nvPicPr>
      <xdr:blipFill>
        <a:blip r:embed="Re2b8c24626dc4175" cstate="print"/>
        <a:srcRect/>
        <a:stretch>
          <a:fillRect/>
        </a:stretch>
      </xdr:blipFill>
      <xdr:spPr bwMode="auto">
        <a:xfrm>
          <a:off x="0" y="0"/>
          <a:ext cx="1143000" cy="647700"/>
        </a:xfrm>
        <a:prstGeom prst="rect">
          <a:avLst/>
        </a:prstGeom>
        <a:noFill/>
      </xdr:spPr>
    </xdr:pic>
    <xdr:clientData/>
  </xdr:twoCellAnchor>
  <xdr:twoCellAnchor editAs="oneCell">
    <xdr:from>
      <xdr:col>2</xdr:col>
      <xdr:colOff>38100</xdr:colOff>
      <xdr:row>108</xdr:row>
      <xdr:rowOff>38100</xdr:rowOff>
    </xdr:from>
    <xdr:to>
      <xdr:col>2</xdr:col>
      <xdr:colOff>1181100</xdr:colOff>
      <xdr:row>108</xdr:row>
      <xdr:rowOff>1181100</xdr:rowOff>
    </xdr:to>
    <xdr:pic>
      <xdr:nvPicPr>
        <xdr:cNvPr id="1090" name="Picture 66" descr=""/>
        <xdr:cNvPicPr>
          <a:picLocks noChangeAspect="1" noChangeArrowheads="1"/>
        </xdr:cNvPicPr>
      </xdr:nvPicPr>
      <xdr:blipFill>
        <a:blip r:embed="R58b02d1107dc4d8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109</xdr:row>
      <xdr:rowOff>38100</xdr:rowOff>
    </xdr:from>
    <xdr:to>
      <xdr:col>2</xdr:col>
      <xdr:colOff>800100</xdr:colOff>
      <xdr:row>109</xdr:row>
      <xdr:rowOff>539750</xdr:rowOff>
    </xdr:to>
    <xdr:pic>
      <xdr:nvPicPr>
        <xdr:cNvPr id="1091" name="Picture 67" descr=""/>
        <xdr:cNvPicPr>
          <a:picLocks noChangeAspect="1" noChangeArrowheads="1"/>
        </xdr:cNvPicPr>
      </xdr:nvPicPr>
      <xdr:blipFill>
        <a:blip r:embed="R8780b8403b17490a" cstate="print"/>
        <a:srcRect/>
        <a:stretch>
          <a:fillRect/>
        </a:stretch>
      </xdr:blipFill>
      <xdr:spPr bwMode="auto">
        <a:xfrm>
          <a:off x="0" y="0"/>
          <a:ext cx="762000" cy="501650"/>
        </a:xfrm>
        <a:prstGeom prst="rect">
          <a:avLst/>
        </a:prstGeom>
        <a:noFill/>
      </xdr:spPr>
    </xdr:pic>
    <xdr:clientData/>
  </xdr:twoCellAnchor>
  <xdr:twoCellAnchor editAs="oneCell">
    <xdr:from>
      <xdr:col>2</xdr:col>
      <xdr:colOff>38100</xdr:colOff>
      <xdr:row>112</xdr:row>
      <xdr:rowOff>38100</xdr:rowOff>
    </xdr:from>
    <xdr:to>
      <xdr:col>2</xdr:col>
      <xdr:colOff>1181100</xdr:colOff>
      <xdr:row>112</xdr:row>
      <xdr:rowOff>1181100</xdr:rowOff>
    </xdr:to>
    <xdr:pic>
      <xdr:nvPicPr>
        <xdr:cNvPr id="1092" name="Picture 68" descr=""/>
        <xdr:cNvPicPr>
          <a:picLocks noChangeAspect="1" noChangeArrowheads="1"/>
        </xdr:cNvPicPr>
      </xdr:nvPicPr>
      <xdr:blipFill>
        <a:blip r:embed="R13f95b468f03470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114</xdr:row>
      <xdr:rowOff>38100</xdr:rowOff>
    </xdr:from>
    <xdr:to>
      <xdr:col>2</xdr:col>
      <xdr:colOff>769620</xdr:colOff>
      <xdr:row>114</xdr:row>
      <xdr:rowOff>769620</xdr:rowOff>
    </xdr:to>
    <xdr:pic>
      <xdr:nvPicPr>
        <xdr:cNvPr id="1093" name="Picture 69" descr=""/>
        <xdr:cNvPicPr>
          <a:picLocks noChangeAspect="1" noChangeArrowheads="1"/>
        </xdr:cNvPicPr>
      </xdr:nvPicPr>
      <xdr:blipFill>
        <a:blip r:embed="R48a766a17bc04d89"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116</xdr:row>
      <xdr:rowOff>38100</xdr:rowOff>
    </xdr:from>
    <xdr:to>
      <xdr:col>2</xdr:col>
      <xdr:colOff>1195970</xdr:colOff>
      <xdr:row>116</xdr:row>
      <xdr:rowOff>1205700</xdr:rowOff>
    </xdr:to>
    <xdr:pic>
      <xdr:nvPicPr>
        <xdr:cNvPr id="1094" name="Picture 70" descr=""/>
        <xdr:cNvPicPr>
          <a:picLocks noChangeAspect="1" noChangeArrowheads="1"/>
        </xdr:cNvPicPr>
      </xdr:nvPicPr>
      <xdr:blipFill>
        <a:blip r:embed="R50b76e2ae15c4a76" cstate="print"/>
        <a:srcRect/>
        <a:stretch>
          <a:fillRect/>
        </a:stretch>
      </xdr:blipFill>
      <xdr:spPr bwMode="auto">
        <a:xfrm>
          <a:off x="0" y="0"/>
          <a:ext cx="1157870" cy="1167600"/>
        </a:xfrm>
        <a:prstGeom prst="rect">
          <a:avLst/>
        </a:prstGeom>
        <a:noFill/>
      </xdr:spPr>
    </xdr:pic>
    <xdr:clientData/>
  </xdr:twoCellAnchor>
  <xdr:twoCellAnchor editAs="oneCell">
    <xdr:from>
      <xdr:col>2</xdr:col>
      <xdr:colOff>38100</xdr:colOff>
      <xdr:row>117</xdr:row>
      <xdr:rowOff>38100</xdr:rowOff>
    </xdr:from>
    <xdr:to>
      <xdr:col>2</xdr:col>
      <xdr:colOff>1181100</xdr:colOff>
      <xdr:row>117</xdr:row>
      <xdr:rowOff>619125</xdr:rowOff>
    </xdr:to>
    <xdr:pic>
      <xdr:nvPicPr>
        <xdr:cNvPr id="1095" name="Picture 71" descr=""/>
        <xdr:cNvPicPr>
          <a:picLocks noChangeAspect="1" noChangeArrowheads="1"/>
        </xdr:cNvPicPr>
      </xdr:nvPicPr>
      <xdr:blipFill>
        <a:blip r:embed="R9031290cc07344d3" cstate="print"/>
        <a:srcRect/>
        <a:stretch>
          <a:fillRect/>
        </a:stretch>
      </xdr:blipFill>
      <xdr:spPr bwMode="auto">
        <a:xfrm>
          <a:off x="0" y="0"/>
          <a:ext cx="1143000" cy="581025"/>
        </a:xfrm>
        <a:prstGeom prst="rect">
          <a:avLst/>
        </a:prstGeom>
        <a:noFill/>
      </xdr:spPr>
    </xdr:pic>
    <xdr:clientData/>
  </xdr:twoCellAnchor>
  <xdr:twoCellAnchor editAs="oneCell">
    <xdr:from>
      <xdr:col>2</xdr:col>
      <xdr:colOff>38100</xdr:colOff>
      <xdr:row>119</xdr:row>
      <xdr:rowOff>38100</xdr:rowOff>
    </xdr:from>
    <xdr:to>
      <xdr:col>2</xdr:col>
      <xdr:colOff>1181100</xdr:colOff>
      <xdr:row>119</xdr:row>
      <xdr:rowOff>666750</xdr:rowOff>
    </xdr:to>
    <xdr:pic>
      <xdr:nvPicPr>
        <xdr:cNvPr id="1096" name="Picture 72" descr=""/>
        <xdr:cNvPicPr>
          <a:picLocks noChangeAspect="1" noChangeArrowheads="1"/>
        </xdr:cNvPicPr>
      </xdr:nvPicPr>
      <xdr:blipFill>
        <a:blip r:embed="R2781c3952cce4ef5" cstate="print"/>
        <a:srcRect/>
        <a:stretch>
          <a:fillRect/>
        </a:stretch>
      </xdr:blipFill>
      <xdr:spPr bwMode="auto">
        <a:xfrm>
          <a:off x="0" y="0"/>
          <a:ext cx="1143000" cy="628650"/>
        </a:xfrm>
        <a:prstGeom prst="rect">
          <a:avLst/>
        </a:prstGeom>
        <a:noFill/>
      </xdr:spPr>
    </xdr:pic>
    <xdr:clientData/>
  </xdr:twoCellAnchor>
  <xdr:twoCellAnchor editAs="oneCell">
    <xdr:from>
      <xdr:col>2</xdr:col>
      <xdr:colOff>38100</xdr:colOff>
      <xdr:row>120</xdr:row>
      <xdr:rowOff>38100</xdr:rowOff>
    </xdr:from>
    <xdr:to>
      <xdr:col>2</xdr:col>
      <xdr:colOff>769620</xdr:colOff>
      <xdr:row>120</xdr:row>
      <xdr:rowOff>769620</xdr:rowOff>
    </xdr:to>
    <xdr:pic>
      <xdr:nvPicPr>
        <xdr:cNvPr id="1097" name="Picture 73" descr=""/>
        <xdr:cNvPicPr>
          <a:picLocks noChangeAspect="1" noChangeArrowheads="1"/>
        </xdr:cNvPicPr>
      </xdr:nvPicPr>
      <xdr:blipFill>
        <a:blip r:embed="R3c904745da574e6e"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121</xdr:row>
      <xdr:rowOff>38100</xdr:rowOff>
    </xdr:from>
    <xdr:to>
      <xdr:col>2</xdr:col>
      <xdr:colOff>1059750</xdr:colOff>
      <xdr:row>121</xdr:row>
      <xdr:rowOff>1205700</xdr:rowOff>
    </xdr:to>
    <xdr:pic>
      <xdr:nvPicPr>
        <xdr:cNvPr id="1098" name="Picture 74" descr=""/>
        <xdr:cNvPicPr>
          <a:picLocks noChangeAspect="1" noChangeArrowheads="1"/>
        </xdr:cNvPicPr>
      </xdr:nvPicPr>
      <xdr:blipFill>
        <a:blip r:embed="R62789e5fe5bb4c56" cstate="print"/>
        <a:srcRect/>
        <a:stretch>
          <a:fillRect/>
        </a:stretch>
      </xdr:blipFill>
      <xdr:spPr bwMode="auto">
        <a:xfrm>
          <a:off x="0" y="0"/>
          <a:ext cx="1021650" cy="1167600"/>
        </a:xfrm>
        <a:prstGeom prst="rect">
          <a:avLst/>
        </a:prstGeom>
        <a:noFill/>
      </xdr:spPr>
    </xdr:pic>
    <xdr:clientData/>
  </xdr:twoCellAnchor>
  <xdr:twoCellAnchor editAs="oneCell">
    <xdr:from>
      <xdr:col>2</xdr:col>
      <xdr:colOff>38100</xdr:colOff>
      <xdr:row>122</xdr:row>
      <xdr:rowOff>38100</xdr:rowOff>
    </xdr:from>
    <xdr:to>
      <xdr:col>2</xdr:col>
      <xdr:colOff>769620</xdr:colOff>
      <xdr:row>122</xdr:row>
      <xdr:rowOff>769620</xdr:rowOff>
    </xdr:to>
    <xdr:pic>
      <xdr:nvPicPr>
        <xdr:cNvPr id="1099" name="Picture 75" descr=""/>
        <xdr:cNvPicPr>
          <a:picLocks noChangeAspect="1" noChangeArrowheads="1"/>
        </xdr:cNvPicPr>
      </xdr:nvPicPr>
      <xdr:blipFill>
        <a:blip r:embed="R7ce9d830e4054d1f"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123</xdr:row>
      <xdr:rowOff>38100</xdr:rowOff>
    </xdr:from>
    <xdr:to>
      <xdr:col>2</xdr:col>
      <xdr:colOff>1181100</xdr:colOff>
      <xdr:row>123</xdr:row>
      <xdr:rowOff>990600</xdr:rowOff>
    </xdr:to>
    <xdr:pic>
      <xdr:nvPicPr>
        <xdr:cNvPr id="1100" name="Picture 76" descr=""/>
        <xdr:cNvPicPr>
          <a:picLocks noChangeAspect="1" noChangeArrowheads="1"/>
        </xdr:cNvPicPr>
      </xdr:nvPicPr>
      <xdr:blipFill>
        <a:blip r:embed="R2de6568dc5a44414" cstate="print"/>
        <a:srcRect/>
        <a:stretch>
          <a:fillRect/>
        </a:stretch>
      </xdr:blipFill>
      <xdr:spPr bwMode="auto">
        <a:xfrm>
          <a:off x="0" y="0"/>
          <a:ext cx="1143000" cy="952500"/>
        </a:xfrm>
        <a:prstGeom prst="rect">
          <a:avLst/>
        </a:prstGeom>
        <a:noFill/>
      </xdr:spPr>
    </xdr:pic>
    <xdr:clientData/>
  </xdr:twoCellAnchor>
  <xdr:twoCellAnchor editAs="oneCell">
    <xdr:from>
      <xdr:col>2</xdr:col>
      <xdr:colOff>38100</xdr:colOff>
      <xdr:row>124</xdr:row>
      <xdr:rowOff>38100</xdr:rowOff>
    </xdr:from>
    <xdr:to>
      <xdr:col>2</xdr:col>
      <xdr:colOff>453780</xdr:colOff>
      <xdr:row>124</xdr:row>
      <xdr:rowOff>315220</xdr:rowOff>
    </xdr:to>
    <xdr:pic>
      <xdr:nvPicPr>
        <xdr:cNvPr id="1101" name="Picture 77" descr=""/>
        <xdr:cNvPicPr>
          <a:picLocks noChangeAspect="1" noChangeArrowheads="1"/>
        </xdr:cNvPicPr>
      </xdr:nvPicPr>
      <xdr:blipFill>
        <a:blip r:embed="R3e71af338e31425c" cstate="print"/>
        <a:srcRect/>
        <a:stretch>
          <a:fillRect/>
        </a:stretch>
      </xdr:blipFill>
      <xdr:spPr bwMode="auto">
        <a:xfrm>
          <a:off x="0" y="0"/>
          <a:ext cx="415680" cy="277120"/>
        </a:xfrm>
        <a:prstGeom prst="rect">
          <a:avLst/>
        </a:prstGeom>
        <a:noFill/>
      </xdr:spPr>
    </xdr:pic>
    <xdr:clientData/>
  </xdr:twoCellAnchor>
  <xdr:twoCellAnchor editAs="oneCell">
    <xdr:from>
      <xdr:col>2</xdr:col>
      <xdr:colOff>38100</xdr:colOff>
      <xdr:row>125</xdr:row>
      <xdr:rowOff>38100</xdr:rowOff>
    </xdr:from>
    <xdr:to>
      <xdr:col>2</xdr:col>
      <xdr:colOff>403860</xdr:colOff>
      <xdr:row>125</xdr:row>
      <xdr:rowOff>403860</xdr:rowOff>
    </xdr:to>
    <xdr:pic>
      <xdr:nvPicPr>
        <xdr:cNvPr id="1102" name="Picture 78" descr=""/>
        <xdr:cNvPicPr>
          <a:picLocks noChangeAspect="1" noChangeArrowheads="1"/>
        </xdr:cNvPicPr>
      </xdr:nvPicPr>
      <xdr:blipFill>
        <a:blip r:embed="Ra1167fea0ad64b26"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126</xdr:row>
      <xdr:rowOff>38100</xdr:rowOff>
    </xdr:from>
    <xdr:to>
      <xdr:col>2</xdr:col>
      <xdr:colOff>769620</xdr:colOff>
      <xdr:row>126</xdr:row>
      <xdr:rowOff>769620</xdr:rowOff>
    </xdr:to>
    <xdr:pic>
      <xdr:nvPicPr>
        <xdr:cNvPr id="1103" name="Picture 79" descr=""/>
        <xdr:cNvPicPr>
          <a:picLocks noChangeAspect="1" noChangeArrowheads="1"/>
        </xdr:cNvPicPr>
      </xdr:nvPicPr>
      <xdr:blipFill>
        <a:blip r:embed="Rfaa296e9bd224437"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127</xdr:row>
      <xdr:rowOff>38100</xdr:rowOff>
    </xdr:from>
    <xdr:to>
      <xdr:col>2</xdr:col>
      <xdr:colOff>469866</xdr:colOff>
      <xdr:row>127</xdr:row>
      <xdr:rowOff>546060</xdr:rowOff>
    </xdr:to>
    <xdr:pic>
      <xdr:nvPicPr>
        <xdr:cNvPr id="1104" name="Picture 80" descr=""/>
        <xdr:cNvPicPr>
          <a:picLocks noChangeAspect="1" noChangeArrowheads="1"/>
        </xdr:cNvPicPr>
      </xdr:nvPicPr>
      <xdr:blipFill>
        <a:blip r:embed="R5d91e7b95f1d4562" cstate="print"/>
        <a:srcRect/>
        <a:stretch>
          <a:fillRect/>
        </a:stretch>
      </xdr:blipFill>
      <xdr:spPr bwMode="auto">
        <a:xfrm>
          <a:off x="0" y="0"/>
          <a:ext cx="431766" cy="507960"/>
        </a:xfrm>
        <a:prstGeom prst="rect">
          <a:avLst/>
        </a:prstGeom>
        <a:noFill/>
      </xdr:spPr>
    </xdr:pic>
    <xdr:clientData/>
  </xdr:twoCellAnchor>
  <xdr:twoCellAnchor editAs="oneCell">
    <xdr:from>
      <xdr:col>2</xdr:col>
      <xdr:colOff>38100</xdr:colOff>
      <xdr:row>128</xdr:row>
      <xdr:rowOff>38100</xdr:rowOff>
    </xdr:from>
    <xdr:to>
      <xdr:col>2</xdr:col>
      <xdr:colOff>403860</xdr:colOff>
      <xdr:row>128</xdr:row>
      <xdr:rowOff>403860</xdr:rowOff>
    </xdr:to>
    <xdr:pic>
      <xdr:nvPicPr>
        <xdr:cNvPr id="1105" name="Picture 81" descr=""/>
        <xdr:cNvPicPr>
          <a:picLocks noChangeAspect="1" noChangeArrowheads="1"/>
        </xdr:cNvPicPr>
      </xdr:nvPicPr>
      <xdr:blipFill>
        <a:blip r:embed="Rc3b13cb01a2340fc"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132</xdr:row>
      <xdr:rowOff>38100</xdr:rowOff>
    </xdr:from>
    <xdr:to>
      <xdr:col>2</xdr:col>
      <xdr:colOff>1181100</xdr:colOff>
      <xdr:row>132</xdr:row>
      <xdr:rowOff>1181100</xdr:rowOff>
    </xdr:to>
    <xdr:pic>
      <xdr:nvPicPr>
        <xdr:cNvPr id="1106" name="Picture 82" descr=""/>
        <xdr:cNvPicPr>
          <a:picLocks noChangeAspect="1" noChangeArrowheads="1"/>
        </xdr:cNvPicPr>
      </xdr:nvPicPr>
      <xdr:blipFill>
        <a:blip r:embed="Rc535c1997b9d422c"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133</xdr:row>
      <xdr:rowOff>38100</xdr:rowOff>
    </xdr:from>
    <xdr:to>
      <xdr:col>2</xdr:col>
      <xdr:colOff>1181100</xdr:colOff>
      <xdr:row>133</xdr:row>
      <xdr:rowOff>552450</xdr:rowOff>
    </xdr:to>
    <xdr:pic>
      <xdr:nvPicPr>
        <xdr:cNvPr id="1107" name="Picture 83" descr=""/>
        <xdr:cNvPicPr>
          <a:picLocks noChangeAspect="1" noChangeArrowheads="1"/>
        </xdr:cNvPicPr>
      </xdr:nvPicPr>
      <xdr:blipFill>
        <a:blip r:embed="Rb546ca68e0c948a5" cstate="print"/>
        <a:srcRect/>
        <a:stretch>
          <a:fillRect/>
        </a:stretch>
      </xdr:blipFill>
      <xdr:spPr bwMode="auto">
        <a:xfrm>
          <a:off x="0" y="0"/>
          <a:ext cx="1143000" cy="514350"/>
        </a:xfrm>
        <a:prstGeom prst="rect">
          <a:avLst/>
        </a:prstGeom>
        <a:noFill/>
      </xdr:spPr>
    </xdr:pic>
    <xdr:clientData/>
  </xdr:twoCellAnchor>
  <xdr:twoCellAnchor editAs="oneCell">
    <xdr:from>
      <xdr:col>2</xdr:col>
      <xdr:colOff>38100</xdr:colOff>
      <xdr:row>134</xdr:row>
      <xdr:rowOff>38100</xdr:rowOff>
    </xdr:from>
    <xdr:to>
      <xdr:col>2</xdr:col>
      <xdr:colOff>403860</xdr:colOff>
      <xdr:row>134</xdr:row>
      <xdr:rowOff>330708</xdr:rowOff>
    </xdr:to>
    <xdr:pic>
      <xdr:nvPicPr>
        <xdr:cNvPr id="1108" name="Picture 84" descr=""/>
        <xdr:cNvPicPr>
          <a:picLocks noChangeAspect="1" noChangeArrowheads="1"/>
        </xdr:cNvPicPr>
      </xdr:nvPicPr>
      <xdr:blipFill>
        <a:blip r:embed="R715c96bf8eea4c99" cstate="print"/>
        <a:srcRect/>
        <a:stretch>
          <a:fillRect/>
        </a:stretch>
      </xdr:blipFill>
      <xdr:spPr bwMode="auto">
        <a:xfrm>
          <a:off x="0" y="0"/>
          <a:ext cx="365760" cy="292608"/>
        </a:xfrm>
        <a:prstGeom prst="rect">
          <a:avLst/>
        </a:prstGeom>
        <a:noFill/>
      </xdr:spPr>
    </xdr:pic>
    <xdr:clientData/>
  </xdr:twoCellAnchor>
  <xdr:twoCellAnchor editAs="oneCell">
    <xdr:from>
      <xdr:col>2</xdr:col>
      <xdr:colOff>38100</xdr:colOff>
      <xdr:row>137</xdr:row>
      <xdr:rowOff>38100</xdr:rowOff>
    </xdr:from>
    <xdr:to>
      <xdr:col>2</xdr:col>
      <xdr:colOff>1181100</xdr:colOff>
      <xdr:row>137</xdr:row>
      <xdr:rowOff>333375</xdr:rowOff>
    </xdr:to>
    <xdr:pic>
      <xdr:nvPicPr>
        <xdr:cNvPr id="1109" name="Picture 85" descr=""/>
        <xdr:cNvPicPr>
          <a:picLocks noChangeAspect="1" noChangeArrowheads="1"/>
        </xdr:cNvPicPr>
      </xdr:nvPicPr>
      <xdr:blipFill>
        <a:blip r:embed="R14a4c67c7d6c4b00" cstate="print"/>
        <a:srcRect/>
        <a:stretch>
          <a:fillRect/>
        </a:stretch>
      </xdr:blipFill>
      <xdr:spPr bwMode="auto">
        <a:xfrm>
          <a:off x="0" y="0"/>
          <a:ext cx="1143000" cy="295275"/>
        </a:xfrm>
        <a:prstGeom prst="rect">
          <a:avLst/>
        </a:prstGeom>
        <a:noFill/>
      </xdr:spPr>
    </xdr:pic>
    <xdr:clientData/>
  </xdr:twoCellAnchor>
  <xdr:twoCellAnchor editAs="oneCell">
    <xdr:from>
      <xdr:col>2</xdr:col>
      <xdr:colOff>38100</xdr:colOff>
      <xdr:row>138</xdr:row>
      <xdr:rowOff>38100</xdr:rowOff>
    </xdr:from>
    <xdr:to>
      <xdr:col>2</xdr:col>
      <xdr:colOff>1181100</xdr:colOff>
      <xdr:row>138</xdr:row>
      <xdr:rowOff>752475</xdr:rowOff>
    </xdr:to>
    <xdr:pic>
      <xdr:nvPicPr>
        <xdr:cNvPr id="1110" name="Picture 86" descr=""/>
        <xdr:cNvPicPr>
          <a:picLocks noChangeAspect="1" noChangeArrowheads="1"/>
        </xdr:cNvPicPr>
      </xdr:nvPicPr>
      <xdr:blipFill>
        <a:blip r:embed="Rf1eb7cd741424947" cstate="print"/>
        <a:srcRect/>
        <a:stretch>
          <a:fillRect/>
        </a:stretch>
      </xdr:blipFill>
      <xdr:spPr bwMode="auto">
        <a:xfrm>
          <a:off x="0" y="0"/>
          <a:ext cx="1143000" cy="714375"/>
        </a:xfrm>
        <a:prstGeom prst="rect">
          <a:avLst/>
        </a:prstGeom>
        <a:noFill/>
      </xdr:spPr>
    </xdr:pic>
    <xdr:clientData/>
  </xdr:twoCellAnchor>
  <xdr:twoCellAnchor editAs="oneCell">
    <xdr:from>
      <xdr:col>2</xdr:col>
      <xdr:colOff>38100</xdr:colOff>
      <xdr:row>141</xdr:row>
      <xdr:rowOff>38100</xdr:rowOff>
    </xdr:from>
    <xdr:to>
      <xdr:col>2</xdr:col>
      <xdr:colOff>1181100</xdr:colOff>
      <xdr:row>141</xdr:row>
      <xdr:rowOff>990600</xdr:rowOff>
    </xdr:to>
    <xdr:pic>
      <xdr:nvPicPr>
        <xdr:cNvPr id="1111" name="Picture 87" descr=""/>
        <xdr:cNvPicPr>
          <a:picLocks noChangeAspect="1" noChangeArrowheads="1"/>
        </xdr:cNvPicPr>
      </xdr:nvPicPr>
      <xdr:blipFill>
        <a:blip r:embed="Rfe9f07a9ca264995" cstate="print"/>
        <a:srcRect/>
        <a:stretch>
          <a:fillRect/>
        </a:stretch>
      </xdr:blipFill>
      <xdr:spPr bwMode="auto">
        <a:xfrm>
          <a:off x="0" y="0"/>
          <a:ext cx="1143000" cy="952500"/>
        </a:xfrm>
        <a:prstGeom prst="rect">
          <a:avLst/>
        </a:prstGeom>
        <a:noFill/>
      </xdr:spPr>
    </xdr:pic>
    <xdr:clientData/>
  </xdr:twoCellAnchor>
  <xdr:twoCellAnchor editAs="oneCell">
    <xdr:from>
      <xdr:col>2</xdr:col>
      <xdr:colOff>38100</xdr:colOff>
      <xdr:row>142</xdr:row>
      <xdr:rowOff>38100</xdr:rowOff>
    </xdr:from>
    <xdr:to>
      <xdr:col>2</xdr:col>
      <xdr:colOff>952500</xdr:colOff>
      <xdr:row>142</xdr:row>
      <xdr:rowOff>312420</xdr:rowOff>
    </xdr:to>
    <xdr:pic>
      <xdr:nvPicPr>
        <xdr:cNvPr id="1112" name="Picture 88" descr=""/>
        <xdr:cNvPicPr>
          <a:picLocks noChangeAspect="1" noChangeArrowheads="1"/>
        </xdr:cNvPicPr>
      </xdr:nvPicPr>
      <xdr:blipFill>
        <a:blip r:embed="R4c5ff0713e38457c" cstate="print"/>
        <a:srcRect/>
        <a:stretch>
          <a:fillRect/>
        </a:stretch>
      </xdr:blipFill>
      <xdr:spPr bwMode="auto">
        <a:xfrm>
          <a:off x="0" y="0"/>
          <a:ext cx="914400" cy="274320"/>
        </a:xfrm>
        <a:prstGeom prst="rect">
          <a:avLst/>
        </a:prstGeom>
        <a:noFill/>
      </xdr:spPr>
    </xdr:pic>
    <xdr:clientData/>
  </xdr:twoCellAnchor>
  <xdr:twoCellAnchor editAs="oneCell">
    <xdr:from>
      <xdr:col>2</xdr:col>
      <xdr:colOff>38100</xdr:colOff>
      <xdr:row>143</xdr:row>
      <xdr:rowOff>38100</xdr:rowOff>
    </xdr:from>
    <xdr:to>
      <xdr:col>2</xdr:col>
      <xdr:colOff>109766100</xdr:colOff>
      <xdr:row>143</xdr:row>
      <xdr:rowOff>33870900</xdr:rowOff>
    </xdr:to>
    <xdr:pic>
      <xdr:nvPicPr>
        <xdr:cNvPr id="1113" name="Picture 89" descr=""/>
        <xdr:cNvPicPr>
          <a:picLocks noChangeAspect="1" noChangeArrowheads="1"/>
        </xdr:cNvPicPr>
      </xdr:nvPicPr>
      <xdr:blipFill>
        <a:blip r:embed="Rd8a5622a91234df8" cstate="print"/>
        <a:srcRect/>
        <a:stretch>
          <a:fillRect/>
        </a:stretch>
      </xdr:blipFill>
      <xdr:spPr bwMode="auto">
        <a:xfrm>
          <a:off x="0" y="0"/>
          <a:ext cx="109728000" cy="33832800"/>
        </a:xfrm>
        <a:prstGeom prst="rect">
          <a:avLst/>
        </a:prstGeom>
        <a:noFill/>
      </xdr:spPr>
    </xdr:pic>
    <xdr:clientData/>
  </xdr:twoCellAnchor>
  <xdr:twoCellAnchor editAs="oneCell">
    <xdr:from>
      <xdr:col>2</xdr:col>
      <xdr:colOff>38100</xdr:colOff>
      <xdr:row>144</xdr:row>
      <xdr:rowOff>38100</xdr:rowOff>
    </xdr:from>
    <xdr:to>
      <xdr:col>2</xdr:col>
      <xdr:colOff>3123780</xdr:colOff>
      <xdr:row>144</xdr:row>
      <xdr:rowOff>3123780</xdr:rowOff>
    </xdr:to>
    <xdr:pic>
      <xdr:nvPicPr>
        <xdr:cNvPr id="1114" name="Picture 90" descr=""/>
        <xdr:cNvPicPr>
          <a:picLocks noChangeAspect="1" noChangeArrowheads="1"/>
        </xdr:cNvPicPr>
      </xdr:nvPicPr>
      <xdr:blipFill>
        <a:blip r:embed="Rc096fe3f4d07461c" cstate="print"/>
        <a:srcRect/>
        <a:stretch>
          <a:fillRect/>
        </a:stretch>
      </xdr:blipFill>
      <xdr:spPr bwMode="auto">
        <a:xfrm>
          <a:off x="0" y="0"/>
          <a:ext cx="3085680" cy="3085680"/>
        </a:xfrm>
        <a:prstGeom prst="rect">
          <a:avLst/>
        </a:prstGeom>
        <a:noFill/>
      </xdr:spPr>
    </xdr:pic>
    <xdr:clientData/>
  </xdr:twoCellAnchor>
  <xdr:twoCellAnchor editAs="oneCell">
    <xdr:from>
      <xdr:col>2</xdr:col>
      <xdr:colOff>38100</xdr:colOff>
      <xdr:row>145</xdr:row>
      <xdr:rowOff>38100</xdr:rowOff>
    </xdr:from>
    <xdr:to>
      <xdr:col>2</xdr:col>
      <xdr:colOff>1181100</xdr:colOff>
      <xdr:row>145</xdr:row>
      <xdr:rowOff>1162050</xdr:rowOff>
    </xdr:to>
    <xdr:pic>
      <xdr:nvPicPr>
        <xdr:cNvPr id="1115" name="Picture 91" descr=""/>
        <xdr:cNvPicPr>
          <a:picLocks noChangeAspect="1" noChangeArrowheads="1"/>
        </xdr:cNvPicPr>
      </xdr:nvPicPr>
      <xdr:blipFill>
        <a:blip r:embed="R21c4d7129c4b412b" cstate="print"/>
        <a:srcRect/>
        <a:stretch>
          <a:fillRect/>
        </a:stretch>
      </xdr:blipFill>
      <xdr:spPr bwMode="auto">
        <a:xfrm>
          <a:off x="0" y="0"/>
          <a:ext cx="1143000" cy="1123950"/>
        </a:xfrm>
        <a:prstGeom prst="rect">
          <a:avLst/>
        </a:prstGeom>
        <a:noFill/>
      </xdr:spPr>
    </xdr:pic>
    <xdr:clientData/>
  </xdr:twoCellAnchor>
  <xdr:twoCellAnchor editAs="oneCell">
    <xdr:from>
      <xdr:col>2</xdr:col>
      <xdr:colOff>38100</xdr:colOff>
      <xdr:row>146</xdr:row>
      <xdr:rowOff>38100</xdr:rowOff>
    </xdr:from>
    <xdr:to>
      <xdr:col>2</xdr:col>
      <xdr:colOff>1130300</xdr:colOff>
      <xdr:row>146</xdr:row>
      <xdr:rowOff>1562100</xdr:rowOff>
    </xdr:to>
    <xdr:pic>
      <xdr:nvPicPr>
        <xdr:cNvPr id="1116" name="Picture 92" descr=""/>
        <xdr:cNvPicPr>
          <a:picLocks noChangeAspect="1" noChangeArrowheads="1"/>
        </xdr:cNvPicPr>
      </xdr:nvPicPr>
      <xdr:blipFill>
        <a:blip r:embed="R627003a0e15c44ca" cstate="print"/>
        <a:srcRect/>
        <a:stretch>
          <a:fillRect/>
        </a:stretch>
      </xdr:blipFill>
      <xdr:spPr bwMode="auto">
        <a:xfrm>
          <a:off x="0" y="0"/>
          <a:ext cx="1092200" cy="1524000"/>
        </a:xfrm>
        <a:prstGeom prst="rect">
          <a:avLst/>
        </a:prstGeom>
        <a:noFill/>
      </xdr:spPr>
    </xdr:pic>
    <xdr:clientData/>
  </xdr:twoCellAnchor>
  <xdr:twoCellAnchor editAs="oneCell">
    <xdr:from>
      <xdr:col>2</xdr:col>
      <xdr:colOff>38100</xdr:colOff>
      <xdr:row>147</xdr:row>
      <xdr:rowOff>38100</xdr:rowOff>
    </xdr:from>
    <xdr:to>
      <xdr:col>2</xdr:col>
      <xdr:colOff>536820</xdr:colOff>
      <xdr:row>147</xdr:row>
      <xdr:rowOff>353956</xdr:rowOff>
    </xdr:to>
    <xdr:pic>
      <xdr:nvPicPr>
        <xdr:cNvPr id="1117" name="Picture 93" descr=""/>
        <xdr:cNvPicPr>
          <a:picLocks noChangeAspect="1" noChangeArrowheads="1"/>
        </xdr:cNvPicPr>
      </xdr:nvPicPr>
      <xdr:blipFill>
        <a:blip r:embed="R063acfb4b91d4768" cstate="print"/>
        <a:srcRect/>
        <a:stretch>
          <a:fillRect/>
        </a:stretch>
      </xdr:blipFill>
      <xdr:spPr bwMode="auto">
        <a:xfrm>
          <a:off x="0" y="0"/>
          <a:ext cx="498720" cy="315856"/>
        </a:xfrm>
        <a:prstGeom prst="rect">
          <a:avLst/>
        </a:prstGeom>
        <a:noFill/>
      </xdr:spPr>
    </xdr:pic>
    <xdr:clientData/>
  </xdr:twoCellAnchor>
  <xdr:twoCellAnchor editAs="oneCell">
    <xdr:from>
      <xdr:col>2</xdr:col>
      <xdr:colOff>38100</xdr:colOff>
      <xdr:row>150</xdr:row>
      <xdr:rowOff>38100</xdr:rowOff>
    </xdr:from>
    <xdr:to>
      <xdr:col>2</xdr:col>
      <xdr:colOff>1181100</xdr:colOff>
      <xdr:row>150</xdr:row>
      <xdr:rowOff>1143000</xdr:rowOff>
    </xdr:to>
    <xdr:pic>
      <xdr:nvPicPr>
        <xdr:cNvPr id="1118" name="Picture 94" descr=""/>
        <xdr:cNvPicPr>
          <a:picLocks noChangeAspect="1" noChangeArrowheads="1"/>
        </xdr:cNvPicPr>
      </xdr:nvPicPr>
      <xdr:blipFill>
        <a:blip r:embed="R06773df46aa74d40" cstate="print"/>
        <a:srcRect/>
        <a:stretch>
          <a:fillRect/>
        </a:stretch>
      </xdr:blipFill>
      <xdr:spPr bwMode="auto">
        <a:xfrm>
          <a:off x="0" y="0"/>
          <a:ext cx="1143000" cy="1104900"/>
        </a:xfrm>
        <a:prstGeom prst="rect">
          <a:avLst/>
        </a:prstGeom>
        <a:noFill/>
      </xdr:spPr>
    </xdr:pic>
    <xdr:clientData/>
  </xdr:twoCellAnchor>
  <xdr:twoCellAnchor editAs="oneCell">
    <xdr:from>
      <xdr:col>2</xdr:col>
      <xdr:colOff>38100</xdr:colOff>
      <xdr:row>151</xdr:row>
      <xdr:rowOff>38100</xdr:rowOff>
    </xdr:from>
    <xdr:to>
      <xdr:col>2</xdr:col>
      <xdr:colOff>1181100</xdr:colOff>
      <xdr:row>151</xdr:row>
      <xdr:rowOff>895350</xdr:rowOff>
    </xdr:to>
    <xdr:pic>
      <xdr:nvPicPr>
        <xdr:cNvPr id="1119" name="Picture 95" descr=""/>
        <xdr:cNvPicPr>
          <a:picLocks noChangeAspect="1" noChangeArrowheads="1"/>
        </xdr:cNvPicPr>
      </xdr:nvPicPr>
      <xdr:blipFill>
        <a:blip r:embed="Rf132a2e4da27404a" cstate="print"/>
        <a:srcRect/>
        <a:stretch>
          <a:fillRect/>
        </a:stretch>
      </xdr:blipFill>
      <xdr:spPr bwMode="auto">
        <a:xfrm>
          <a:off x="0" y="0"/>
          <a:ext cx="1143000" cy="857250"/>
        </a:xfrm>
        <a:prstGeom prst="rect">
          <a:avLst/>
        </a:prstGeom>
        <a:noFill/>
      </xdr:spPr>
    </xdr:pic>
    <xdr:clientData/>
  </xdr:twoCellAnchor>
  <xdr:twoCellAnchor editAs="oneCell">
    <xdr:from>
      <xdr:col>2</xdr:col>
      <xdr:colOff>38100</xdr:colOff>
      <xdr:row>152</xdr:row>
      <xdr:rowOff>38100</xdr:rowOff>
    </xdr:from>
    <xdr:to>
      <xdr:col>2</xdr:col>
      <xdr:colOff>1171575</xdr:colOff>
      <xdr:row>152</xdr:row>
      <xdr:rowOff>1181100</xdr:rowOff>
    </xdr:to>
    <xdr:pic>
      <xdr:nvPicPr>
        <xdr:cNvPr id="1120" name="Picture 96" descr=""/>
        <xdr:cNvPicPr>
          <a:picLocks noChangeAspect="1" noChangeArrowheads="1"/>
        </xdr:cNvPicPr>
      </xdr:nvPicPr>
      <xdr:blipFill>
        <a:blip r:embed="R388a3df67dbf40cc" cstate="print"/>
        <a:srcRect/>
        <a:stretch>
          <a:fillRect/>
        </a:stretch>
      </xdr:blipFill>
      <xdr:spPr bwMode="auto">
        <a:xfrm>
          <a:off x="0" y="0"/>
          <a:ext cx="1133475" cy="1143000"/>
        </a:xfrm>
        <a:prstGeom prst="rect">
          <a:avLst/>
        </a:prstGeom>
        <a:noFill/>
      </xdr:spPr>
    </xdr:pic>
    <xdr:clientData/>
  </xdr:twoCellAnchor>
  <xdr:twoCellAnchor editAs="oneCell">
    <xdr:from>
      <xdr:col>2</xdr:col>
      <xdr:colOff>38100</xdr:colOff>
      <xdr:row>153</xdr:row>
      <xdr:rowOff>38100</xdr:rowOff>
    </xdr:from>
    <xdr:to>
      <xdr:col>2</xdr:col>
      <xdr:colOff>1181100</xdr:colOff>
      <xdr:row>153</xdr:row>
      <xdr:rowOff>1181100</xdr:rowOff>
    </xdr:to>
    <xdr:pic>
      <xdr:nvPicPr>
        <xdr:cNvPr id="1121" name="Picture 97" descr=""/>
        <xdr:cNvPicPr>
          <a:picLocks noChangeAspect="1" noChangeArrowheads="1"/>
        </xdr:cNvPicPr>
      </xdr:nvPicPr>
      <xdr:blipFill>
        <a:blip r:embed="R500c7ee1f31849d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154</xdr:row>
      <xdr:rowOff>38100</xdr:rowOff>
    </xdr:from>
    <xdr:to>
      <xdr:col>2</xdr:col>
      <xdr:colOff>1181100</xdr:colOff>
      <xdr:row>154</xdr:row>
      <xdr:rowOff>1076325</xdr:rowOff>
    </xdr:to>
    <xdr:pic>
      <xdr:nvPicPr>
        <xdr:cNvPr id="1122" name="Picture 98" descr=""/>
        <xdr:cNvPicPr>
          <a:picLocks noChangeAspect="1" noChangeArrowheads="1"/>
        </xdr:cNvPicPr>
      </xdr:nvPicPr>
      <xdr:blipFill>
        <a:blip r:embed="R335f38d356464117" cstate="print"/>
        <a:srcRect/>
        <a:stretch>
          <a:fillRect/>
        </a:stretch>
      </xdr:blipFill>
      <xdr:spPr bwMode="auto">
        <a:xfrm>
          <a:off x="0" y="0"/>
          <a:ext cx="1143000" cy="1038225"/>
        </a:xfrm>
        <a:prstGeom prst="rect">
          <a:avLst/>
        </a:prstGeom>
        <a:noFill/>
      </xdr:spPr>
    </xdr:pic>
    <xdr:clientData/>
  </xdr:twoCellAnchor>
  <xdr:twoCellAnchor editAs="oneCell">
    <xdr:from>
      <xdr:col>2</xdr:col>
      <xdr:colOff>38100</xdr:colOff>
      <xdr:row>155</xdr:row>
      <xdr:rowOff>38100</xdr:rowOff>
    </xdr:from>
    <xdr:to>
      <xdr:col>2</xdr:col>
      <xdr:colOff>1181100</xdr:colOff>
      <xdr:row>155</xdr:row>
      <xdr:rowOff>685800</xdr:rowOff>
    </xdr:to>
    <xdr:pic>
      <xdr:nvPicPr>
        <xdr:cNvPr id="1123" name="Picture 99" descr=""/>
        <xdr:cNvPicPr>
          <a:picLocks noChangeAspect="1" noChangeArrowheads="1"/>
        </xdr:cNvPicPr>
      </xdr:nvPicPr>
      <xdr:blipFill>
        <a:blip r:embed="Ra22a7d82f80a42c5" cstate="print"/>
        <a:srcRect/>
        <a:stretch>
          <a:fillRect/>
        </a:stretch>
      </xdr:blipFill>
      <xdr:spPr bwMode="auto">
        <a:xfrm>
          <a:off x="0" y="0"/>
          <a:ext cx="1143000" cy="647700"/>
        </a:xfrm>
        <a:prstGeom prst="rect">
          <a:avLst/>
        </a:prstGeom>
        <a:noFill/>
      </xdr:spPr>
    </xdr:pic>
    <xdr:clientData/>
  </xdr:twoCellAnchor>
  <xdr:twoCellAnchor editAs="oneCell">
    <xdr:from>
      <xdr:col>2</xdr:col>
      <xdr:colOff>38100</xdr:colOff>
      <xdr:row>156</xdr:row>
      <xdr:rowOff>38100</xdr:rowOff>
    </xdr:from>
    <xdr:to>
      <xdr:col>2</xdr:col>
      <xdr:colOff>403860</xdr:colOff>
      <xdr:row>156</xdr:row>
      <xdr:rowOff>403860</xdr:rowOff>
    </xdr:to>
    <xdr:pic>
      <xdr:nvPicPr>
        <xdr:cNvPr id="1124" name="Picture 100" descr=""/>
        <xdr:cNvPicPr>
          <a:picLocks noChangeAspect="1" noChangeArrowheads="1"/>
        </xdr:cNvPicPr>
      </xdr:nvPicPr>
      <xdr:blipFill>
        <a:blip r:embed="R1a37a737f52b4a85"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157</xdr:row>
      <xdr:rowOff>38100</xdr:rowOff>
    </xdr:from>
    <xdr:to>
      <xdr:col>2</xdr:col>
      <xdr:colOff>1181100</xdr:colOff>
      <xdr:row>157</xdr:row>
      <xdr:rowOff>1171575</xdr:rowOff>
    </xdr:to>
    <xdr:pic>
      <xdr:nvPicPr>
        <xdr:cNvPr id="1125" name="Picture 101" descr=""/>
        <xdr:cNvPicPr>
          <a:picLocks noChangeAspect="1" noChangeArrowheads="1"/>
        </xdr:cNvPicPr>
      </xdr:nvPicPr>
      <xdr:blipFill>
        <a:blip r:embed="Rcedda7c00f404aae" cstate="print"/>
        <a:srcRect/>
        <a:stretch>
          <a:fillRect/>
        </a:stretch>
      </xdr:blipFill>
      <xdr:spPr bwMode="auto">
        <a:xfrm>
          <a:off x="0" y="0"/>
          <a:ext cx="1143000" cy="1133475"/>
        </a:xfrm>
        <a:prstGeom prst="rect">
          <a:avLst/>
        </a:prstGeom>
        <a:noFill/>
      </xdr:spPr>
    </xdr:pic>
    <xdr:clientData/>
  </xdr:twoCellAnchor>
  <xdr:twoCellAnchor editAs="oneCell">
    <xdr:from>
      <xdr:col>2</xdr:col>
      <xdr:colOff>38100</xdr:colOff>
      <xdr:row>158</xdr:row>
      <xdr:rowOff>38100</xdr:rowOff>
    </xdr:from>
    <xdr:to>
      <xdr:col>2</xdr:col>
      <xdr:colOff>1181100</xdr:colOff>
      <xdr:row>158</xdr:row>
      <xdr:rowOff>314325</xdr:rowOff>
    </xdr:to>
    <xdr:pic>
      <xdr:nvPicPr>
        <xdr:cNvPr id="1126" name="Picture 102" descr=""/>
        <xdr:cNvPicPr>
          <a:picLocks noChangeAspect="1" noChangeArrowheads="1"/>
        </xdr:cNvPicPr>
      </xdr:nvPicPr>
      <xdr:blipFill>
        <a:blip r:embed="Rc201a936772843d2" cstate="print"/>
        <a:srcRect/>
        <a:stretch>
          <a:fillRect/>
        </a:stretch>
      </xdr:blipFill>
      <xdr:spPr bwMode="auto">
        <a:xfrm>
          <a:off x="0" y="0"/>
          <a:ext cx="1143000" cy="276225"/>
        </a:xfrm>
        <a:prstGeom prst="rect">
          <a:avLst/>
        </a:prstGeom>
        <a:noFill/>
      </xdr:spPr>
    </xdr:pic>
    <xdr:clientData/>
  </xdr:twoCellAnchor>
  <xdr:twoCellAnchor editAs="oneCell">
    <xdr:from>
      <xdr:col>2</xdr:col>
      <xdr:colOff>38100</xdr:colOff>
      <xdr:row>160</xdr:row>
      <xdr:rowOff>38100</xdr:rowOff>
    </xdr:from>
    <xdr:to>
      <xdr:col>2</xdr:col>
      <xdr:colOff>952500</xdr:colOff>
      <xdr:row>160</xdr:row>
      <xdr:rowOff>579120</xdr:rowOff>
    </xdr:to>
    <xdr:pic>
      <xdr:nvPicPr>
        <xdr:cNvPr id="1127" name="Picture 103" descr=""/>
        <xdr:cNvPicPr>
          <a:picLocks noChangeAspect="1" noChangeArrowheads="1"/>
        </xdr:cNvPicPr>
      </xdr:nvPicPr>
      <xdr:blipFill>
        <a:blip r:embed="R4e0187fb65d14b24" cstate="print"/>
        <a:srcRect/>
        <a:stretch>
          <a:fillRect/>
        </a:stretch>
      </xdr:blipFill>
      <xdr:spPr bwMode="auto">
        <a:xfrm>
          <a:off x="0" y="0"/>
          <a:ext cx="914400" cy="541020"/>
        </a:xfrm>
        <a:prstGeom prst="rect">
          <a:avLst/>
        </a:prstGeom>
        <a:noFill/>
      </xdr:spPr>
    </xdr:pic>
    <xdr:clientData/>
  </xdr:twoCellAnchor>
  <xdr:twoCellAnchor editAs="oneCell">
    <xdr:from>
      <xdr:col>2</xdr:col>
      <xdr:colOff>38100</xdr:colOff>
      <xdr:row>161</xdr:row>
      <xdr:rowOff>38100</xdr:rowOff>
    </xdr:from>
    <xdr:to>
      <xdr:col>2</xdr:col>
      <xdr:colOff>1135380</xdr:colOff>
      <xdr:row>161</xdr:row>
      <xdr:rowOff>1135380</xdr:rowOff>
    </xdr:to>
    <xdr:pic>
      <xdr:nvPicPr>
        <xdr:cNvPr id="1128" name="Picture 104" descr=""/>
        <xdr:cNvPicPr>
          <a:picLocks noChangeAspect="1" noChangeArrowheads="1"/>
        </xdr:cNvPicPr>
      </xdr:nvPicPr>
      <xdr:blipFill>
        <a:blip r:embed="R36ef3bfe735945a2" cstate="print"/>
        <a:srcRect/>
        <a:stretch>
          <a:fillRect/>
        </a:stretch>
      </xdr:blipFill>
      <xdr:spPr bwMode="auto">
        <a:xfrm>
          <a:off x="0" y="0"/>
          <a:ext cx="1097280" cy="1097280"/>
        </a:xfrm>
        <a:prstGeom prst="rect">
          <a:avLst/>
        </a:prstGeom>
        <a:noFill/>
      </xdr:spPr>
    </xdr:pic>
    <xdr:clientData/>
  </xdr:twoCellAnchor>
  <xdr:twoCellAnchor editAs="oneCell">
    <xdr:from>
      <xdr:col>2</xdr:col>
      <xdr:colOff>38100</xdr:colOff>
      <xdr:row>162</xdr:row>
      <xdr:rowOff>38100</xdr:rowOff>
    </xdr:from>
    <xdr:to>
      <xdr:col>2</xdr:col>
      <xdr:colOff>1135380</xdr:colOff>
      <xdr:row>162</xdr:row>
      <xdr:rowOff>1135380</xdr:rowOff>
    </xdr:to>
    <xdr:pic>
      <xdr:nvPicPr>
        <xdr:cNvPr id="1129" name="Picture 105" descr=""/>
        <xdr:cNvPicPr>
          <a:picLocks noChangeAspect="1" noChangeArrowheads="1"/>
        </xdr:cNvPicPr>
      </xdr:nvPicPr>
      <xdr:blipFill>
        <a:blip r:embed="Reec9c59b67b64e0d" cstate="print"/>
        <a:srcRect/>
        <a:stretch>
          <a:fillRect/>
        </a:stretch>
      </xdr:blipFill>
      <xdr:spPr bwMode="auto">
        <a:xfrm>
          <a:off x="0" y="0"/>
          <a:ext cx="1097280" cy="1097280"/>
        </a:xfrm>
        <a:prstGeom prst="rect">
          <a:avLst/>
        </a:prstGeom>
        <a:noFill/>
      </xdr:spPr>
    </xdr:pic>
    <xdr:clientData/>
  </xdr:twoCellAnchor>
  <xdr:twoCellAnchor editAs="oneCell">
    <xdr:from>
      <xdr:col>2</xdr:col>
      <xdr:colOff>38100</xdr:colOff>
      <xdr:row>166</xdr:row>
      <xdr:rowOff>38100</xdr:rowOff>
    </xdr:from>
    <xdr:to>
      <xdr:col>2</xdr:col>
      <xdr:colOff>1181100</xdr:colOff>
      <xdr:row>166</xdr:row>
      <xdr:rowOff>914400</xdr:rowOff>
    </xdr:to>
    <xdr:pic>
      <xdr:nvPicPr>
        <xdr:cNvPr id="1130" name="Picture 106" descr=""/>
        <xdr:cNvPicPr>
          <a:picLocks noChangeAspect="1" noChangeArrowheads="1"/>
        </xdr:cNvPicPr>
      </xdr:nvPicPr>
      <xdr:blipFill>
        <a:blip r:embed="R0aafd727b91849d3" cstate="print"/>
        <a:srcRect/>
        <a:stretch>
          <a:fillRect/>
        </a:stretch>
      </xdr:blipFill>
      <xdr:spPr bwMode="auto">
        <a:xfrm>
          <a:off x="0" y="0"/>
          <a:ext cx="1143000" cy="876300"/>
        </a:xfrm>
        <a:prstGeom prst="rect">
          <a:avLst/>
        </a:prstGeom>
        <a:noFill/>
      </xdr:spPr>
    </xdr:pic>
    <xdr:clientData/>
  </xdr:twoCellAnchor>
  <xdr:twoCellAnchor editAs="oneCell">
    <xdr:from>
      <xdr:col>2</xdr:col>
      <xdr:colOff>38100</xdr:colOff>
      <xdr:row>167</xdr:row>
      <xdr:rowOff>38100</xdr:rowOff>
    </xdr:from>
    <xdr:to>
      <xdr:col>2</xdr:col>
      <xdr:colOff>1562100</xdr:colOff>
      <xdr:row>167</xdr:row>
      <xdr:rowOff>1435100</xdr:rowOff>
    </xdr:to>
    <xdr:pic>
      <xdr:nvPicPr>
        <xdr:cNvPr id="1131" name="Picture 107" descr=""/>
        <xdr:cNvPicPr>
          <a:picLocks noChangeAspect="1" noChangeArrowheads="1"/>
        </xdr:cNvPicPr>
      </xdr:nvPicPr>
      <xdr:blipFill>
        <a:blip r:embed="R42573398c8a74df6" cstate="print"/>
        <a:srcRect/>
        <a:stretch>
          <a:fillRect/>
        </a:stretch>
      </xdr:blipFill>
      <xdr:spPr bwMode="auto">
        <a:xfrm>
          <a:off x="0" y="0"/>
          <a:ext cx="1524000" cy="1397000"/>
        </a:xfrm>
        <a:prstGeom prst="rect">
          <a:avLst/>
        </a:prstGeom>
        <a:noFill/>
      </xdr:spPr>
    </xdr:pic>
    <xdr:clientData/>
  </xdr:twoCellAnchor>
  <xdr:twoCellAnchor editAs="oneCell">
    <xdr:from>
      <xdr:col>2</xdr:col>
      <xdr:colOff>38100</xdr:colOff>
      <xdr:row>168</xdr:row>
      <xdr:rowOff>38100</xdr:rowOff>
    </xdr:from>
    <xdr:to>
      <xdr:col>2</xdr:col>
      <xdr:colOff>403860</xdr:colOff>
      <xdr:row>168</xdr:row>
      <xdr:rowOff>388620</xdr:rowOff>
    </xdr:to>
    <xdr:pic>
      <xdr:nvPicPr>
        <xdr:cNvPr id="1132" name="Picture 108" descr=""/>
        <xdr:cNvPicPr>
          <a:picLocks noChangeAspect="1" noChangeArrowheads="1"/>
        </xdr:cNvPicPr>
      </xdr:nvPicPr>
      <xdr:blipFill>
        <a:blip r:embed="R80fa32006bc04156" cstate="print"/>
        <a:srcRect/>
        <a:stretch>
          <a:fillRect/>
        </a:stretch>
      </xdr:blipFill>
      <xdr:spPr bwMode="auto">
        <a:xfrm>
          <a:off x="0" y="0"/>
          <a:ext cx="365760" cy="350520"/>
        </a:xfrm>
        <a:prstGeom prst="rect">
          <a:avLst/>
        </a:prstGeom>
        <a:noFill/>
      </xdr:spPr>
    </xdr:pic>
    <xdr:clientData/>
  </xdr:twoCellAnchor>
  <xdr:twoCellAnchor editAs="oneCell">
    <xdr:from>
      <xdr:col>2</xdr:col>
      <xdr:colOff>38100</xdr:colOff>
      <xdr:row>169</xdr:row>
      <xdr:rowOff>38100</xdr:rowOff>
    </xdr:from>
    <xdr:to>
      <xdr:col>2</xdr:col>
      <xdr:colOff>1181100</xdr:colOff>
      <xdr:row>169</xdr:row>
      <xdr:rowOff>1181100</xdr:rowOff>
    </xdr:to>
    <xdr:pic>
      <xdr:nvPicPr>
        <xdr:cNvPr id="1133" name="Picture 109" descr=""/>
        <xdr:cNvPicPr>
          <a:picLocks noChangeAspect="1" noChangeArrowheads="1"/>
        </xdr:cNvPicPr>
      </xdr:nvPicPr>
      <xdr:blipFill>
        <a:blip r:embed="R5779880914384ae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170</xdr:row>
      <xdr:rowOff>38100</xdr:rowOff>
    </xdr:from>
    <xdr:to>
      <xdr:col>2</xdr:col>
      <xdr:colOff>1181220</xdr:colOff>
      <xdr:row>170</xdr:row>
      <xdr:rowOff>1181220</xdr:rowOff>
    </xdr:to>
    <xdr:pic>
      <xdr:nvPicPr>
        <xdr:cNvPr id="1134" name="Picture 110" descr=""/>
        <xdr:cNvPicPr>
          <a:picLocks noChangeAspect="1" noChangeArrowheads="1"/>
        </xdr:cNvPicPr>
      </xdr:nvPicPr>
      <xdr:blipFill>
        <a:blip r:embed="R0b8a992271314034" cstate="print"/>
        <a:srcRect/>
        <a:stretch>
          <a:fillRect/>
        </a:stretch>
      </xdr:blipFill>
      <xdr:spPr bwMode="auto">
        <a:xfrm>
          <a:off x="0" y="0"/>
          <a:ext cx="1143120" cy="1143120"/>
        </a:xfrm>
        <a:prstGeom prst="rect">
          <a:avLst/>
        </a:prstGeom>
        <a:noFill/>
      </xdr:spPr>
    </xdr:pic>
    <xdr:clientData/>
  </xdr:twoCellAnchor>
  <xdr:twoCellAnchor editAs="oneCell">
    <xdr:from>
      <xdr:col>2</xdr:col>
      <xdr:colOff>38100</xdr:colOff>
      <xdr:row>171</xdr:row>
      <xdr:rowOff>38100</xdr:rowOff>
    </xdr:from>
    <xdr:to>
      <xdr:col>2</xdr:col>
      <xdr:colOff>1181100</xdr:colOff>
      <xdr:row>171</xdr:row>
      <xdr:rowOff>1181100</xdr:rowOff>
    </xdr:to>
    <xdr:pic>
      <xdr:nvPicPr>
        <xdr:cNvPr id="1135" name="Picture 111" descr=""/>
        <xdr:cNvPicPr>
          <a:picLocks noChangeAspect="1" noChangeArrowheads="1"/>
        </xdr:cNvPicPr>
      </xdr:nvPicPr>
      <xdr:blipFill>
        <a:blip r:embed="R300ab6608f084c9f"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172</xdr:row>
      <xdr:rowOff>38100</xdr:rowOff>
    </xdr:from>
    <xdr:to>
      <xdr:col>2</xdr:col>
      <xdr:colOff>109766100</xdr:colOff>
      <xdr:row>172</xdr:row>
      <xdr:rowOff>41186100</xdr:rowOff>
    </xdr:to>
    <xdr:pic>
      <xdr:nvPicPr>
        <xdr:cNvPr id="1136" name="Picture 112" descr=""/>
        <xdr:cNvPicPr>
          <a:picLocks noChangeAspect="1" noChangeArrowheads="1"/>
        </xdr:cNvPicPr>
      </xdr:nvPicPr>
      <xdr:blipFill>
        <a:blip r:embed="R3569a647f06e44b1" cstate="print"/>
        <a:srcRect/>
        <a:stretch>
          <a:fillRect/>
        </a:stretch>
      </xdr:blipFill>
      <xdr:spPr bwMode="auto">
        <a:xfrm>
          <a:off x="0" y="0"/>
          <a:ext cx="109728000" cy="41148000"/>
        </a:xfrm>
        <a:prstGeom prst="rect">
          <a:avLst/>
        </a:prstGeom>
        <a:noFill/>
      </xdr:spPr>
    </xdr:pic>
    <xdr:clientData/>
  </xdr:twoCellAnchor>
  <xdr:twoCellAnchor editAs="oneCell">
    <xdr:from>
      <xdr:col>2</xdr:col>
      <xdr:colOff>38100</xdr:colOff>
      <xdr:row>173</xdr:row>
      <xdr:rowOff>38100</xdr:rowOff>
    </xdr:from>
    <xdr:to>
      <xdr:col>2</xdr:col>
      <xdr:colOff>109766100</xdr:colOff>
      <xdr:row>173</xdr:row>
      <xdr:rowOff>47586900</xdr:rowOff>
    </xdr:to>
    <xdr:pic>
      <xdr:nvPicPr>
        <xdr:cNvPr id="1137" name="Picture 113" descr=""/>
        <xdr:cNvPicPr>
          <a:picLocks noChangeAspect="1" noChangeArrowheads="1"/>
        </xdr:cNvPicPr>
      </xdr:nvPicPr>
      <xdr:blipFill>
        <a:blip r:embed="R8962bfeed5ed4cb0" cstate="print"/>
        <a:srcRect/>
        <a:stretch>
          <a:fillRect/>
        </a:stretch>
      </xdr:blipFill>
      <xdr:spPr bwMode="auto">
        <a:xfrm>
          <a:off x="0" y="0"/>
          <a:ext cx="109728000" cy="47548800"/>
        </a:xfrm>
        <a:prstGeom prst="rect">
          <a:avLst/>
        </a:prstGeom>
        <a:noFill/>
      </xdr:spPr>
    </xdr:pic>
    <xdr:clientData/>
  </xdr:twoCellAnchor>
  <xdr:twoCellAnchor editAs="oneCell">
    <xdr:from>
      <xdr:col>2</xdr:col>
      <xdr:colOff>38100</xdr:colOff>
      <xdr:row>174</xdr:row>
      <xdr:rowOff>38100</xdr:rowOff>
    </xdr:from>
    <xdr:to>
      <xdr:col>2</xdr:col>
      <xdr:colOff>1181100</xdr:colOff>
      <xdr:row>174</xdr:row>
      <xdr:rowOff>1181100</xdr:rowOff>
    </xdr:to>
    <xdr:pic>
      <xdr:nvPicPr>
        <xdr:cNvPr id="1138" name="Picture 114" descr=""/>
        <xdr:cNvPicPr>
          <a:picLocks noChangeAspect="1" noChangeArrowheads="1"/>
        </xdr:cNvPicPr>
      </xdr:nvPicPr>
      <xdr:blipFill>
        <a:blip r:embed="Rb4da56eafb6048ba"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175</xdr:row>
      <xdr:rowOff>38100</xdr:rowOff>
    </xdr:from>
    <xdr:to>
      <xdr:col>2</xdr:col>
      <xdr:colOff>1181100</xdr:colOff>
      <xdr:row>175</xdr:row>
      <xdr:rowOff>1181100</xdr:rowOff>
    </xdr:to>
    <xdr:pic>
      <xdr:nvPicPr>
        <xdr:cNvPr id="1139" name="Picture 115" descr=""/>
        <xdr:cNvPicPr>
          <a:picLocks noChangeAspect="1" noChangeArrowheads="1"/>
        </xdr:cNvPicPr>
      </xdr:nvPicPr>
      <xdr:blipFill>
        <a:blip r:embed="R5a08d17faccd473d"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176</xdr:row>
      <xdr:rowOff>38100</xdr:rowOff>
    </xdr:from>
    <xdr:to>
      <xdr:col>2</xdr:col>
      <xdr:colOff>1181100</xdr:colOff>
      <xdr:row>176</xdr:row>
      <xdr:rowOff>1181100</xdr:rowOff>
    </xdr:to>
    <xdr:pic>
      <xdr:nvPicPr>
        <xdr:cNvPr id="1140" name="Picture 116" descr=""/>
        <xdr:cNvPicPr>
          <a:picLocks noChangeAspect="1" noChangeArrowheads="1"/>
        </xdr:cNvPicPr>
      </xdr:nvPicPr>
      <xdr:blipFill>
        <a:blip r:embed="Rcb47342c9818480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177</xdr:row>
      <xdr:rowOff>38100</xdr:rowOff>
    </xdr:from>
    <xdr:to>
      <xdr:col>2</xdr:col>
      <xdr:colOff>403860</xdr:colOff>
      <xdr:row>177</xdr:row>
      <xdr:rowOff>403860</xdr:rowOff>
    </xdr:to>
    <xdr:pic>
      <xdr:nvPicPr>
        <xdr:cNvPr id="1141" name="Picture 117" descr=""/>
        <xdr:cNvPicPr>
          <a:picLocks noChangeAspect="1" noChangeArrowheads="1"/>
        </xdr:cNvPicPr>
      </xdr:nvPicPr>
      <xdr:blipFill>
        <a:blip r:embed="R5220bbb550be4068"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178</xdr:row>
      <xdr:rowOff>38100</xdr:rowOff>
    </xdr:from>
    <xdr:to>
      <xdr:col>2</xdr:col>
      <xdr:colOff>3086100</xdr:colOff>
      <xdr:row>178</xdr:row>
      <xdr:rowOff>3086100</xdr:rowOff>
    </xdr:to>
    <xdr:pic>
      <xdr:nvPicPr>
        <xdr:cNvPr id="1142" name="Picture 118" descr=""/>
        <xdr:cNvPicPr>
          <a:picLocks noChangeAspect="1" noChangeArrowheads="1"/>
        </xdr:cNvPicPr>
      </xdr:nvPicPr>
      <xdr:blipFill>
        <a:blip r:embed="R78c69989e71a49f9" cstate="print"/>
        <a:srcRect/>
        <a:stretch>
          <a:fillRect/>
        </a:stretch>
      </xdr:blipFill>
      <xdr:spPr bwMode="auto">
        <a:xfrm>
          <a:off x="0" y="0"/>
          <a:ext cx="3048000" cy="3048000"/>
        </a:xfrm>
        <a:prstGeom prst="rect">
          <a:avLst/>
        </a:prstGeom>
        <a:noFill/>
      </xdr:spPr>
    </xdr:pic>
    <xdr:clientData/>
  </xdr:twoCellAnchor>
  <xdr:twoCellAnchor editAs="oneCell">
    <xdr:from>
      <xdr:col>2</xdr:col>
      <xdr:colOff>38100</xdr:colOff>
      <xdr:row>179</xdr:row>
      <xdr:rowOff>38100</xdr:rowOff>
    </xdr:from>
    <xdr:to>
      <xdr:col>2</xdr:col>
      <xdr:colOff>1181100</xdr:colOff>
      <xdr:row>179</xdr:row>
      <xdr:rowOff>390525</xdr:rowOff>
    </xdr:to>
    <xdr:pic>
      <xdr:nvPicPr>
        <xdr:cNvPr id="1143" name="Picture 119" descr=""/>
        <xdr:cNvPicPr>
          <a:picLocks noChangeAspect="1" noChangeArrowheads="1"/>
        </xdr:cNvPicPr>
      </xdr:nvPicPr>
      <xdr:blipFill>
        <a:blip r:embed="R9423087ddd914b6b" cstate="print"/>
        <a:srcRect/>
        <a:stretch>
          <a:fillRect/>
        </a:stretch>
      </xdr:blipFill>
      <xdr:spPr bwMode="auto">
        <a:xfrm>
          <a:off x="0" y="0"/>
          <a:ext cx="1143000" cy="352425"/>
        </a:xfrm>
        <a:prstGeom prst="rect">
          <a:avLst/>
        </a:prstGeom>
        <a:noFill/>
      </xdr:spPr>
    </xdr:pic>
    <xdr:clientData/>
  </xdr:twoCellAnchor>
  <xdr:twoCellAnchor editAs="oneCell">
    <xdr:from>
      <xdr:col>2</xdr:col>
      <xdr:colOff>38100</xdr:colOff>
      <xdr:row>181</xdr:row>
      <xdr:rowOff>38100</xdr:rowOff>
    </xdr:from>
    <xdr:to>
      <xdr:col>2</xdr:col>
      <xdr:colOff>1181100</xdr:colOff>
      <xdr:row>181</xdr:row>
      <xdr:rowOff>552450</xdr:rowOff>
    </xdr:to>
    <xdr:pic>
      <xdr:nvPicPr>
        <xdr:cNvPr id="1144" name="Picture 120" descr=""/>
        <xdr:cNvPicPr>
          <a:picLocks noChangeAspect="1" noChangeArrowheads="1"/>
        </xdr:cNvPicPr>
      </xdr:nvPicPr>
      <xdr:blipFill>
        <a:blip r:embed="Rb2344a354dc9465f" cstate="print"/>
        <a:srcRect/>
        <a:stretch>
          <a:fillRect/>
        </a:stretch>
      </xdr:blipFill>
      <xdr:spPr bwMode="auto">
        <a:xfrm>
          <a:off x="0" y="0"/>
          <a:ext cx="1143000" cy="514350"/>
        </a:xfrm>
        <a:prstGeom prst="rect">
          <a:avLst/>
        </a:prstGeom>
        <a:noFill/>
      </xdr:spPr>
    </xdr:pic>
    <xdr:clientData/>
  </xdr:twoCellAnchor>
  <xdr:twoCellAnchor editAs="oneCell">
    <xdr:from>
      <xdr:col>2</xdr:col>
      <xdr:colOff>38100</xdr:colOff>
      <xdr:row>182</xdr:row>
      <xdr:rowOff>38100</xdr:rowOff>
    </xdr:from>
    <xdr:to>
      <xdr:col>2</xdr:col>
      <xdr:colOff>1181100</xdr:colOff>
      <xdr:row>182</xdr:row>
      <xdr:rowOff>409575</xdr:rowOff>
    </xdr:to>
    <xdr:pic>
      <xdr:nvPicPr>
        <xdr:cNvPr id="1145" name="Picture 121" descr=""/>
        <xdr:cNvPicPr>
          <a:picLocks noChangeAspect="1" noChangeArrowheads="1"/>
        </xdr:cNvPicPr>
      </xdr:nvPicPr>
      <xdr:blipFill>
        <a:blip r:embed="R8c00ceca439c4751" cstate="print"/>
        <a:srcRect/>
        <a:stretch>
          <a:fillRect/>
        </a:stretch>
      </xdr:blipFill>
      <xdr:spPr bwMode="auto">
        <a:xfrm>
          <a:off x="0" y="0"/>
          <a:ext cx="1143000" cy="371475"/>
        </a:xfrm>
        <a:prstGeom prst="rect">
          <a:avLst/>
        </a:prstGeom>
        <a:noFill/>
      </xdr:spPr>
    </xdr:pic>
    <xdr:clientData/>
  </xdr:twoCellAnchor>
  <xdr:twoCellAnchor editAs="oneCell">
    <xdr:from>
      <xdr:col>2</xdr:col>
      <xdr:colOff>38100</xdr:colOff>
      <xdr:row>183</xdr:row>
      <xdr:rowOff>38100</xdr:rowOff>
    </xdr:from>
    <xdr:to>
      <xdr:col>2</xdr:col>
      <xdr:colOff>1181100</xdr:colOff>
      <xdr:row>183</xdr:row>
      <xdr:rowOff>1181100</xdr:rowOff>
    </xdr:to>
    <xdr:pic>
      <xdr:nvPicPr>
        <xdr:cNvPr id="1146" name="Picture 122" descr=""/>
        <xdr:cNvPicPr>
          <a:picLocks noChangeAspect="1" noChangeArrowheads="1"/>
        </xdr:cNvPicPr>
      </xdr:nvPicPr>
      <xdr:blipFill>
        <a:blip r:embed="Ra621be411ec444dd"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184</xdr:row>
      <xdr:rowOff>38100</xdr:rowOff>
    </xdr:from>
    <xdr:to>
      <xdr:col>2</xdr:col>
      <xdr:colOff>800100</xdr:colOff>
      <xdr:row>184</xdr:row>
      <xdr:rowOff>698500</xdr:rowOff>
    </xdr:to>
    <xdr:pic>
      <xdr:nvPicPr>
        <xdr:cNvPr id="1147" name="Picture 123" descr=""/>
        <xdr:cNvPicPr>
          <a:picLocks noChangeAspect="1" noChangeArrowheads="1"/>
        </xdr:cNvPicPr>
      </xdr:nvPicPr>
      <xdr:blipFill>
        <a:blip r:embed="R7c1af2efd38a4588" cstate="print"/>
        <a:srcRect/>
        <a:stretch>
          <a:fillRect/>
        </a:stretch>
      </xdr:blipFill>
      <xdr:spPr bwMode="auto">
        <a:xfrm>
          <a:off x="0" y="0"/>
          <a:ext cx="762000" cy="660400"/>
        </a:xfrm>
        <a:prstGeom prst="rect">
          <a:avLst/>
        </a:prstGeom>
        <a:noFill/>
      </xdr:spPr>
    </xdr:pic>
    <xdr:clientData/>
  </xdr:twoCellAnchor>
  <xdr:twoCellAnchor editAs="oneCell">
    <xdr:from>
      <xdr:col>2</xdr:col>
      <xdr:colOff>38100</xdr:colOff>
      <xdr:row>185</xdr:row>
      <xdr:rowOff>38100</xdr:rowOff>
    </xdr:from>
    <xdr:to>
      <xdr:col>2</xdr:col>
      <xdr:colOff>1181100</xdr:colOff>
      <xdr:row>185</xdr:row>
      <xdr:rowOff>1181100</xdr:rowOff>
    </xdr:to>
    <xdr:pic>
      <xdr:nvPicPr>
        <xdr:cNvPr id="1148" name="Picture 124" descr=""/>
        <xdr:cNvPicPr>
          <a:picLocks noChangeAspect="1" noChangeArrowheads="1"/>
        </xdr:cNvPicPr>
      </xdr:nvPicPr>
      <xdr:blipFill>
        <a:blip r:embed="R386527a662744d3d"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187</xdr:row>
      <xdr:rowOff>38100</xdr:rowOff>
    </xdr:from>
    <xdr:to>
      <xdr:col>2</xdr:col>
      <xdr:colOff>1181100</xdr:colOff>
      <xdr:row>187</xdr:row>
      <xdr:rowOff>1181100</xdr:rowOff>
    </xdr:to>
    <xdr:pic>
      <xdr:nvPicPr>
        <xdr:cNvPr id="1149" name="Picture 125" descr=""/>
        <xdr:cNvPicPr>
          <a:picLocks noChangeAspect="1" noChangeArrowheads="1"/>
        </xdr:cNvPicPr>
      </xdr:nvPicPr>
      <xdr:blipFill>
        <a:blip r:embed="Rfc7e3f6e9b9745db"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188</xdr:row>
      <xdr:rowOff>38100</xdr:rowOff>
    </xdr:from>
    <xdr:to>
      <xdr:col>2</xdr:col>
      <xdr:colOff>1181100</xdr:colOff>
      <xdr:row>188</xdr:row>
      <xdr:rowOff>381000</xdr:rowOff>
    </xdr:to>
    <xdr:pic>
      <xdr:nvPicPr>
        <xdr:cNvPr id="1150" name="Picture 126" descr=""/>
        <xdr:cNvPicPr>
          <a:picLocks noChangeAspect="1" noChangeArrowheads="1"/>
        </xdr:cNvPicPr>
      </xdr:nvPicPr>
      <xdr:blipFill>
        <a:blip r:embed="R16dc01eb06024e6f" cstate="print"/>
        <a:srcRect/>
        <a:stretch>
          <a:fillRect/>
        </a:stretch>
      </xdr:blipFill>
      <xdr:spPr bwMode="auto">
        <a:xfrm>
          <a:off x="0" y="0"/>
          <a:ext cx="1143000" cy="342900"/>
        </a:xfrm>
        <a:prstGeom prst="rect">
          <a:avLst/>
        </a:prstGeom>
        <a:noFill/>
      </xdr:spPr>
    </xdr:pic>
    <xdr:clientData/>
  </xdr:twoCellAnchor>
  <xdr:twoCellAnchor editAs="oneCell">
    <xdr:from>
      <xdr:col>2</xdr:col>
      <xdr:colOff>38100</xdr:colOff>
      <xdr:row>189</xdr:row>
      <xdr:rowOff>38100</xdr:rowOff>
    </xdr:from>
    <xdr:to>
      <xdr:col>2</xdr:col>
      <xdr:colOff>403860</xdr:colOff>
      <xdr:row>189</xdr:row>
      <xdr:rowOff>214884</xdr:rowOff>
    </xdr:to>
    <xdr:pic>
      <xdr:nvPicPr>
        <xdr:cNvPr id="1151" name="Picture 127" descr=""/>
        <xdr:cNvPicPr>
          <a:picLocks noChangeAspect="1" noChangeArrowheads="1"/>
        </xdr:cNvPicPr>
      </xdr:nvPicPr>
      <xdr:blipFill>
        <a:blip r:embed="Ra484f893e519472b" cstate="print"/>
        <a:srcRect/>
        <a:stretch>
          <a:fillRect/>
        </a:stretch>
      </xdr:blipFill>
      <xdr:spPr bwMode="auto">
        <a:xfrm>
          <a:off x="0" y="0"/>
          <a:ext cx="365760" cy="176784"/>
        </a:xfrm>
        <a:prstGeom prst="rect">
          <a:avLst/>
        </a:prstGeom>
        <a:noFill/>
      </xdr:spPr>
    </xdr:pic>
    <xdr:clientData/>
  </xdr:twoCellAnchor>
  <xdr:twoCellAnchor editAs="oneCell">
    <xdr:from>
      <xdr:col>2</xdr:col>
      <xdr:colOff>38100</xdr:colOff>
      <xdr:row>190</xdr:row>
      <xdr:rowOff>38100</xdr:rowOff>
    </xdr:from>
    <xdr:to>
      <xdr:col>2</xdr:col>
      <xdr:colOff>952500</xdr:colOff>
      <xdr:row>190</xdr:row>
      <xdr:rowOff>281940</xdr:rowOff>
    </xdr:to>
    <xdr:pic>
      <xdr:nvPicPr>
        <xdr:cNvPr id="1152" name="Picture 128" descr=""/>
        <xdr:cNvPicPr>
          <a:picLocks noChangeAspect="1" noChangeArrowheads="1"/>
        </xdr:cNvPicPr>
      </xdr:nvPicPr>
      <xdr:blipFill>
        <a:blip r:embed="R5f893a39c2c642c3" cstate="print"/>
        <a:srcRect/>
        <a:stretch>
          <a:fillRect/>
        </a:stretch>
      </xdr:blipFill>
      <xdr:spPr bwMode="auto">
        <a:xfrm>
          <a:off x="0" y="0"/>
          <a:ext cx="914400" cy="243840"/>
        </a:xfrm>
        <a:prstGeom prst="rect">
          <a:avLst/>
        </a:prstGeom>
        <a:noFill/>
      </xdr:spPr>
    </xdr:pic>
    <xdr:clientData/>
  </xdr:twoCellAnchor>
  <xdr:twoCellAnchor editAs="oneCell">
    <xdr:from>
      <xdr:col>2</xdr:col>
      <xdr:colOff>38100</xdr:colOff>
      <xdr:row>191</xdr:row>
      <xdr:rowOff>38100</xdr:rowOff>
    </xdr:from>
    <xdr:to>
      <xdr:col>2</xdr:col>
      <xdr:colOff>1181100</xdr:colOff>
      <xdr:row>191</xdr:row>
      <xdr:rowOff>647700</xdr:rowOff>
    </xdr:to>
    <xdr:pic>
      <xdr:nvPicPr>
        <xdr:cNvPr id="1153" name="Picture 129" descr=""/>
        <xdr:cNvPicPr>
          <a:picLocks noChangeAspect="1" noChangeArrowheads="1"/>
        </xdr:cNvPicPr>
      </xdr:nvPicPr>
      <xdr:blipFill>
        <a:blip r:embed="R81dffdfb93874cb2" cstate="print"/>
        <a:srcRect/>
        <a:stretch>
          <a:fillRect/>
        </a:stretch>
      </xdr:blipFill>
      <xdr:spPr bwMode="auto">
        <a:xfrm>
          <a:off x="0" y="0"/>
          <a:ext cx="1143000" cy="609600"/>
        </a:xfrm>
        <a:prstGeom prst="rect">
          <a:avLst/>
        </a:prstGeom>
        <a:noFill/>
      </xdr:spPr>
    </xdr:pic>
    <xdr:clientData/>
  </xdr:twoCellAnchor>
  <xdr:twoCellAnchor editAs="oneCell">
    <xdr:from>
      <xdr:col>2</xdr:col>
      <xdr:colOff>38100</xdr:colOff>
      <xdr:row>192</xdr:row>
      <xdr:rowOff>38100</xdr:rowOff>
    </xdr:from>
    <xdr:to>
      <xdr:col>2</xdr:col>
      <xdr:colOff>1181100</xdr:colOff>
      <xdr:row>192</xdr:row>
      <xdr:rowOff>742950</xdr:rowOff>
    </xdr:to>
    <xdr:pic>
      <xdr:nvPicPr>
        <xdr:cNvPr id="1154" name="Picture 130" descr=""/>
        <xdr:cNvPicPr>
          <a:picLocks noChangeAspect="1" noChangeArrowheads="1"/>
        </xdr:cNvPicPr>
      </xdr:nvPicPr>
      <xdr:blipFill>
        <a:blip r:embed="Re9e52461318843dd" cstate="print"/>
        <a:srcRect/>
        <a:stretch>
          <a:fillRect/>
        </a:stretch>
      </xdr:blipFill>
      <xdr:spPr bwMode="auto">
        <a:xfrm>
          <a:off x="0" y="0"/>
          <a:ext cx="1143000" cy="704850"/>
        </a:xfrm>
        <a:prstGeom prst="rect">
          <a:avLst/>
        </a:prstGeom>
        <a:noFill/>
      </xdr:spPr>
    </xdr:pic>
    <xdr:clientData/>
  </xdr:twoCellAnchor>
  <xdr:twoCellAnchor editAs="oneCell">
    <xdr:from>
      <xdr:col>2</xdr:col>
      <xdr:colOff>38100</xdr:colOff>
      <xdr:row>193</xdr:row>
      <xdr:rowOff>38100</xdr:rowOff>
    </xdr:from>
    <xdr:to>
      <xdr:col>2</xdr:col>
      <xdr:colOff>1181100</xdr:colOff>
      <xdr:row>193</xdr:row>
      <xdr:rowOff>1181100</xdr:rowOff>
    </xdr:to>
    <xdr:pic>
      <xdr:nvPicPr>
        <xdr:cNvPr id="1155" name="Picture 131" descr=""/>
        <xdr:cNvPicPr>
          <a:picLocks noChangeAspect="1" noChangeArrowheads="1"/>
        </xdr:cNvPicPr>
      </xdr:nvPicPr>
      <xdr:blipFill>
        <a:blip r:embed="Rda48181e48e54f4d"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194</xdr:row>
      <xdr:rowOff>38100</xdr:rowOff>
    </xdr:from>
    <xdr:to>
      <xdr:col>2</xdr:col>
      <xdr:colOff>1181100</xdr:colOff>
      <xdr:row>194</xdr:row>
      <xdr:rowOff>923925</xdr:rowOff>
    </xdr:to>
    <xdr:pic>
      <xdr:nvPicPr>
        <xdr:cNvPr id="1156" name="Picture 132" descr=""/>
        <xdr:cNvPicPr>
          <a:picLocks noChangeAspect="1" noChangeArrowheads="1"/>
        </xdr:cNvPicPr>
      </xdr:nvPicPr>
      <xdr:blipFill>
        <a:blip r:embed="R456c3c903d264bde" cstate="print"/>
        <a:srcRect/>
        <a:stretch>
          <a:fillRect/>
        </a:stretch>
      </xdr:blipFill>
      <xdr:spPr bwMode="auto">
        <a:xfrm>
          <a:off x="0" y="0"/>
          <a:ext cx="1143000" cy="885825"/>
        </a:xfrm>
        <a:prstGeom prst="rect">
          <a:avLst/>
        </a:prstGeom>
        <a:noFill/>
      </xdr:spPr>
    </xdr:pic>
    <xdr:clientData/>
  </xdr:twoCellAnchor>
  <xdr:twoCellAnchor editAs="oneCell">
    <xdr:from>
      <xdr:col>2</xdr:col>
      <xdr:colOff>38100</xdr:colOff>
      <xdr:row>195</xdr:row>
      <xdr:rowOff>38100</xdr:rowOff>
    </xdr:from>
    <xdr:to>
      <xdr:col>2</xdr:col>
      <xdr:colOff>85077300</xdr:colOff>
      <xdr:row>195</xdr:row>
      <xdr:rowOff>109766100</xdr:rowOff>
    </xdr:to>
    <xdr:pic>
      <xdr:nvPicPr>
        <xdr:cNvPr id="1157" name="Picture 133" descr=""/>
        <xdr:cNvPicPr>
          <a:picLocks noChangeAspect="1" noChangeArrowheads="1"/>
        </xdr:cNvPicPr>
      </xdr:nvPicPr>
      <xdr:blipFill>
        <a:blip r:embed="Ra1e5e0981f55459e" cstate="print"/>
        <a:srcRect/>
        <a:stretch>
          <a:fillRect/>
        </a:stretch>
      </xdr:blipFill>
      <xdr:spPr bwMode="auto">
        <a:xfrm>
          <a:off x="0" y="0"/>
          <a:ext cx="85039200" cy="109728000"/>
        </a:xfrm>
        <a:prstGeom prst="rect">
          <a:avLst/>
        </a:prstGeom>
        <a:noFill/>
      </xdr:spPr>
    </xdr:pic>
    <xdr:clientData/>
  </xdr:twoCellAnchor>
  <xdr:twoCellAnchor editAs="oneCell">
    <xdr:from>
      <xdr:col>2</xdr:col>
      <xdr:colOff>38100</xdr:colOff>
      <xdr:row>197</xdr:row>
      <xdr:rowOff>38100</xdr:rowOff>
    </xdr:from>
    <xdr:to>
      <xdr:col>2</xdr:col>
      <xdr:colOff>676275</xdr:colOff>
      <xdr:row>197</xdr:row>
      <xdr:rowOff>1181100</xdr:rowOff>
    </xdr:to>
    <xdr:pic>
      <xdr:nvPicPr>
        <xdr:cNvPr id="1158" name="Picture 134" descr=""/>
        <xdr:cNvPicPr>
          <a:picLocks noChangeAspect="1" noChangeArrowheads="1"/>
        </xdr:cNvPicPr>
      </xdr:nvPicPr>
      <xdr:blipFill>
        <a:blip r:embed="Rd62e6532be3b4a55" cstate="print"/>
        <a:srcRect/>
        <a:stretch>
          <a:fillRect/>
        </a:stretch>
      </xdr:blipFill>
      <xdr:spPr bwMode="auto">
        <a:xfrm>
          <a:off x="0" y="0"/>
          <a:ext cx="638175" cy="1143000"/>
        </a:xfrm>
        <a:prstGeom prst="rect">
          <a:avLst/>
        </a:prstGeom>
        <a:noFill/>
      </xdr:spPr>
    </xdr:pic>
    <xdr:clientData/>
  </xdr:twoCellAnchor>
  <xdr:twoCellAnchor editAs="oneCell">
    <xdr:from>
      <xdr:col>2</xdr:col>
      <xdr:colOff>38100</xdr:colOff>
      <xdr:row>198</xdr:row>
      <xdr:rowOff>38100</xdr:rowOff>
    </xdr:from>
    <xdr:to>
      <xdr:col>2</xdr:col>
      <xdr:colOff>952500</xdr:colOff>
      <xdr:row>198</xdr:row>
      <xdr:rowOff>723900</xdr:rowOff>
    </xdr:to>
    <xdr:pic>
      <xdr:nvPicPr>
        <xdr:cNvPr id="1159" name="Picture 135" descr=""/>
        <xdr:cNvPicPr>
          <a:picLocks noChangeAspect="1" noChangeArrowheads="1"/>
        </xdr:cNvPicPr>
      </xdr:nvPicPr>
      <xdr:blipFill>
        <a:blip r:embed="Rbc4d17eaaa8f425a" cstate="print"/>
        <a:srcRect/>
        <a:stretch>
          <a:fillRect/>
        </a:stretch>
      </xdr:blipFill>
      <xdr:spPr bwMode="auto">
        <a:xfrm>
          <a:off x="0" y="0"/>
          <a:ext cx="914400" cy="685800"/>
        </a:xfrm>
        <a:prstGeom prst="rect">
          <a:avLst/>
        </a:prstGeom>
        <a:noFill/>
      </xdr:spPr>
    </xdr:pic>
    <xdr:clientData/>
  </xdr:twoCellAnchor>
  <xdr:twoCellAnchor editAs="oneCell">
    <xdr:from>
      <xdr:col>2</xdr:col>
      <xdr:colOff>38100</xdr:colOff>
      <xdr:row>199</xdr:row>
      <xdr:rowOff>38100</xdr:rowOff>
    </xdr:from>
    <xdr:to>
      <xdr:col>2</xdr:col>
      <xdr:colOff>404220</xdr:colOff>
      <xdr:row>199</xdr:row>
      <xdr:rowOff>404220</xdr:rowOff>
    </xdr:to>
    <xdr:pic>
      <xdr:nvPicPr>
        <xdr:cNvPr id="1160" name="Picture 136" descr=""/>
        <xdr:cNvPicPr>
          <a:picLocks noChangeAspect="1" noChangeArrowheads="1"/>
        </xdr:cNvPicPr>
      </xdr:nvPicPr>
      <xdr:blipFill>
        <a:blip r:embed="Reacc14b46c1c47d7" cstate="print"/>
        <a:srcRect/>
        <a:stretch>
          <a:fillRect/>
        </a:stretch>
      </xdr:blipFill>
      <xdr:spPr bwMode="auto">
        <a:xfrm>
          <a:off x="0" y="0"/>
          <a:ext cx="366120" cy="366120"/>
        </a:xfrm>
        <a:prstGeom prst="rect">
          <a:avLst/>
        </a:prstGeom>
        <a:noFill/>
      </xdr:spPr>
    </xdr:pic>
    <xdr:clientData/>
  </xdr:twoCellAnchor>
  <xdr:twoCellAnchor editAs="oneCell">
    <xdr:from>
      <xdr:col>2</xdr:col>
      <xdr:colOff>38100</xdr:colOff>
      <xdr:row>200</xdr:row>
      <xdr:rowOff>38100</xdr:rowOff>
    </xdr:from>
    <xdr:to>
      <xdr:col>2</xdr:col>
      <xdr:colOff>546060</xdr:colOff>
      <xdr:row>200</xdr:row>
      <xdr:rowOff>355575</xdr:rowOff>
    </xdr:to>
    <xdr:pic>
      <xdr:nvPicPr>
        <xdr:cNvPr id="1161" name="Picture 137" descr=""/>
        <xdr:cNvPicPr>
          <a:picLocks noChangeAspect="1" noChangeArrowheads="1"/>
        </xdr:cNvPicPr>
      </xdr:nvPicPr>
      <xdr:blipFill>
        <a:blip r:embed="R67a73f4f350a433b" cstate="print"/>
        <a:srcRect/>
        <a:stretch>
          <a:fillRect/>
        </a:stretch>
      </xdr:blipFill>
      <xdr:spPr bwMode="auto">
        <a:xfrm>
          <a:off x="0" y="0"/>
          <a:ext cx="507960" cy="317475"/>
        </a:xfrm>
        <a:prstGeom prst="rect">
          <a:avLst/>
        </a:prstGeom>
        <a:noFill/>
      </xdr:spPr>
    </xdr:pic>
    <xdr:clientData/>
  </xdr:twoCellAnchor>
  <xdr:twoCellAnchor editAs="oneCell">
    <xdr:from>
      <xdr:col>2</xdr:col>
      <xdr:colOff>38100</xdr:colOff>
      <xdr:row>202</xdr:row>
      <xdr:rowOff>38100</xdr:rowOff>
    </xdr:from>
    <xdr:to>
      <xdr:col>2</xdr:col>
      <xdr:colOff>1181100</xdr:colOff>
      <xdr:row>202</xdr:row>
      <xdr:rowOff>876300</xdr:rowOff>
    </xdr:to>
    <xdr:pic>
      <xdr:nvPicPr>
        <xdr:cNvPr id="1162" name="Picture 138" descr=""/>
        <xdr:cNvPicPr>
          <a:picLocks noChangeAspect="1" noChangeArrowheads="1"/>
        </xdr:cNvPicPr>
      </xdr:nvPicPr>
      <xdr:blipFill>
        <a:blip r:embed="Ra010d3790d8c408a" cstate="print"/>
        <a:srcRect/>
        <a:stretch>
          <a:fillRect/>
        </a:stretch>
      </xdr:blipFill>
      <xdr:spPr bwMode="auto">
        <a:xfrm>
          <a:off x="0" y="0"/>
          <a:ext cx="1143000" cy="838200"/>
        </a:xfrm>
        <a:prstGeom prst="rect">
          <a:avLst/>
        </a:prstGeom>
        <a:noFill/>
      </xdr:spPr>
    </xdr:pic>
    <xdr:clientData/>
  </xdr:twoCellAnchor>
  <xdr:twoCellAnchor editAs="oneCell">
    <xdr:from>
      <xdr:col>2</xdr:col>
      <xdr:colOff>38100</xdr:colOff>
      <xdr:row>204</xdr:row>
      <xdr:rowOff>38100</xdr:rowOff>
    </xdr:from>
    <xdr:to>
      <xdr:col>2</xdr:col>
      <xdr:colOff>1181100</xdr:colOff>
      <xdr:row>204</xdr:row>
      <xdr:rowOff>457200</xdr:rowOff>
    </xdr:to>
    <xdr:pic>
      <xdr:nvPicPr>
        <xdr:cNvPr id="1163" name="Picture 139" descr=""/>
        <xdr:cNvPicPr>
          <a:picLocks noChangeAspect="1" noChangeArrowheads="1"/>
        </xdr:cNvPicPr>
      </xdr:nvPicPr>
      <xdr:blipFill>
        <a:blip r:embed="R5757e21dc1c54b72" cstate="print"/>
        <a:srcRect/>
        <a:stretch>
          <a:fillRect/>
        </a:stretch>
      </xdr:blipFill>
      <xdr:spPr bwMode="auto">
        <a:xfrm>
          <a:off x="0" y="0"/>
          <a:ext cx="1143000" cy="419100"/>
        </a:xfrm>
        <a:prstGeom prst="rect">
          <a:avLst/>
        </a:prstGeom>
        <a:noFill/>
      </xdr:spPr>
    </xdr:pic>
    <xdr:clientData/>
  </xdr:twoCellAnchor>
  <xdr:twoCellAnchor editAs="oneCell">
    <xdr:from>
      <xdr:col>2</xdr:col>
      <xdr:colOff>38100</xdr:colOff>
      <xdr:row>206</xdr:row>
      <xdr:rowOff>38100</xdr:rowOff>
    </xdr:from>
    <xdr:to>
      <xdr:col>2</xdr:col>
      <xdr:colOff>769620</xdr:colOff>
      <xdr:row>206</xdr:row>
      <xdr:rowOff>495300</xdr:rowOff>
    </xdr:to>
    <xdr:pic>
      <xdr:nvPicPr>
        <xdr:cNvPr id="1164" name="Picture 140" descr=""/>
        <xdr:cNvPicPr>
          <a:picLocks noChangeAspect="1" noChangeArrowheads="1"/>
        </xdr:cNvPicPr>
      </xdr:nvPicPr>
      <xdr:blipFill>
        <a:blip r:embed="R2673d4edb9534a0c" cstate="print"/>
        <a:srcRect/>
        <a:stretch>
          <a:fillRect/>
        </a:stretch>
      </xdr:blipFill>
      <xdr:spPr bwMode="auto">
        <a:xfrm>
          <a:off x="0" y="0"/>
          <a:ext cx="731520" cy="457200"/>
        </a:xfrm>
        <a:prstGeom prst="rect">
          <a:avLst/>
        </a:prstGeom>
        <a:noFill/>
      </xdr:spPr>
    </xdr:pic>
    <xdr:clientData/>
  </xdr:twoCellAnchor>
  <xdr:twoCellAnchor editAs="oneCell">
    <xdr:from>
      <xdr:col>2</xdr:col>
      <xdr:colOff>38100</xdr:colOff>
      <xdr:row>208</xdr:row>
      <xdr:rowOff>38100</xdr:rowOff>
    </xdr:from>
    <xdr:to>
      <xdr:col>2</xdr:col>
      <xdr:colOff>1181100</xdr:colOff>
      <xdr:row>208</xdr:row>
      <xdr:rowOff>895350</xdr:rowOff>
    </xdr:to>
    <xdr:pic>
      <xdr:nvPicPr>
        <xdr:cNvPr id="1165" name="Picture 141" descr=""/>
        <xdr:cNvPicPr>
          <a:picLocks noChangeAspect="1" noChangeArrowheads="1"/>
        </xdr:cNvPicPr>
      </xdr:nvPicPr>
      <xdr:blipFill>
        <a:blip r:embed="Ra127c73d19584c5b" cstate="print"/>
        <a:srcRect/>
        <a:stretch>
          <a:fillRect/>
        </a:stretch>
      </xdr:blipFill>
      <xdr:spPr bwMode="auto">
        <a:xfrm>
          <a:off x="0" y="0"/>
          <a:ext cx="1143000" cy="857250"/>
        </a:xfrm>
        <a:prstGeom prst="rect">
          <a:avLst/>
        </a:prstGeom>
        <a:noFill/>
      </xdr:spPr>
    </xdr:pic>
    <xdr:clientData/>
  </xdr:twoCellAnchor>
  <xdr:twoCellAnchor editAs="oneCell">
    <xdr:from>
      <xdr:col>2</xdr:col>
      <xdr:colOff>38100</xdr:colOff>
      <xdr:row>209</xdr:row>
      <xdr:rowOff>38100</xdr:rowOff>
    </xdr:from>
    <xdr:to>
      <xdr:col>2</xdr:col>
      <xdr:colOff>403860</xdr:colOff>
      <xdr:row>209</xdr:row>
      <xdr:rowOff>403860</xdr:rowOff>
    </xdr:to>
    <xdr:pic>
      <xdr:nvPicPr>
        <xdr:cNvPr id="1166" name="Picture 142" descr=""/>
        <xdr:cNvPicPr>
          <a:picLocks noChangeAspect="1" noChangeArrowheads="1"/>
        </xdr:cNvPicPr>
      </xdr:nvPicPr>
      <xdr:blipFill>
        <a:blip r:embed="R4d20d31b022e4510"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210</xdr:row>
      <xdr:rowOff>38100</xdr:rowOff>
    </xdr:from>
    <xdr:to>
      <xdr:col>2</xdr:col>
      <xdr:colOff>1181100</xdr:colOff>
      <xdr:row>210</xdr:row>
      <xdr:rowOff>838200</xdr:rowOff>
    </xdr:to>
    <xdr:pic>
      <xdr:nvPicPr>
        <xdr:cNvPr id="1167" name="Picture 143" descr=""/>
        <xdr:cNvPicPr>
          <a:picLocks noChangeAspect="1" noChangeArrowheads="1"/>
        </xdr:cNvPicPr>
      </xdr:nvPicPr>
      <xdr:blipFill>
        <a:blip r:embed="R46521e901d5d4ef7" cstate="print"/>
        <a:srcRect/>
        <a:stretch>
          <a:fillRect/>
        </a:stretch>
      </xdr:blipFill>
      <xdr:spPr bwMode="auto">
        <a:xfrm>
          <a:off x="0" y="0"/>
          <a:ext cx="1143000" cy="800100"/>
        </a:xfrm>
        <a:prstGeom prst="rect">
          <a:avLst/>
        </a:prstGeom>
        <a:noFill/>
      </xdr:spPr>
    </xdr:pic>
    <xdr:clientData/>
  </xdr:twoCellAnchor>
  <xdr:twoCellAnchor editAs="oneCell">
    <xdr:from>
      <xdr:col>2</xdr:col>
      <xdr:colOff>38100</xdr:colOff>
      <xdr:row>211</xdr:row>
      <xdr:rowOff>38100</xdr:rowOff>
    </xdr:from>
    <xdr:to>
      <xdr:col>2</xdr:col>
      <xdr:colOff>1205700</xdr:colOff>
      <xdr:row>211</xdr:row>
      <xdr:rowOff>1205700</xdr:rowOff>
    </xdr:to>
    <xdr:pic>
      <xdr:nvPicPr>
        <xdr:cNvPr id="1168" name="Picture 144" descr=""/>
        <xdr:cNvPicPr>
          <a:picLocks noChangeAspect="1" noChangeArrowheads="1"/>
        </xdr:cNvPicPr>
      </xdr:nvPicPr>
      <xdr:blipFill>
        <a:blip r:embed="R40d4aa7ddcd34b59" cstate="print"/>
        <a:srcRect/>
        <a:stretch>
          <a:fillRect/>
        </a:stretch>
      </xdr:blipFill>
      <xdr:spPr bwMode="auto">
        <a:xfrm>
          <a:off x="0" y="0"/>
          <a:ext cx="1167600" cy="1167600"/>
        </a:xfrm>
        <a:prstGeom prst="rect">
          <a:avLst/>
        </a:prstGeom>
        <a:noFill/>
      </xdr:spPr>
    </xdr:pic>
    <xdr:clientData/>
  </xdr:twoCellAnchor>
  <xdr:twoCellAnchor editAs="oneCell">
    <xdr:from>
      <xdr:col>2</xdr:col>
      <xdr:colOff>38100</xdr:colOff>
      <xdr:row>212</xdr:row>
      <xdr:rowOff>38100</xdr:rowOff>
    </xdr:from>
    <xdr:to>
      <xdr:col>2</xdr:col>
      <xdr:colOff>769620</xdr:colOff>
      <xdr:row>212</xdr:row>
      <xdr:rowOff>769620</xdr:rowOff>
    </xdr:to>
    <xdr:pic>
      <xdr:nvPicPr>
        <xdr:cNvPr id="1169" name="Picture 145" descr=""/>
        <xdr:cNvPicPr>
          <a:picLocks noChangeAspect="1" noChangeArrowheads="1"/>
        </xdr:cNvPicPr>
      </xdr:nvPicPr>
      <xdr:blipFill>
        <a:blip r:embed="R38412786b61845d0"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214</xdr:row>
      <xdr:rowOff>38100</xdr:rowOff>
    </xdr:from>
    <xdr:to>
      <xdr:col>2</xdr:col>
      <xdr:colOff>605028</xdr:colOff>
      <xdr:row>214</xdr:row>
      <xdr:rowOff>769620</xdr:rowOff>
    </xdr:to>
    <xdr:pic>
      <xdr:nvPicPr>
        <xdr:cNvPr id="1170" name="Picture 146" descr=""/>
        <xdr:cNvPicPr>
          <a:picLocks noChangeAspect="1" noChangeArrowheads="1"/>
        </xdr:cNvPicPr>
      </xdr:nvPicPr>
      <xdr:blipFill>
        <a:blip r:embed="R1a99534d0c53420a"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215</xdr:row>
      <xdr:rowOff>38100</xdr:rowOff>
    </xdr:from>
    <xdr:to>
      <xdr:col>2</xdr:col>
      <xdr:colOff>403860</xdr:colOff>
      <xdr:row>215</xdr:row>
      <xdr:rowOff>403860</xdr:rowOff>
    </xdr:to>
    <xdr:pic>
      <xdr:nvPicPr>
        <xdr:cNvPr id="1171" name="Picture 147" descr=""/>
        <xdr:cNvPicPr>
          <a:picLocks noChangeAspect="1" noChangeArrowheads="1"/>
        </xdr:cNvPicPr>
      </xdr:nvPicPr>
      <xdr:blipFill>
        <a:blip r:embed="R88f005329c194d23"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216</xdr:row>
      <xdr:rowOff>38100</xdr:rowOff>
    </xdr:from>
    <xdr:to>
      <xdr:col>2</xdr:col>
      <xdr:colOff>1181100</xdr:colOff>
      <xdr:row>216</xdr:row>
      <xdr:rowOff>523875</xdr:rowOff>
    </xdr:to>
    <xdr:pic>
      <xdr:nvPicPr>
        <xdr:cNvPr id="1172" name="Picture 148" descr=""/>
        <xdr:cNvPicPr>
          <a:picLocks noChangeAspect="1" noChangeArrowheads="1"/>
        </xdr:cNvPicPr>
      </xdr:nvPicPr>
      <xdr:blipFill>
        <a:blip r:embed="R92d48944cc8e4ca8" cstate="print"/>
        <a:srcRect/>
        <a:stretch>
          <a:fillRect/>
        </a:stretch>
      </xdr:blipFill>
      <xdr:spPr bwMode="auto">
        <a:xfrm>
          <a:off x="0" y="0"/>
          <a:ext cx="1143000" cy="485775"/>
        </a:xfrm>
        <a:prstGeom prst="rect">
          <a:avLst/>
        </a:prstGeom>
        <a:noFill/>
      </xdr:spPr>
    </xdr:pic>
    <xdr:clientData/>
  </xdr:twoCellAnchor>
  <xdr:twoCellAnchor editAs="oneCell">
    <xdr:from>
      <xdr:col>2</xdr:col>
      <xdr:colOff>38100</xdr:colOff>
      <xdr:row>217</xdr:row>
      <xdr:rowOff>38100</xdr:rowOff>
    </xdr:from>
    <xdr:to>
      <xdr:col>2</xdr:col>
      <xdr:colOff>770340</xdr:colOff>
      <xdr:row>217</xdr:row>
      <xdr:rowOff>770340</xdr:rowOff>
    </xdr:to>
    <xdr:pic>
      <xdr:nvPicPr>
        <xdr:cNvPr id="1173" name="Picture 149" descr=""/>
        <xdr:cNvPicPr>
          <a:picLocks noChangeAspect="1" noChangeArrowheads="1"/>
        </xdr:cNvPicPr>
      </xdr:nvPicPr>
      <xdr:blipFill>
        <a:blip r:embed="R496763d76e474096" cstate="print"/>
        <a:srcRect/>
        <a:stretch>
          <a:fillRect/>
        </a:stretch>
      </xdr:blipFill>
      <xdr:spPr bwMode="auto">
        <a:xfrm>
          <a:off x="0" y="0"/>
          <a:ext cx="732240" cy="732240"/>
        </a:xfrm>
        <a:prstGeom prst="rect">
          <a:avLst/>
        </a:prstGeom>
        <a:noFill/>
      </xdr:spPr>
    </xdr:pic>
    <xdr:clientData/>
  </xdr:twoCellAnchor>
  <xdr:twoCellAnchor editAs="oneCell">
    <xdr:from>
      <xdr:col>2</xdr:col>
      <xdr:colOff>38100</xdr:colOff>
      <xdr:row>218</xdr:row>
      <xdr:rowOff>38100</xdr:rowOff>
    </xdr:from>
    <xdr:to>
      <xdr:col>2</xdr:col>
      <xdr:colOff>1181100</xdr:colOff>
      <xdr:row>218</xdr:row>
      <xdr:rowOff>1085850</xdr:rowOff>
    </xdr:to>
    <xdr:pic>
      <xdr:nvPicPr>
        <xdr:cNvPr id="1174" name="Picture 150" descr=""/>
        <xdr:cNvPicPr>
          <a:picLocks noChangeAspect="1" noChangeArrowheads="1"/>
        </xdr:cNvPicPr>
      </xdr:nvPicPr>
      <xdr:blipFill>
        <a:blip r:embed="Rfcc5712d22ac4bc2" cstate="print"/>
        <a:srcRect/>
        <a:stretch>
          <a:fillRect/>
        </a:stretch>
      </xdr:blipFill>
      <xdr:spPr bwMode="auto">
        <a:xfrm>
          <a:off x="0" y="0"/>
          <a:ext cx="1143000" cy="1047750"/>
        </a:xfrm>
        <a:prstGeom prst="rect">
          <a:avLst/>
        </a:prstGeom>
        <a:noFill/>
      </xdr:spPr>
    </xdr:pic>
    <xdr:clientData/>
  </xdr:twoCellAnchor>
  <xdr:twoCellAnchor editAs="oneCell">
    <xdr:from>
      <xdr:col>2</xdr:col>
      <xdr:colOff>38100</xdr:colOff>
      <xdr:row>222</xdr:row>
      <xdr:rowOff>38100</xdr:rowOff>
    </xdr:from>
    <xdr:to>
      <xdr:col>2</xdr:col>
      <xdr:colOff>1181100</xdr:colOff>
      <xdr:row>222</xdr:row>
      <xdr:rowOff>847725</xdr:rowOff>
    </xdr:to>
    <xdr:pic>
      <xdr:nvPicPr>
        <xdr:cNvPr id="1175" name="Picture 151" descr=""/>
        <xdr:cNvPicPr>
          <a:picLocks noChangeAspect="1" noChangeArrowheads="1"/>
        </xdr:cNvPicPr>
      </xdr:nvPicPr>
      <xdr:blipFill>
        <a:blip r:embed="Re3189b79c88e4dd3" cstate="print"/>
        <a:srcRect/>
        <a:stretch>
          <a:fillRect/>
        </a:stretch>
      </xdr:blipFill>
      <xdr:spPr bwMode="auto">
        <a:xfrm>
          <a:off x="0" y="0"/>
          <a:ext cx="1143000" cy="809625"/>
        </a:xfrm>
        <a:prstGeom prst="rect">
          <a:avLst/>
        </a:prstGeom>
        <a:noFill/>
      </xdr:spPr>
    </xdr:pic>
    <xdr:clientData/>
  </xdr:twoCellAnchor>
  <xdr:twoCellAnchor editAs="oneCell">
    <xdr:from>
      <xdr:col>2</xdr:col>
      <xdr:colOff>38100</xdr:colOff>
      <xdr:row>223</xdr:row>
      <xdr:rowOff>38100</xdr:rowOff>
    </xdr:from>
    <xdr:to>
      <xdr:col>2</xdr:col>
      <xdr:colOff>1181100</xdr:colOff>
      <xdr:row>223</xdr:row>
      <xdr:rowOff>1181100</xdr:rowOff>
    </xdr:to>
    <xdr:pic>
      <xdr:nvPicPr>
        <xdr:cNvPr id="1176" name="Picture 152" descr=""/>
        <xdr:cNvPicPr>
          <a:picLocks noChangeAspect="1" noChangeArrowheads="1"/>
        </xdr:cNvPicPr>
      </xdr:nvPicPr>
      <xdr:blipFill>
        <a:blip r:embed="R25d36c9a51dd4594"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224</xdr:row>
      <xdr:rowOff>38100</xdr:rowOff>
    </xdr:from>
    <xdr:to>
      <xdr:col>2</xdr:col>
      <xdr:colOff>609600</xdr:colOff>
      <xdr:row>224</xdr:row>
      <xdr:rowOff>800100</xdr:rowOff>
    </xdr:to>
    <xdr:pic>
      <xdr:nvPicPr>
        <xdr:cNvPr id="1177" name="Picture 153" descr=""/>
        <xdr:cNvPicPr>
          <a:picLocks noChangeAspect="1" noChangeArrowheads="1"/>
        </xdr:cNvPicPr>
      </xdr:nvPicPr>
      <xdr:blipFill>
        <a:blip r:embed="R97e91b294f76467c" cstate="print"/>
        <a:srcRect/>
        <a:stretch>
          <a:fillRect/>
        </a:stretch>
      </xdr:blipFill>
      <xdr:spPr bwMode="auto">
        <a:xfrm>
          <a:off x="0" y="0"/>
          <a:ext cx="571500" cy="762000"/>
        </a:xfrm>
        <a:prstGeom prst="rect">
          <a:avLst/>
        </a:prstGeom>
        <a:noFill/>
      </xdr:spPr>
    </xdr:pic>
    <xdr:clientData/>
  </xdr:twoCellAnchor>
  <xdr:twoCellAnchor editAs="oneCell">
    <xdr:from>
      <xdr:col>2</xdr:col>
      <xdr:colOff>38100</xdr:colOff>
      <xdr:row>226</xdr:row>
      <xdr:rowOff>38100</xdr:rowOff>
    </xdr:from>
    <xdr:to>
      <xdr:col>2</xdr:col>
      <xdr:colOff>1181100</xdr:colOff>
      <xdr:row>226</xdr:row>
      <xdr:rowOff>1181100</xdr:rowOff>
    </xdr:to>
    <xdr:pic>
      <xdr:nvPicPr>
        <xdr:cNvPr id="1178" name="Picture 154" descr=""/>
        <xdr:cNvPicPr>
          <a:picLocks noChangeAspect="1" noChangeArrowheads="1"/>
        </xdr:cNvPicPr>
      </xdr:nvPicPr>
      <xdr:blipFill>
        <a:blip r:embed="Rf20b2fb295eb4f6a"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228</xdr:row>
      <xdr:rowOff>38100</xdr:rowOff>
    </xdr:from>
    <xdr:to>
      <xdr:col>2</xdr:col>
      <xdr:colOff>160020</xdr:colOff>
      <xdr:row>228</xdr:row>
      <xdr:rowOff>160020</xdr:rowOff>
    </xdr:to>
    <xdr:pic>
      <xdr:nvPicPr>
        <xdr:cNvPr id="1179" name="Picture 155" descr=""/>
        <xdr:cNvPicPr>
          <a:picLocks noChangeAspect="1" noChangeArrowheads="1"/>
        </xdr:cNvPicPr>
      </xdr:nvPicPr>
      <xdr:blipFill>
        <a:blip r:embed="Rc66053d33e8248ca" cstate="print"/>
        <a:srcRect/>
        <a:stretch>
          <a:fillRect/>
        </a:stretch>
      </xdr:blipFill>
      <xdr:spPr bwMode="auto">
        <a:xfrm>
          <a:off x="0" y="0"/>
          <a:ext cx="121920" cy="121920"/>
        </a:xfrm>
        <a:prstGeom prst="rect">
          <a:avLst/>
        </a:prstGeom>
        <a:noFill/>
      </xdr:spPr>
    </xdr:pic>
    <xdr:clientData/>
  </xdr:twoCellAnchor>
  <xdr:twoCellAnchor editAs="oneCell">
    <xdr:from>
      <xdr:col>2</xdr:col>
      <xdr:colOff>38100</xdr:colOff>
      <xdr:row>229</xdr:row>
      <xdr:rowOff>38100</xdr:rowOff>
    </xdr:from>
    <xdr:to>
      <xdr:col>2</xdr:col>
      <xdr:colOff>1181100</xdr:colOff>
      <xdr:row>229</xdr:row>
      <xdr:rowOff>609600</xdr:rowOff>
    </xdr:to>
    <xdr:pic>
      <xdr:nvPicPr>
        <xdr:cNvPr id="1180" name="Picture 156" descr=""/>
        <xdr:cNvPicPr>
          <a:picLocks noChangeAspect="1" noChangeArrowheads="1"/>
        </xdr:cNvPicPr>
      </xdr:nvPicPr>
      <xdr:blipFill>
        <a:blip r:embed="Rbb96ded13887490d"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230</xdr:row>
      <xdr:rowOff>38100</xdr:rowOff>
    </xdr:from>
    <xdr:to>
      <xdr:col>2</xdr:col>
      <xdr:colOff>1181100</xdr:colOff>
      <xdr:row>230</xdr:row>
      <xdr:rowOff>400050</xdr:rowOff>
    </xdr:to>
    <xdr:pic>
      <xdr:nvPicPr>
        <xdr:cNvPr id="1181" name="Picture 157" descr=""/>
        <xdr:cNvPicPr>
          <a:picLocks noChangeAspect="1" noChangeArrowheads="1"/>
        </xdr:cNvPicPr>
      </xdr:nvPicPr>
      <xdr:blipFill>
        <a:blip r:embed="R0fd2d31b3122496e" cstate="print"/>
        <a:srcRect/>
        <a:stretch>
          <a:fillRect/>
        </a:stretch>
      </xdr:blipFill>
      <xdr:spPr bwMode="auto">
        <a:xfrm>
          <a:off x="0" y="0"/>
          <a:ext cx="1143000" cy="361950"/>
        </a:xfrm>
        <a:prstGeom prst="rect">
          <a:avLst/>
        </a:prstGeom>
        <a:noFill/>
      </xdr:spPr>
    </xdr:pic>
    <xdr:clientData/>
  </xdr:twoCellAnchor>
  <xdr:twoCellAnchor editAs="oneCell">
    <xdr:from>
      <xdr:col>2</xdr:col>
      <xdr:colOff>38100</xdr:colOff>
      <xdr:row>231</xdr:row>
      <xdr:rowOff>38100</xdr:rowOff>
    </xdr:from>
    <xdr:to>
      <xdr:col>2</xdr:col>
      <xdr:colOff>1181100</xdr:colOff>
      <xdr:row>231</xdr:row>
      <xdr:rowOff>1181100</xdr:rowOff>
    </xdr:to>
    <xdr:pic>
      <xdr:nvPicPr>
        <xdr:cNvPr id="1182" name="Picture 158" descr=""/>
        <xdr:cNvPicPr>
          <a:picLocks noChangeAspect="1" noChangeArrowheads="1"/>
        </xdr:cNvPicPr>
      </xdr:nvPicPr>
      <xdr:blipFill>
        <a:blip r:embed="R9075480cd56841e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232</xdr:row>
      <xdr:rowOff>38100</xdr:rowOff>
    </xdr:from>
    <xdr:to>
      <xdr:col>2</xdr:col>
      <xdr:colOff>403860</xdr:colOff>
      <xdr:row>232</xdr:row>
      <xdr:rowOff>355092</xdr:rowOff>
    </xdr:to>
    <xdr:pic>
      <xdr:nvPicPr>
        <xdr:cNvPr id="1183" name="Picture 159" descr=""/>
        <xdr:cNvPicPr>
          <a:picLocks noChangeAspect="1" noChangeArrowheads="1"/>
        </xdr:cNvPicPr>
      </xdr:nvPicPr>
      <xdr:blipFill>
        <a:blip r:embed="R5cc380eb92cc40cf" cstate="print"/>
        <a:srcRect/>
        <a:stretch>
          <a:fillRect/>
        </a:stretch>
      </xdr:blipFill>
      <xdr:spPr bwMode="auto">
        <a:xfrm>
          <a:off x="0" y="0"/>
          <a:ext cx="365760" cy="316992"/>
        </a:xfrm>
        <a:prstGeom prst="rect">
          <a:avLst/>
        </a:prstGeom>
        <a:noFill/>
      </xdr:spPr>
    </xdr:pic>
    <xdr:clientData/>
  </xdr:twoCellAnchor>
  <xdr:twoCellAnchor editAs="oneCell">
    <xdr:from>
      <xdr:col>2</xdr:col>
      <xdr:colOff>38100</xdr:colOff>
      <xdr:row>233</xdr:row>
      <xdr:rowOff>38100</xdr:rowOff>
    </xdr:from>
    <xdr:to>
      <xdr:col>2</xdr:col>
      <xdr:colOff>1181100</xdr:colOff>
      <xdr:row>233</xdr:row>
      <xdr:rowOff>600075</xdr:rowOff>
    </xdr:to>
    <xdr:pic>
      <xdr:nvPicPr>
        <xdr:cNvPr id="1184" name="Picture 160" descr=""/>
        <xdr:cNvPicPr>
          <a:picLocks noChangeAspect="1" noChangeArrowheads="1"/>
        </xdr:cNvPicPr>
      </xdr:nvPicPr>
      <xdr:blipFill>
        <a:blip r:embed="Rb20a0c1b895846fb" cstate="print"/>
        <a:srcRect/>
        <a:stretch>
          <a:fillRect/>
        </a:stretch>
      </xdr:blipFill>
      <xdr:spPr bwMode="auto">
        <a:xfrm>
          <a:off x="0" y="0"/>
          <a:ext cx="1143000" cy="561975"/>
        </a:xfrm>
        <a:prstGeom prst="rect">
          <a:avLst/>
        </a:prstGeom>
        <a:noFill/>
      </xdr:spPr>
    </xdr:pic>
    <xdr:clientData/>
  </xdr:twoCellAnchor>
  <xdr:twoCellAnchor editAs="oneCell">
    <xdr:from>
      <xdr:col>2</xdr:col>
      <xdr:colOff>38100</xdr:colOff>
      <xdr:row>234</xdr:row>
      <xdr:rowOff>38100</xdr:rowOff>
    </xdr:from>
    <xdr:to>
      <xdr:col>2</xdr:col>
      <xdr:colOff>769620</xdr:colOff>
      <xdr:row>234</xdr:row>
      <xdr:rowOff>769620</xdr:rowOff>
    </xdr:to>
    <xdr:pic>
      <xdr:nvPicPr>
        <xdr:cNvPr id="1185" name="Picture 161" descr=""/>
        <xdr:cNvPicPr>
          <a:picLocks noChangeAspect="1" noChangeArrowheads="1"/>
        </xdr:cNvPicPr>
      </xdr:nvPicPr>
      <xdr:blipFill>
        <a:blip r:embed="R05bae996babd4946"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235</xdr:row>
      <xdr:rowOff>38100</xdr:rowOff>
    </xdr:from>
    <xdr:to>
      <xdr:col>2</xdr:col>
      <xdr:colOff>1181100</xdr:colOff>
      <xdr:row>235</xdr:row>
      <xdr:rowOff>962025</xdr:rowOff>
    </xdr:to>
    <xdr:pic>
      <xdr:nvPicPr>
        <xdr:cNvPr id="1186" name="Picture 162" descr=""/>
        <xdr:cNvPicPr>
          <a:picLocks noChangeAspect="1" noChangeArrowheads="1"/>
        </xdr:cNvPicPr>
      </xdr:nvPicPr>
      <xdr:blipFill>
        <a:blip r:embed="R95bfa54687014fef" cstate="print"/>
        <a:srcRect/>
        <a:stretch>
          <a:fillRect/>
        </a:stretch>
      </xdr:blipFill>
      <xdr:spPr bwMode="auto">
        <a:xfrm>
          <a:off x="0" y="0"/>
          <a:ext cx="1143000" cy="923925"/>
        </a:xfrm>
        <a:prstGeom prst="rect">
          <a:avLst/>
        </a:prstGeom>
        <a:noFill/>
      </xdr:spPr>
    </xdr:pic>
    <xdr:clientData/>
  </xdr:twoCellAnchor>
  <xdr:twoCellAnchor editAs="oneCell">
    <xdr:from>
      <xdr:col>2</xdr:col>
      <xdr:colOff>38100</xdr:colOff>
      <xdr:row>236</xdr:row>
      <xdr:rowOff>38100</xdr:rowOff>
    </xdr:from>
    <xdr:to>
      <xdr:col>2</xdr:col>
      <xdr:colOff>1076325</xdr:colOff>
      <xdr:row>236</xdr:row>
      <xdr:rowOff>1181100</xdr:rowOff>
    </xdr:to>
    <xdr:pic>
      <xdr:nvPicPr>
        <xdr:cNvPr id="1187" name="Picture 163" descr=""/>
        <xdr:cNvPicPr>
          <a:picLocks noChangeAspect="1" noChangeArrowheads="1"/>
        </xdr:cNvPicPr>
      </xdr:nvPicPr>
      <xdr:blipFill>
        <a:blip r:embed="Rd473b5f419414074" cstate="print"/>
        <a:srcRect/>
        <a:stretch>
          <a:fillRect/>
        </a:stretch>
      </xdr:blipFill>
      <xdr:spPr bwMode="auto">
        <a:xfrm>
          <a:off x="0" y="0"/>
          <a:ext cx="1038225" cy="1143000"/>
        </a:xfrm>
        <a:prstGeom prst="rect">
          <a:avLst/>
        </a:prstGeom>
        <a:noFill/>
      </xdr:spPr>
    </xdr:pic>
    <xdr:clientData/>
  </xdr:twoCellAnchor>
  <xdr:twoCellAnchor editAs="oneCell">
    <xdr:from>
      <xdr:col>2</xdr:col>
      <xdr:colOff>38100</xdr:colOff>
      <xdr:row>237</xdr:row>
      <xdr:rowOff>38100</xdr:rowOff>
    </xdr:from>
    <xdr:to>
      <xdr:col>2</xdr:col>
      <xdr:colOff>403860</xdr:colOff>
      <xdr:row>237</xdr:row>
      <xdr:rowOff>403860</xdr:rowOff>
    </xdr:to>
    <xdr:pic>
      <xdr:nvPicPr>
        <xdr:cNvPr id="1188" name="Picture 164" descr=""/>
        <xdr:cNvPicPr>
          <a:picLocks noChangeAspect="1" noChangeArrowheads="1"/>
        </xdr:cNvPicPr>
      </xdr:nvPicPr>
      <xdr:blipFill>
        <a:blip r:embed="R32fb386f8fe04070"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239</xdr:row>
      <xdr:rowOff>38100</xdr:rowOff>
    </xdr:from>
    <xdr:to>
      <xdr:col>2</xdr:col>
      <xdr:colOff>109766100</xdr:colOff>
      <xdr:row>239</xdr:row>
      <xdr:rowOff>109766100</xdr:rowOff>
    </xdr:to>
    <xdr:pic>
      <xdr:nvPicPr>
        <xdr:cNvPr id="1189" name="Picture 165" descr=""/>
        <xdr:cNvPicPr>
          <a:picLocks noChangeAspect="1" noChangeArrowheads="1"/>
        </xdr:cNvPicPr>
      </xdr:nvPicPr>
      <xdr:blipFill>
        <a:blip r:embed="R175fb6c27abe4072" cstate="print"/>
        <a:srcRect/>
        <a:stretch>
          <a:fillRect/>
        </a:stretch>
      </xdr:blipFill>
      <xdr:spPr bwMode="auto">
        <a:xfrm>
          <a:off x="0" y="0"/>
          <a:ext cx="109728000" cy="109728000"/>
        </a:xfrm>
        <a:prstGeom prst="rect">
          <a:avLst/>
        </a:prstGeom>
        <a:noFill/>
      </xdr:spPr>
    </xdr:pic>
    <xdr:clientData/>
  </xdr:twoCellAnchor>
  <xdr:twoCellAnchor editAs="oneCell">
    <xdr:from>
      <xdr:col>2</xdr:col>
      <xdr:colOff>38100</xdr:colOff>
      <xdr:row>240</xdr:row>
      <xdr:rowOff>38100</xdr:rowOff>
    </xdr:from>
    <xdr:to>
      <xdr:col>2</xdr:col>
      <xdr:colOff>1181100</xdr:colOff>
      <xdr:row>240</xdr:row>
      <xdr:rowOff>1181100</xdr:rowOff>
    </xdr:to>
    <xdr:pic>
      <xdr:nvPicPr>
        <xdr:cNvPr id="1190" name="Picture 166" descr=""/>
        <xdr:cNvPicPr>
          <a:picLocks noChangeAspect="1" noChangeArrowheads="1"/>
        </xdr:cNvPicPr>
      </xdr:nvPicPr>
      <xdr:blipFill>
        <a:blip r:embed="R69f7aebf74ad4d1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241</xdr:row>
      <xdr:rowOff>38100</xdr:rowOff>
    </xdr:from>
    <xdr:to>
      <xdr:col>2</xdr:col>
      <xdr:colOff>1181100</xdr:colOff>
      <xdr:row>241</xdr:row>
      <xdr:rowOff>914400</xdr:rowOff>
    </xdr:to>
    <xdr:pic>
      <xdr:nvPicPr>
        <xdr:cNvPr id="1191" name="Picture 167" descr=""/>
        <xdr:cNvPicPr>
          <a:picLocks noChangeAspect="1" noChangeArrowheads="1"/>
        </xdr:cNvPicPr>
      </xdr:nvPicPr>
      <xdr:blipFill>
        <a:blip r:embed="R6b3e0458843c4841" cstate="print"/>
        <a:srcRect/>
        <a:stretch>
          <a:fillRect/>
        </a:stretch>
      </xdr:blipFill>
      <xdr:spPr bwMode="auto">
        <a:xfrm>
          <a:off x="0" y="0"/>
          <a:ext cx="1143000" cy="876300"/>
        </a:xfrm>
        <a:prstGeom prst="rect">
          <a:avLst/>
        </a:prstGeom>
        <a:noFill/>
      </xdr:spPr>
    </xdr:pic>
    <xdr:clientData/>
  </xdr:twoCellAnchor>
  <xdr:twoCellAnchor editAs="oneCell">
    <xdr:from>
      <xdr:col>2</xdr:col>
      <xdr:colOff>38100</xdr:colOff>
      <xdr:row>242</xdr:row>
      <xdr:rowOff>38100</xdr:rowOff>
    </xdr:from>
    <xdr:to>
      <xdr:col>2</xdr:col>
      <xdr:colOff>1562100</xdr:colOff>
      <xdr:row>242</xdr:row>
      <xdr:rowOff>787400</xdr:rowOff>
    </xdr:to>
    <xdr:pic>
      <xdr:nvPicPr>
        <xdr:cNvPr id="1192" name="Picture 168" descr=""/>
        <xdr:cNvPicPr>
          <a:picLocks noChangeAspect="1" noChangeArrowheads="1"/>
        </xdr:cNvPicPr>
      </xdr:nvPicPr>
      <xdr:blipFill>
        <a:blip r:embed="R3d01c0b8ece84b42" cstate="print"/>
        <a:srcRect/>
        <a:stretch>
          <a:fillRect/>
        </a:stretch>
      </xdr:blipFill>
      <xdr:spPr bwMode="auto">
        <a:xfrm>
          <a:off x="0" y="0"/>
          <a:ext cx="1524000" cy="749300"/>
        </a:xfrm>
        <a:prstGeom prst="rect">
          <a:avLst/>
        </a:prstGeom>
        <a:noFill/>
      </xdr:spPr>
    </xdr:pic>
    <xdr:clientData/>
  </xdr:twoCellAnchor>
  <xdr:twoCellAnchor editAs="oneCell">
    <xdr:from>
      <xdr:col>2</xdr:col>
      <xdr:colOff>38100</xdr:colOff>
      <xdr:row>243</xdr:row>
      <xdr:rowOff>38100</xdr:rowOff>
    </xdr:from>
    <xdr:to>
      <xdr:col>2</xdr:col>
      <xdr:colOff>1562100</xdr:colOff>
      <xdr:row>243</xdr:row>
      <xdr:rowOff>787400</xdr:rowOff>
    </xdr:to>
    <xdr:pic>
      <xdr:nvPicPr>
        <xdr:cNvPr id="1193" name="Picture 169" descr=""/>
        <xdr:cNvPicPr>
          <a:picLocks noChangeAspect="1" noChangeArrowheads="1"/>
        </xdr:cNvPicPr>
      </xdr:nvPicPr>
      <xdr:blipFill>
        <a:blip r:embed="Rad20f9cacff94dc6" cstate="print"/>
        <a:srcRect/>
        <a:stretch>
          <a:fillRect/>
        </a:stretch>
      </xdr:blipFill>
      <xdr:spPr bwMode="auto">
        <a:xfrm>
          <a:off x="0" y="0"/>
          <a:ext cx="1524000" cy="749300"/>
        </a:xfrm>
        <a:prstGeom prst="rect">
          <a:avLst/>
        </a:prstGeom>
        <a:noFill/>
      </xdr:spPr>
    </xdr:pic>
    <xdr:clientData/>
  </xdr:twoCellAnchor>
  <xdr:twoCellAnchor editAs="oneCell">
    <xdr:from>
      <xdr:col>2</xdr:col>
      <xdr:colOff>38100</xdr:colOff>
      <xdr:row>245</xdr:row>
      <xdr:rowOff>38100</xdr:rowOff>
    </xdr:from>
    <xdr:to>
      <xdr:col>2</xdr:col>
      <xdr:colOff>762000</xdr:colOff>
      <xdr:row>245</xdr:row>
      <xdr:rowOff>952500</xdr:rowOff>
    </xdr:to>
    <xdr:pic>
      <xdr:nvPicPr>
        <xdr:cNvPr id="1194" name="Picture 170" descr=""/>
        <xdr:cNvPicPr>
          <a:picLocks noChangeAspect="1" noChangeArrowheads="1"/>
        </xdr:cNvPicPr>
      </xdr:nvPicPr>
      <xdr:blipFill>
        <a:blip r:embed="Rf174cca43fe74a3d" cstate="print"/>
        <a:srcRect/>
        <a:stretch>
          <a:fillRect/>
        </a:stretch>
      </xdr:blipFill>
      <xdr:spPr bwMode="auto">
        <a:xfrm>
          <a:off x="0" y="0"/>
          <a:ext cx="723900" cy="914400"/>
        </a:xfrm>
        <a:prstGeom prst="rect">
          <a:avLst/>
        </a:prstGeom>
        <a:noFill/>
      </xdr:spPr>
    </xdr:pic>
    <xdr:clientData/>
  </xdr:twoCellAnchor>
  <xdr:twoCellAnchor editAs="oneCell">
    <xdr:from>
      <xdr:col>2</xdr:col>
      <xdr:colOff>38100</xdr:colOff>
      <xdr:row>247</xdr:row>
      <xdr:rowOff>38100</xdr:rowOff>
    </xdr:from>
    <xdr:to>
      <xdr:col>2</xdr:col>
      <xdr:colOff>586740</xdr:colOff>
      <xdr:row>247</xdr:row>
      <xdr:rowOff>586740</xdr:rowOff>
    </xdr:to>
    <xdr:pic>
      <xdr:nvPicPr>
        <xdr:cNvPr id="1195" name="Picture 171" descr=""/>
        <xdr:cNvPicPr>
          <a:picLocks noChangeAspect="1" noChangeArrowheads="1"/>
        </xdr:cNvPicPr>
      </xdr:nvPicPr>
      <xdr:blipFill>
        <a:blip r:embed="Rbe3526a0461f4a48" cstate="print"/>
        <a:srcRect/>
        <a:stretch>
          <a:fillRect/>
        </a:stretch>
      </xdr:blipFill>
      <xdr:spPr bwMode="auto">
        <a:xfrm>
          <a:off x="0" y="0"/>
          <a:ext cx="548640" cy="548640"/>
        </a:xfrm>
        <a:prstGeom prst="rect">
          <a:avLst/>
        </a:prstGeom>
        <a:noFill/>
      </xdr:spPr>
    </xdr:pic>
    <xdr:clientData/>
  </xdr:twoCellAnchor>
  <xdr:twoCellAnchor editAs="oneCell">
    <xdr:from>
      <xdr:col>2</xdr:col>
      <xdr:colOff>38100</xdr:colOff>
      <xdr:row>248</xdr:row>
      <xdr:rowOff>38100</xdr:rowOff>
    </xdr:from>
    <xdr:to>
      <xdr:col>2</xdr:col>
      <xdr:colOff>1181100</xdr:colOff>
      <xdr:row>248</xdr:row>
      <xdr:rowOff>752475</xdr:rowOff>
    </xdr:to>
    <xdr:pic>
      <xdr:nvPicPr>
        <xdr:cNvPr id="1196" name="Picture 172" descr=""/>
        <xdr:cNvPicPr>
          <a:picLocks noChangeAspect="1" noChangeArrowheads="1"/>
        </xdr:cNvPicPr>
      </xdr:nvPicPr>
      <xdr:blipFill>
        <a:blip r:embed="R5aadcbcc13354027" cstate="print"/>
        <a:srcRect/>
        <a:stretch>
          <a:fillRect/>
        </a:stretch>
      </xdr:blipFill>
      <xdr:spPr bwMode="auto">
        <a:xfrm>
          <a:off x="0" y="0"/>
          <a:ext cx="1143000" cy="714375"/>
        </a:xfrm>
        <a:prstGeom prst="rect">
          <a:avLst/>
        </a:prstGeom>
        <a:noFill/>
      </xdr:spPr>
    </xdr:pic>
    <xdr:clientData/>
  </xdr:twoCellAnchor>
  <xdr:twoCellAnchor editAs="oneCell">
    <xdr:from>
      <xdr:col>2</xdr:col>
      <xdr:colOff>38100</xdr:colOff>
      <xdr:row>249</xdr:row>
      <xdr:rowOff>38100</xdr:rowOff>
    </xdr:from>
    <xdr:to>
      <xdr:col>2</xdr:col>
      <xdr:colOff>1181100</xdr:colOff>
      <xdr:row>249</xdr:row>
      <xdr:rowOff>1066800</xdr:rowOff>
    </xdr:to>
    <xdr:pic>
      <xdr:nvPicPr>
        <xdr:cNvPr id="1197" name="Picture 173" descr=""/>
        <xdr:cNvPicPr>
          <a:picLocks noChangeAspect="1" noChangeArrowheads="1"/>
        </xdr:cNvPicPr>
      </xdr:nvPicPr>
      <xdr:blipFill>
        <a:blip r:embed="Raeea0039396b4725" cstate="print"/>
        <a:srcRect/>
        <a:stretch>
          <a:fillRect/>
        </a:stretch>
      </xdr:blipFill>
      <xdr:spPr bwMode="auto">
        <a:xfrm>
          <a:off x="0" y="0"/>
          <a:ext cx="1143000" cy="1028700"/>
        </a:xfrm>
        <a:prstGeom prst="rect">
          <a:avLst/>
        </a:prstGeom>
        <a:noFill/>
      </xdr:spPr>
    </xdr:pic>
    <xdr:clientData/>
  </xdr:twoCellAnchor>
  <xdr:twoCellAnchor editAs="oneCell">
    <xdr:from>
      <xdr:col>2</xdr:col>
      <xdr:colOff>38100</xdr:colOff>
      <xdr:row>250</xdr:row>
      <xdr:rowOff>38100</xdr:rowOff>
    </xdr:from>
    <xdr:to>
      <xdr:col>2</xdr:col>
      <xdr:colOff>1181220</xdr:colOff>
      <xdr:row>250</xdr:row>
      <xdr:rowOff>1181220</xdr:rowOff>
    </xdr:to>
    <xdr:pic>
      <xdr:nvPicPr>
        <xdr:cNvPr id="1198" name="Picture 174" descr=""/>
        <xdr:cNvPicPr>
          <a:picLocks noChangeAspect="1" noChangeArrowheads="1"/>
        </xdr:cNvPicPr>
      </xdr:nvPicPr>
      <xdr:blipFill>
        <a:blip r:embed="Rdeb8931e5dbe4d46" cstate="print"/>
        <a:srcRect/>
        <a:stretch>
          <a:fillRect/>
        </a:stretch>
      </xdr:blipFill>
      <xdr:spPr bwMode="auto">
        <a:xfrm>
          <a:off x="0" y="0"/>
          <a:ext cx="1143120" cy="1143120"/>
        </a:xfrm>
        <a:prstGeom prst="rect">
          <a:avLst/>
        </a:prstGeom>
        <a:noFill/>
      </xdr:spPr>
    </xdr:pic>
    <xdr:clientData/>
  </xdr:twoCellAnchor>
  <xdr:twoCellAnchor editAs="oneCell">
    <xdr:from>
      <xdr:col>2</xdr:col>
      <xdr:colOff>38100</xdr:colOff>
      <xdr:row>251</xdr:row>
      <xdr:rowOff>38100</xdr:rowOff>
    </xdr:from>
    <xdr:to>
      <xdr:col>2</xdr:col>
      <xdr:colOff>1181100</xdr:colOff>
      <xdr:row>251</xdr:row>
      <xdr:rowOff>1181100</xdr:rowOff>
    </xdr:to>
    <xdr:pic>
      <xdr:nvPicPr>
        <xdr:cNvPr id="1199" name="Picture 175" descr=""/>
        <xdr:cNvPicPr>
          <a:picLocks noChangeAspect="1" noChangeArrowheads="1"/>
        </xdr:cNvPicPr>
      </xdr:nvPicPr>
      <xdr:blipFill>
        <a:blip r:embed="Rdd4e866a342642ab"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252</xdr:row>
      <xdr:rowOff>38100</xdr:rowOff>
    </xdr:from>
    <xdr:to>
      <xdr:col>2</xdr:col>
      <xdr:colOff>769620</xdr:colOff>
      <xdr:row>252</xdr:row>
      <xdr:rowOff>470916</xdr:rowOff>
    </xdr:to>
    <xdr:pic>
      <xdr:nvPicPr>
        <xdr:cNvPr id="1200" name="Picture 176" descr=""/>
        <xdr:cNvPicPr>
          <a:picLocks noChangeAspect="1" noChangeArrowheads="1"/>
        </xdr:cNvPicPr>
      </xdr:nvPicPr>
      <xdr:blipFill>
        <a:blip r:embed="R99ae2624822945d7" cstate="print"/>
        <a:srcRect/>
        <a:stretch>
          <a:fillRect/>
        </a:stretch>
      </xdr:blipFill>
      <xdr:spPr bwMode="auto">
        <a:xfrm>
          <a:off x="0" y="0"/>
          <a:ext cx="731520" cy="432816"/>
        </a:xfrm>
        <a:prstGeom prst="rect">
          <a:avLst/>
        </a:prstGeom>
        <a:noFill/>
      </xdr:spPr>
    </xdr:pic>
    <xdr:clientData/>
  </xdr:twoCellAnchor>
  <xdr:twoCellAnchor editAs="oneCell">
    <xdr:from>
      <xdr:col>2</xdr:col>
      <xdr:colOff>38100</xdr:colOff>
      <xdr:row>254</xdr:row>
      <xdr:rowOff>38100</xdr:rowOff>
    </xdr:from>
    <xdr:to>
      <xdr:col>2</xdr:col>
      <xdr:colOff>1181100</xdr:colOff>
      <xdr:row>254</xdr:row>
      <xdr:rowOff>952500</xdr:rowOff>
    </xdr:to>
    <xdr:pic>
      <xdr:nvPicPr>
        <xdr:cNvPr id="1201" name="Picture 177" descr=""/>
        <xdr:cNvPicPr>
          <a:picLocks noChangeAspect="1" noChangeArrowheads="1"/>
        </xdr:cNvPicPr>
      </xdr:nvPicPr>
      <xdr:blipFill>
        <a:blip r:embed="R2c56ba5f36aa486c" cstate="print"/>
        <a:srcRect/>
        <a:stretch>
          <a:fillRect/>
        </a:stretch>
      </xdr:blipFill>
      <xdr:spPr bwMode="auto">
        <a:xfrm>
          <a:off x="0" y="0"/>
          <a:ext cx="1143000" cy="914400"/>
        </a:xfrm>
        <a:prstGeom prst="rect">
          <a:avLst/>
        </a:prstGeom>
        <a:noFill/>
      </xdr:spPr>
    </xdr:pic>
    <xdr:clientData/>
  </xdr:twoCellAnchor>
  <xdr:twoCellAnchor editAs="oneCell">
    <xdr:from>
      <xdr:col>2</xdr:col>
      <xdr:colOff>38100</xdr:colOff>
      <xdr:row>256</xdr:row>
      <xdr:rowOff>38100</xdr:rowOff>
    </xdr:from>
    <xdr:to>
      <xdr:col>2</xdr:col>
      <xdr:colOff>1181100</xdr:colOff>
      <xdr:row>256</xdr:row>
      <xdr:rowOff>704850</xdr:rowOff>
    </xdr:to>
    <xdr:pic>
      <xdr:nvPicPr>
        <xdr:cNvPr id="1202" name="Picture 178" descr=""/>
        <xdr:cNvPicPr>
          <a:picLocks noChangeAspect="1" noChangeArrowheads="1"/>
        </xdr:cNvPicPr>
      </xdr:nvPicPr>
      <xdr:blipFill>
        <a:blip r:embed="Rfaa98b8fee5d4b35" cstate="print"/>
        <a:srcRect/>
        <a:stretch>
          <a:fillRect/>
        </a:stretch>
      </xdr:blipFill>
      <xdr:spPr bwMode="auto">
        <a:xfrm>
          <a:off x="0" y="0"/>
          <a:ext cx="1143000" cy="666750"/>
        </a:xfrm>
        <a:prstGeom prst="rect">
          <a:avLst/>
        </a:prstGeom>
        <a:noFill/>
      </xdr:spPr>
    </xdr:pic>
    <xdr:clientData/>
  </xdr:twoCellAnchor>
  <xdr:twoCellAnchor editAs="oneCell">
    <xdr:from>
      <xdr:col>2</xdr:col>
      <xdr:colOff>38100</xdr:colOff>
      <xdr:row>257</xdr:row>
      <xdr:rowOff>38100</xdr:rowOff>
    </xdr:from>
    <xdr:to>
      <xdr:col>2</xdr:col>
      <xdr:colOff>1181100</xdr:colOff>
      <xdr:row>257</xdr:row>
      <xdr:rowOff>361950</xdr:rowOff>
    </xdr:to>
    <xdr:pic>
      <xdr:nvPicPr>
        <xdr:cNvPr id="1203" name="Picture 179" descr=""/>
        <xdr:cNvPicPr>
          <a:picLocks noChangeAspect="1" noChangeArrowheads="1"/>
        </xdr:cNvPicPr>
      </xdr:nvPicPr>
      <xdr:blipFill>
        <a:blip r:embed="R401ee8dfb9b84cad" cstate="print"/>
        <a:srcRect/>
        <a:stretch>
          <a:fillRect/>
        </a:stretch>
      </xdr:blipFill>
      <xdr:spPr bwMode="auto">
        <a:xfrm>
          <a:off x="0" y="0"/>
          <a:ext cx="1143000" cy="323850"/>
        </a:xfrm>
        <a:prstGeom prst="rect">
          <a:avLst/>
        </a:prstGeom>
        <a:noFill/>
      </xdr:spPr>
    </xdr:pic>
    <xdr:clientData/>
  </xdr:twoCellAnchor>
  <xdr:twoCellAnchor editAs="oneCell">
    <xdr:from>
      <xdr:col>2</xdr:col>
      <xdr:colOff>38100</xdr:colOff>
      <xdr:row>260</xdr:row>
      <xdr:rowOff>38100</xdr:rowOff>
    </xdr:from>
    <xdr:to>
      <xdr:col>2</xdr:col>
      <xdr:colOff>3086100</xdr:colOff>
      <xdr:row>260</xdr:row>
      <xdr:rowOff>3086100</xdr:rowOff>
    </xdr:to>
    <xdr:pic>
      <xdr:nvPicPr>
        <xdr:cNvPr id="1204" name="Picture 180" descr=""/>
        <xdr:cNvPicPr>
          <a:picLocks noChangeAspect="1" noChangeArrowheads="1"/>
        </xdr:cNvPicPr>
      </xdr:nvPicPr>
      <xdr:blipFill>
        <a:blip r:embed="R6723d9b4d77e4610" cstate="print"/>
        <a:srcRect/>
        <a:stretch>
          <a:fillRect/>
        </a:stretch>
      </xdr:blipFill>
      <xdr:spPr bwMode="auto">
        <a:xfrm>
          <a:off x="0" y="0"/>
          <a:ext cx="3048000" cy="3048000"/>
        </a:xfrm>
        <a:prstGeom prst="rect">
          <a:avLst/>
        </a:prstGeom>
        <a:noFill/>
      </xdr:spPr>
    </xdr:pic>
    <xdr:clientData/>
  </xdr:twoCellAnchor>
  <xdr:twoCellAnchor editAs="oneCell">
    <xdr:from>
      <xdr:col>2</xdr:col>
      <xdr:colOff>38100</xdr:colOff>
      <xdr:row>261</xdr:row>
      <xdr:rowOff>38100</xdr:rowOff>
    </xdr:from>
    <xdr:to>
      <xdr:col>2</xdr:col>
      <xdr:colOff>3086100</xdr:colOff>
      <xdr:row>261</xdr:row>
      <xdr:rowOff>3086100</xdr:rowOff>
    </xdr:to>
    <xdr:pic>
      <xdr:nvPicPr>
        <xdr:cNvPr id="1205" name="Picture 181" descr=""/>
        <xdr:cNvPicPr>
          <a:picLocks noChangeAspect="1" noChangeArrowheads="1"/>
        </xdr:cNvPicPr>
      </xdr:nvPicPr>
      <xdr:blipFill>
        <a:blip r:embed="Rb2189fac986043d7" cstate="print"/>
        <a:srcRect/>
        <a:stretch>
          <a:fillRect/>
        </a:stretch>
      </xdr:blipFill>
      <xdr:spPr bwMode="auto">
        <a:xfrm>
          <a:off x="0" y="0"/>
          <a:ext cx="3048000" cy="3048000"/>
        </a:xfrm>
        <a:prstGeom prst="rect">
          <a:avLst/>
        </a:prstGeom>
        <a:noFill/>
      </xdr:spPr>
    </xdr:pic>
    <xdr:clientData/>
  </xdr:twoCellAnchor>
  <xdr:twoCellAnchor editAs="oneCell">
    <xdr:from>
      <xdr:col>2</xdr:col>
      <xdr:colOff>38100</xdr:colOff>
      <xdr:row>262</xdr:row>
      <xdr:rowOff>38100</xdr:rowOff>
    </xdr:from>
    <xdr:to>
      <xdr:col>2</xdr:col>
      <xdr:colOff>1181100</xdr:colOff>
      <xdr:row>262</xdr:row>
      <xdr:rowOff>1181100</xdr:rowOff>
    </xdr:to>
    <xdr:pic>
      <xdr:nvPicPr>
        <xdr:cNvPr id="1206" name="Picture 182" descr=""/>
        <xdr:cNvPicPr>
          <a:picLocks noChangeAspect="1" noChangeArrowheads="1"/>
        </xdr:cNvPicPr>
      </xdr:nvPicPr>
      <xdr:blipFill>
        <a:blip r:embed="R15407c5e655d45e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264</xdr:row>
      <xdr:rowOff>38100</xdr:rowOff>
    </xdr:from>
    <xdr:to>
      <xdr:col>2</xdr:col>
      <xdr:colOff>1181100</xdr:colOff>
      <xdr:row>264</xdr:row>
      <xdr:rowOff>800100</xdr:rowOff>
    </xdr:to>
    <xdr:pic>
      <xdr:nvPicPr>
        <xdr:cNvPr id="1207" name="Picture 183" descr=""/>
        <xdr:cNvPicPr>
          <a:picLocks noChangeAspect="1" noChangeArrowheads="1"/>
        </xdr:cNvPicPr>
      </xdr:nvPicPr>
      <xdr:blipFill>
        <a:blip r:embed="R53d86c834f8845db" cstate="print"/>
        <a:srcRect/>
        <a:stretch>
          <a:fillRect/>
        </a:stretch>
      </xdr:blipFill>
      <xdr:spPr bwMode="auto">
        <a:xfrm>
          <a:off x="0" y="0"/>
          <a:ext cx="1143000" cy="762000"/>
        </a:xfrm>
        <a:prstGeom prst="rect">
          <a:avLst/>
        </a:prstGeom>
        <a:noFill/>
      </xdr:spPr>
    </xdr:pic>
    <xdr:clientData/>
  </xdr:twoCellAnchor>
  <xdr:twoCellAnchor editAs="oneCell">
    <xdr:from>
      <xdr:col>2</xdr:col>
      <xdr:colOff>38100</xdr:colOff>
      <xdr:row>265</xdr:row>
      <xdr:rowOff>38100</xdr:rowOff>
    </xdr:from>
    <xdr:to>
      <xdr:col>2</xdr:col>
      <xdr:colOff>1181100</xdr:colOff>
      <xdr:row>265</xdr:row>
      <xdr:rowOff>923925</xdr:rowOff>
    </xdr:to>
    <xdr:pic>
      <xdr:nvPicPr>
        <xdr:cNvPr id="1208" name="Picture 184" descr=""/>
        <xdr:cNvPicPr>
          <a:picLocks noChangeAspect="1" noChangeArrowheads="1"/>
        </xdr:cNvPicPr>
      </xdr:nvPicPr>
      <xdr:blipFill>
        <a:blip r:embed="R83ce0ed64e20431e" cstate="print"/>
        <a:srcRect/>
        <a:stretch>
          <a:fillRect/>
        </a:stretch>
      </xdr:blipFill>
      <xdr:spPr bwMode="auto">
        <a:xfrm>
          <a:off x="0" y="0"/>
          <a:ext cx="1143000" cy="885825"/>
        </a:xfrm>
        <a:prstGeom prst="rect">
          <a:avLst/>
        </a:prstGeom>
        <a:noFill/>
      </xdr:spPr>
    </xdr:pic>
    <xdr:clientData/>
  </xdr:twoCellAnchor>
  <xdr:twoCellAnchor editAs="oneCell">
    <xdr:from>
      <xdr:col>2</xdr:col>
      <xdr:colOff>38100</xdr:colOff>
      <xdr:row>267</xdr:row>
      <xdr:rowOff>38100</xdr:rowOff>
    </xdr:from>
    <xdr:to>
      <xdr:col>2</xdr:col>
      <xdr:colOff>403860</xdr:colOff>
      <xdr:row>267</xdr:row>
      <xdr:rowOff>403860</xdr:rowOff>
    </xdr:to>
    <xdr:pic>
      <xdr:nvPicPr>
        <xdr:cNvPr id="1209" name="Picture 185" descr=""/>
        <xdr:cNvPicPr>
          <a:picLocks noChangeAspect="1" noChangeArrowheads="1"/>
        </xdr:cNvPicPr>
      </xdr:nvPicPr>
      <xdr:blipFill>
        <a:blip r:embed="R3b37415273234742"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268</xdr:row>
      <xdr:rowOff>38100</xdr:rowOff>
    </xdr:from>
    <xdr:to>
      <xdr:col>2</xdr:col>
      <xdr:colOff>1181100</xdr:colOff>
      <xdr:row>268</xdr:row>
      <xdr:rowOff>561975</xdr:rowOff>
    </xdr:to>
    <xdr:pic>
      <xdr:nvPicPr>
        <xdr:cNvPr id="1210" name="Picture 186" descr=""/>
        <xdr:cNvPicPr>
          <a:picLocks noChangeAspect="1" noChangeArrowheads="1"/>
        </xdr:cNvPicPr>
      </xdr:nvPicPr>
      <xdr:blipFill>
        <a:blip r:embed="R82478a084ea54919" cstate="print"/>
        <a:srcRect/>
        <a:stretch>
          <a:fillRect/>
        </a:stretch>
      </xdr:blipFill>
      <xdr:spPr bwMode="auto">
        <a:xfrm>
          <a:off x="0" y="0"/>
          <a:ext cx="1143000" cy="523875"/>
        </a:xfrm>
        <a:prstGeom prst="rect">
          <a:avLst/>
        </a:prstGeom>
        <a:noFill/>
      </xdr:spPr>
    </xdr:pic>
    <xdr:clientData/>
  </xdr:twoCellAnchor>
  <xdr:twoCellAnchor editAs="oneCell">
    <xdr:from>
      <xdr:col>2</xdr:col>
      <xdr:colOff>38100</xdr:colOff>
      <xdr:row>269</xdr:row>
      <xdr:rowOff>38100</xdr:rowOff>
    </xdr:from>
    <xdr:to>
      <xdr:col>2</xdr:col>
      <xdr:colOff>1181100</xdr:colOff>
      <xdr:row>269</xdr:row>
      <xdr:rowOff>1009650</xdr:rowOff>
    </xdr:to>
    <xdr:pic>
      <xdr:nvPicPr>
        <xdr:cNvPr id="1211" name="Picture 187" descr=""/>
        <xdr:cNvPicPr>
          <a:picLocks noChangeAspect="1" noChangeArrowheads="1"/>
        </xdr:cNvPicPr>
      </xdr:nvPicPr>
      <xdr:blipFill>
        <a:blip r:embed="R1605b08c53d048ad" cstate="print"/>
        <a:srcRect/>
        <a:stretch>
          <a:fillRect/>
        </a:stretch>
      </xdr:blipFill>
      <xdr:spPr bwMode="auto">
        <a:xfrm>
          <a:off x="0" y="0"/>
          <a:ext cx="1143000" cy="971550"/>
        </a:xfrm>
        <a:prstGeom prst="rect">
          <a:avLst/>
        </a:prstGeom>
        <a:noFill/>
      </xdr:spPr>
    </xdr:pic>
    <xdr:clientData/>
  </xdr:twoCellAnchor>
  <xdr:twoCellAnchor editAs="oneCell">
    <xdr:from>
      <xdr:col>2</xdr:col>
      <xdr:colOff>38100</xdr:colOff>
      <xdr:row>272</xdr:row>
      <xdr:rowOff>38100</xdr:rowOff>
    </xdr:from>
    <xdr:to>
      <xdr:col>2</xdr:col>
      <xdr:colOff>1181100</xdr:colOff>
      <xdr:row>272</xdr:row>
      <xdr:rowOff>352425</xdr:rowOff>
    </xdr:to>
    <xdr:pic>
      <xdr:nvPicPr>
        <xdr:cNvPr id="1212" name="Picture 188" descr=""/>
        <xdr:cNvPicPr>
          <a:picLocks noChangeAspect="1" noChangeArrowheads="1"/>
        </xdr:cNvPicPr>
      </xdr:nvPicPr>
      <xdr:blipFill>
        <a:blip r:embed="R042e0d91b029428d" cstate="print"/>
        <a:srcRect/>
        <a:stretch>
          <a:fillRect/>
        </a:stretch>
      </xdr:blipFill>
      <xdr:spPr bwMode="auto">
        <a:xfrm>
          <a:off x="0" y="0"/>
          <a:ext cx="1143000" cy="314325"/>
        </a:xfrm>
        <a:prstGeom prst="rect">
          <a:avLst/>
        </a:prstGeom>
        <a:noFill/>
      </xdr:spPr>
    </xdr:pic>
    <xdr:clientData/>
  </xdr:twoCellAnchor>
  <xdr:twoCellAnchor editAs="oneCell">
    <xdr:from>
      <xdr:col>2</xdr:col>
      <xdr:colOff>38100</xdr:colOff>
      <xdr:row>273</xdr:row>
      <xdr:rowOff>38100</xdr:rowOff>
    </xdr:from>
    <xdr:to>
      <xdr:col>2</xdr:col>
      <xdr:colOff>1181100</xdr:colOff>
      <xdr:row>273</xdr:row>
      <xdr:rowOff>1123950</xdr:rowOff>
    </xdr:to>
    <xdr:pic>
      <xdr:nvPicPr>
        <xdr:cNvPr id="1213" name="Picture 189" descr=""/>
        <xdr:cNvPicPr>
          <a:picLocks noChangeAspect="1" noChangeArrowheads="1"/>
        </xdr:cNvPicPr>
      </xdr:nvPicPr>
      <xdr:blipFill>
        <a:blip r:embed="R790ca44dd24d40a2" cstate="print"/>
        <a:srcRect/>
        <a:stretch>
          <a:fillRect/>
        </a:stretch>
      </xdr:blipFill>
      <xdr:spPr bwMode="auto">
        <a:xfrm>
          <a:off x="0" y="0"/>
          <a:ext cx="1143000" cy="1085850"/>
        </a:xfrm>
        <a:prstGeom prst="rect">
          <a:avLst/>
        </a:prstGeom>
        <a:noFill/>
      </xdr:spPr>
    </xdr:pic>
    <xdr:clientData/>
  </xdr:twoCellAnchor>
  <xdr:twoCellAnchor editAs="oneCell">
    <xdr:from>
      <xdr:col>2</xdr:col>
      <xdr:colOff>38100</xdr:colOff>
      <xdr:row>274</xdr:row>
      <xdr:rowOff>38100</xdr:rowOff>
    </xdr:from>
    <xdr:to>
      <xdr:col>2</xdr:col>
      <xdr:colOff>1181100</xdr:colOff>
      <xdr:row>274</xdr:row>
      <xdr:rowOff>1076325</xdr:rowOff>
    </xdr:to>
    <xdr:pic>
      <xdr:nvPicPr>
        <xdr:cNvPr id="1214" name="Picture 190" descr=""/>
        <xdr:cNvPicPr>
          <a:picLocks noChangeAspect="1" noChangeArrowheads="1"/>
        </xdr:cNvPicPr>
      </xdr:nvPicPr>
      <xdr:blipFill>
        <a:blip r:embed="R415e9b7f2adc471f" cstate="print"/>
        <a:srcRect/>
        <a:stretch>
          <a:fillRect/>
        </a:stretch>
      </xdr:blipFill>
      <xdr:spPr bwMode="auto">
        <a:xfrm>
          <a:off x="0" y="0"/>
          <a:ext cx="1143000" cy="1038225"/>
        </a:xfrm>
        <a:prstGeom prst="rect">
          <a:avLst/>
        </a:prstGeom>
        <a:noFill/>
      </xdr:spPr>
    </xdr:pic>
    <xdr:clientData/>
  </xdr:twoCellAnchor>
  <xdr:twoCellAnchor editAs="oneCell">
    <xdr:from>
      <xdr:col>2</xdr:col>
      <xdr:colOff>38100</xdr:colOff>
      <xdr:row>275</xdr:row>
      <xdr:rowOff>38100</xdr:rowOff>
    </xdr:from>
    <xdr:to>
      <xdr:col>2</xdr:col>
      <xdr:colOff>403860</xdr:colOff>
      <xdr:row>275</xdr:row>
      <xdr:rowOff>312420</xdr:rowOff>
    </xdr:to>
    <xdr:pic>
      <xdr:nvPicPr>
        <xdr:cNvPr id="1215" name="Picture 191" descr=""/>
        <xdr:cNvPicPr>
          <a:picLocks noChangeAspect="1" noChangeArrowheads="1"/>
        </xdr:cNvPicPr>
      </xdr:nvPicPr>
      <xdr:blipFill>
        <a:blip r:embed="Rbeec27232e2f45dc" cstate="print"/>
        <a:srcRect/>
        <a:stretch>
          <a:fillRect/>
        </a:stretch>
      </xdr:blipFill>
      <xdr:spPr bwMode="auto">
        <a:xfrm>
          <a:off x="0" y="0"/>
          <a:ext cx="365760" cy="274320"/>
        </a:xfrm>
        <a:prstGeom prst="rect">
          <a:avLst/>
        </a:prstGeom>
        <a:noFill/>
      </xdr:spPr>
    </xdr:pic>
    <xdr:clientData/>
  </xdr:twoCellAnchor>
  <xdr:twoCellAnchor editAs="oneCell">
    <xdr:from>
      <xdr:col>2</xdr:col>
      <xdr:colOff>38100</xdr:colOff>
      <xdr:row>276</xdr:row>
      <xdr:rowOff>38100</xdr:rowOff>
    </xdr:from>
    <xdr:to>
      <xdr:col>2</xdr:col>
      <xdr:colOff>1181100</xdr:colOff>
      <xdr:row>276</xdr:row>
      <xdr:rowOff>1133475</xdr:rowOff>
    </xdr:to>
    <xdr:pic>
      <xdr:nvPicPr>
        <xdr:cNvPr id="1216" name="Picture 192" descr=""/>
        <xdr:cNvPicPr>
          <a:picLocks noChangeAspect="1" noChangeArrowheads="1"/>
        </xdr:cNvPicPr>
      </xdr:nvPicPr>
      <xdr:blipFill>
        <a:blip r:embed="Rc44295d3d51b4e41" cstate="print"/>
        <a:srcRect/>
        <a:stretch>
          <a:fillRect/>
        </a:stretch>
      </xdr:blipFill>
      <xdr:spPr bwMode="auto">
        <a:xfrm>
          <a:off x="0" y="0"/>
          <a:ext cx="1143000" cy="1095375"/>
        </a:xfrm>
        <a:prstGeom prst="rect">
          <a:avLst/>
        </a:prstGeom>
        <a:noFill/>
      </xdr:spPr>
    </xdr:pic>
    <xdr:clientData/>
  </xdr:twoCellAnchor>
  <xdr:twoCellAnchor editAs="oneCell">
    <xdr:from>
      <xdr:col>2</xdr:col>
      <xdr:colOff>38100</xdr:colOff>
      <xdr:row>277</xdr:row>
      <xdr:rowOff>38100</xdr:rowOff>
    </xdr:from>
    <xdr:to>
      <xdr:col>2</xdr:col>
      <xdr:colOff>503730</xdr:colOff>
      <xdr:row>277</xdr:row>
      <xdr:rowOff>546060</xdr:rowOff>
    </xdr:to>
    <xdr:pic>
      <xdr:nvPicPr>
        <xdr:cNvPr id="1217" name="Picture 193" descr=""/>
        <xdr:cNvPicPr>
          <a:picLocks noChangeAspect="1" noChangeArrowheads="1"/>
        </xdr:cNvPicPr>
      </xdr:nvPicPr>
      <xdr:blipFill>
        <a:blip r:embed="R5c6332ca58e44416" cstate="print"/>
        <a:srcRect/>
        <a:stretch>
          <a:fillRect/>
        </a:stretch>
      </xdr:blipFill>
      <xdr:spPr bwMode="auto">
        <a:xfrm>
          <a:off x="0" y="0"/>
          <a:ext cx="465630" cy="507960"/>
        </a:xfrm>
        <a:prstGeom prst="rect">
          <a:avLst/>
        </a:prstGeom>
        <a:noFill/>
      </xdr:spPr>
    </xdr:pic>
    <xdr:clientData/>
  </xdr:twoCellAnchor>
  <xdr:twoCellAnchor editAs="oneCell">
    <xdr:from>
      <xdr:col>2</xdr:col>
      <xdr:colOff>38100</xdr:colOff>
      <xdr:row>279</xdr:row>
      <xdr:rowOff>38100</xdr:rowOff>
    </xdr:from>
    <xdr:to>
      <xdr:col>2</xdr:col>
      <xdr:colOff>1181100</xdr:colOff>
      <xdr:row>279</xdr:row>
      <xdr:rowOff>276225</xdr:rowOff>
    </xdr:to>
    <xdr:pic>
      <xdr:nvPicPr>
        <xdr:cNvPr id="1218" name="Picture 194" descr=""/>
        <xdr:cNvPicPr>
          <a:picLocks noChangeAspect="1" noChangeArrowheads="1"/>
        </xdr:cNvPicPr>
      </xdr:nvPicPr>
      <xdr:blipFill>
        <a:blip r:embed="R531375d9e0ba423e" cstate="print"/>
        <a:srcRect/>
        <a:stretch>
          <a:fillRect/>
        </a:stretch>
      </xdr:blipFill>
      <xdr:spPr bwMode="auto">
        <a:xfrm>
          <a:off x="0" y="0"/>
          <a:ext cx="1143000" cy="238125"/>
        </a:xfrm>
        <a:prstGeom prst="rect">
          <a:avLst/>
        </a:prstGeom>
        <a:noFill/>
      </xdr:spPr>
    </xdr:pic>
    <xdr:clientData/>
  </xdr:twoCellAnchor>
  <xdr:twoCellAnchor editAs="oneCell">
    <xdr:from>
      <xdr:col>2</xdr:col>
      <xdr:colOff>38100</xdr:colOff>
      <xdr:row>280</xdr:row>
      <xdr:rowOff>38100</xdr:rowOff>
    </xdr:from>
    <xdr:to>
      <xdr:col>2</xdr:col>
      <xdr:colOff>1143000</xdr:colOff>
      <xdr:row>280</xdr:row>
      <xdr:rowOff>1181100</xdr:rowOff>
    </xdr:to>
    <xdr:pic>
      <xdr:nvPicPr>
        <xdr:cNvPr id="1219" name="Picture 195" descr=""/>
        <xdr:cNvPicPr>
          <a:picLocks noChangeAspect="1" noChangeArrowheads="1"/>
        </xdr:cNvPicPr>
      </xdr:nvPicPr>
      <xdr:blipFill>
        <a:blip r:embed="R400c685686a54bc4" cstate="print"/>
        <a:srcRect/>
        <a:stretch>
          <a:fillRect/>
        </a:stretch>
      </xdr:blipFill>
      <xdr:spPr bwMode="auto">
        <a:xfrm>
          <a:off x="0" y="0"/>
          <a:ext cx="1104900" cy="1143000"/>
        </a:xfrm>
        <a:prstGeom prst="rect">
          <a:avLst/>
        </a:prstGeom>
        <a:noFill/>
      </xdr:spPr>
    </xdr:pic>
    <xdr:clientData/>
  </xdr:twoCellAnchor>
  <xdr:twoCellAnchor editAs="oneCell">
    <xdr:from>
      <xdr:col>2</xdr:col>
      <xdr:colOff>38100</xdr:colOff>
      <xdr:row>282</xdr:row>
      <xdr:rowOff>38100</xdr:rowOff>
    </xdr:from>
    <xdr:to>
      <xdr:col>2</xdr:col>
      <xdr:colOff>605028</xdr:colOff>
      <xdr:row>282</xdr:row>
      <xdr:rowOff>769620</xdr:rowOff>
    </xdr:to>
    <xdr:pic>
      <xdr:nvPicPr>
        <xdr:cNvPr id="1220" name="Picture 196" descr=""/>
        <xdr:cNvPicPr>
          <a:picLocks noChangeAspect="1" noChangeArrowheads="1"/>
        </xdr:cNvPicPr>
      </xdr:nvPicPr>
      <xdr:blipFill>
        <a:blip r:embed="R54070acc6d004713"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283</xdr:row>
      <xdr:rowOff>38100</xdr:rowOff>
    </xdr:from>
    <xdr:to>
      <xdr:col>2</xdr:col>
      <xdr:colOff>1181100</xdr:colOff>
      <xdr:row>283</xdr:row>
      <xdr:rowOff>704850</xdr:rowOff>
    </xdr:to>
    <xdr:pic>
      <xdr:nvPicPr>
        <xdr:cNvPr id="1221" name="Picture 197" descr=""/>
        <xdr:cNvPicPr>
          <a:picLocks noChangeAspect="1" noChangeArrowheads="1"/>
        </xdr:cNvPicPr>
      </xdr:nvPicPr>
      <xdr:blipFill>
        <a:blip r:embed="Rb73a9a074ccf441c" cstate="print"/>
        <a:srcRect/>
        <a:stretch>
          <a:fillRect/>
        </a:stretch>
      </xdr:blipFill>
      <xdr:spPr bwMode="auto">
        <a:xfrm>
          <a:off x="0" y="0"/>
          <a:ext cx="1143000" cy="666750"/>
        </a:xfrm>
        <a:prstGeom prst="rect">
          <a:avLst/>
        </a:prstGeom>
        <a:noFill/>
      </xdr:spPr>
    </xdr:pic>
    <xdr:clientData/>
  </xdr:twoCellAnchor>
  <xdr:twoCellAnchor editAs="oneCell">
    <xdr:from>
      <xdr:col>2</xdr:col>
      <xdr:colOff>38100</xdr:colOff>
      <xdr:row>284</xdr:row>
      <xdr:rowOff>38100</xdr:rowOff>
    </xdr:from>
    <xdr:to>
      <xdr:col>2</xdr:col>
      <xdr:colOff>109766100</xdr:colOff>
      <xdr:row>284</xdr:row>
      <xdr:rowOff>28384500</xdr:rowOff>
    </xdr:to>
    <xdr:pic>
      <xdr:nvPicPr>
        <xdr:cNvPr id="1222" name="Picture 198" descr=""/>
        <xdr:cNvPicPr>
          <a:picLocks noChangeAspect="1" noChangeArrowheads="1"/>
        </xdr:cNvPicPr>
      </xdr:nvPicPr>
      <xdr:blipFill>
        <a:blip r:embed="R9c3641fd01bf4d30" cstate="print"/>
        <a:srcRect/>
        <a:stretch>
          <a:fillRect/>
        </a:stretch>
      </xdr:blipFill>
      <xdr:spPr bwMode="auto">
        <a:xfrm>
          <a:off x="0" y="0"/>
          <a:ext cx="109728000" cy="28346400"/>
        </a:xfrm>
        <a:prstGeom prst="rect">
          <a:avLst/>
        </a:prstGeom>
        <a:noFill/>
      </xdr:spPr>
    </xdr:pic>
    <xdr:clientData/>
  </xdr:twoCellAnchor>
  <xdr:twoCellAnchor editAs="oneCell">
    <xdr:from>
      <xdr:col>2</xdr:col>
      <xdr:colOff>38100</xdr:colOff>
      <xdr:row>285</xdr:row>
      <xdr:rowOff>38100</xdr:rowOff>
    </xdr:from>
    <xdr:to>
      <xdr:col>2</xdr:col>
      <xdr:colOff>1181100</xdr:colOff>
      <xdr:row>285</xdr:row>
      <xdr:rowOff>1181100</xdr:rowOff>
    </xdr:to>
    <xdr:pic>
      <xdr:nvPicPr>
        <xdr:cNvPr id="1223" name="Picture 199" descr=""/>
        <xdr:cNvPicPr>
          <a:picLocks noChangeAspect="1" noChangeArrowheads="1"/>
        </xdr:cNvPicPr>
      </xdr:nvPicPr>
      <xdr:blipFill>
        <a:blip r:embed="R53470e1d8d104e9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286</xdr:row>
      <xdr:rowOff>38100</xdr:rowOff>
    </xdr:from>
    <xdr:to>
      <xdr:col>2</xdr:col>
      <xdr:colOff>1181100</xdr:colOff>
      <xdr:row>286</xdr:row>
      <xdr:rowOff>200025</xdr:rowOff>
    </xdr:to>
    <xdr:pic>
      <xdr:nvPicPr>
        <xdr:cNvPr id="1224" name="Picture 200" descr=""/>
        <xdr:cNvPicPr>
          <a:picLocks noChangeAspect="1" noChangeArrowheads="1"/>
        </xdr:cNvPicPr>
      </xdr:nvPicPr>
      <xdr:blipFill>
        <a:blip r:embed="R4a748a55e87b44e6" cstate="print"/>
        <a:srcRect/>
        <a:stretch>
          <a:fillRect/>
        </a:stretch>
      </xdr:blipFill>
      <xdr:spPr bwMode="auto">
        <a:xfrm>
          <a:off x="0" y="0"/>
          <a:ext cx="1143000" cy="161925"/>
        </a:xfrm>
        <a:prstGeom prst="rect">
          <a:avLst/>
        </a:prstGeom>
        <a:noFill/>
      </xdr:spPr>
    </xdr:pic>
    <xdr:clientData/>
  </xdr:twoCellAnchor>
  <xdr:twoCellAnchor editAs="oneCell">
    <xdr:from>
      <xdr:col>2</xdr:col>
      <xdr:colOff>38100</xdr:colOff>
      <xdr:row>287</xdr:row>
      <xdr:rowOff>38100</xdr:rowOff>
    </xdr:from>
    <xdr:to>
      <xdr:col>2</xdr:col>
      <xdr:colOff>1095375</xdr:colOff>
      <xdr:row>287</xdr:row>
      <xdr:rowOff>1047750</xdr:rowOff>
    </xdr:to>
    <xdr:pic>
      <xdr:nvPicPr>
        <xdr:cNvPr id="1225" name="Picture 201" descr=""/>
        <xdr:cNvPicPr>
          <a:picLocks noChangeAspect="1" noChangeArrowheads="1"/>
        </xdr:cNvPicPr>
      </xdr:nvPicPr>
      <xdr:blipFill>
        <a:blip r:embed="R6a6bb57f50394649" cstate="print"/>
        <a:srcRect/>
        <a:stretch>
          <a:fillRect/>
        </a:stretch>
      </xdr:blipFill>
      <xdr:spPr bwMode="auto">
        <a:xfrm>
          <a:off x="0" y="0"/>
          <a:ext cx="1057275" cy="1009650"/>
        </a:xfrm>
        <a:prstGeom prst="rect">
          <a:avLst/>
        </a:prstGeom>
        <a:noFill/>
      </xdr:spPr>
    </xdr:pic>
    <xdr:clientData/>
  </xdr:twoCellAnchor>
  <xdr:twoCellAnchor editAs="oneCell">
    <xdr:from>
      <xdr:col>2</xdr:col>
      <xdr:colOff>38100</xdr:colOff>
      <xdr:row>288</xdr:row>
      <xdr:rowOff>38100</xdr:rowOff>
    </xdr:from>
    <xdr:to>
      <xdr:col>2</xdr:col>
      <xdr:colOff>1181100</xdr:colOff>
      <xdr:row>288</xdr:row>
      <xdr:rowOff>866775</xdr:rowOff>
    </xdr:to>
    <xdr:pic>
      <xdr:nvPicPr>
        <xdr:cNvPr id="1226" name="Picture 202" descr=""/>
        <xdr:cNvPicPr>
          <a:picLocks noChangeAspect="1" noChangeArrowheads="1"/>
        </xdr:cNvPicPr>
      </xdr:nvPicPr>
      <xdr:blipFill>
        <a:blip r:embed="Ra55ac32089d64498" cstate="print"/>
        <a:srcRect/>
        <a:stretch>
          <a:fillRect/>
        </a:stretch>
      </xdr:blipFill>
      <xdr:spPr bwMode="auto">
        <a:xfrm>
          <a:off x="0" y="0"/>
          <a:ext cx="1143000" cy="828675"/>
        </a:xfrm>
        <a:prstGeom prst="rect">
          <a:avLst/>
        </a:prstGeom>
        <a:noFill/>
      </xdr:spPr>
    </xdr:pic>
    <xdr:clientData/>
  </xdr:twoCellAnchor>
  <xdr:twoCellAnchor editAs="oneCell">
    <xdr:from>
      <xdr:col>2</xdr:col>
      <xdr:colOff>38100</xdr:colOff>
      <xdr:row>289</xdr:row>
      <xdr:rowOff>38100</xdr:rowOff>
    </xdr:from>
    <xdr:to>
      <xdr:col>2</xdr:col>
      <xdr:colOff>403860</xdr:colOff>
      <xdr:row>289</xdr:row>
      <xdr:rowOff>403860</xdr:rowOff>
    </xdr:to>
    <xdr:pic>
      <xdr:nvPicPr>
        <xdr:cNvPr id="1227" name="Picture 203" descr=""/>
        <xdr:cNvPicPr>
          <a:picLocks noChangeAspect="1" noChangeArrowheads="1"/>
        </xdr:cNvPicPr>
      </xdr:nvPicPr>
      <xdr:blipFill>
        <a:blip r:embed="Ra577c656462c4b37"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290</xdr:row>
      <xdr:rowOff>38100</xdr:rowOff>
    </xdr:from>
    <xdr:to>
      <xdr:col>2</xdr:col>
      <xdr:colOff>1181100</xdr:colOff>
      <xdr:row>290</xdr:row>
      <xdr:rowOff>1181100</xdr:rowOff>
    </xdr:to>
    <xdr:pic>
      <xdr:nvPicPr>
        <xdr:cNvPr id="1228" name="Picture 204" descr=""/>
        <xdr:cNvPicPr>
          <a:picLocks noChangeAspect="1" noChangeArrowheads="1"/>
        </xdr:cNvPicPr>
      </xdr:nvPicPr>
      <xdr:blipFill>
        <a:blip r:embed="R3f9f4849d0324fa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291</xdr:row>
      <xdr:rowOff>38100</xdr:rowOff>
    </xdr:from>
    <xdr:to>
      <xdr:col>2</xdr:col>
      <xdr:colOff>403860</xdr:colOff>
      <xdr:row>291</xdr:row>
      <xdr:rowOff>278892</xdr:rowOff>
    </xdr:to>
    <xdr:pic>
      <xdr:nvPicPr>
        <xdr:cNvPr id="1229" name="Picture 205" descr=""/>
        <xdr:cNvPicPr>
          <a:picLocks noChangeAspect="1" noChangeArrowheads="1"/>
        </xdr:cNvPicPr>
      </xdr:nvPicPr>
      <xdr:blipFill>
        <a:blip r:embed="R8091a0762ef74d2c" cstate="print"/>
        <a:srcRect/>
        <a:stretch>
          <a:fillRect/>
        </a:stretch>
      </xdr:blipFill>
      <xdr:spPr bwMode="auto">
        <a:xfrm>
          <a:off x="0" y="0"/>
          <a:ext cx="365760" cy="240792"/>
        </a:xfrm>
        <a:prstGeom prst="rect">
          <a:avLst/>
        </a:prstGeom>
        <a:noFill/>
      </xdr:spPr>
    </xdr:pic>
    <xdr:clientData/>
  </xdr:twoCellAnchor>
  <xdr:twoCellAnchor editAs="oneCell">
    <xdr:from>
      <xdr:col>2</xdr:col>
      <xdr:colOff>38100</xdr:colOff>
      <xdr:row>292</xdr:row>
      <xdr:rowOff>38100</xdr:rowOff>
    </xdr:from>
    <xdr:to>
      <xdr:col>2</xdr:col>
      <xdr:colOff>1181100</xdr:colOff>
      <xdr:row>292</xdr:row>
      <xdr:rowOff>1181100</xdr:rowOff>
    </xdr:to>
    <xdr:pic>
      <xdr:nvPicPr>
        <xdr:cNvPr id="1230" name="Picture 206" descr=""/>
        <xdr:cNvPicPr>
          <a:picLocks noChangeAspect="1" noChangeArrowheads="1"/>
        </xdr:cNvPicPr>
      </xdr:nvPicPr>
      <xdr:blipFill>
        <a:blip r:embed="R23b1ec4b1a0647ec"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293</xdr:row>
      <xdr:rowOff>38100</xdr:rowOff>
    </xdr:from>
    <xdr:to>
      <xdr:col>2</xdr:col>
      <xdr:colOff>1181100</xdr:colOff>
      <xdr:row>293</xdr:row>
      <xdr:rowOff>676275</xdr:rowOff>
    </xdr:to>
    <xdr:pic>
      <xdr:nvPicPr>
        <xdr:cNvPr id="1231" name="Picture 207" descr=""/>
        <xdr:cNvPicPr>
          <a:picLocks noChangeAspect="1" noChangeArrowheads="1"/>
        </xdr:cNvPicPr>
      </xdr:nvPicPr>
      <xdr:blipFill>
        <a:blip r:embed="R3195f78d83a3407f" cstate="print"/>
        <a:srcRect/>
        <a:stretch>
          <a:fillRect/>
        </a:stretch>
      </xdr:blipFill>
      <xdr:spPr bwMode="auto">
        <a:xfrm>
          <a:off x="0" y="0"/>
          <a:ext cx="1143000" cy="638175"/>
        </a:xfrm>
        <a:prstGeom prst="rect">
          <a:avLst/>
        </a:prstGeom>
        <a:noFill/>
      </xdr:spPr>
    </xdr:pic>
    <xdr:clientData/>
  </xdr:twoCellAnchor>
  <xdr:twoCellAnchor editAs="oneCell">
    <xdr:from>
      <xdr:col>2</xdr:col>
      <xdr:colOff>38100</xdr:colOff>
      <xdr:row>294</xdr:row>
      <xdr:rowOff>38100</xdr:rowOff>
    </xdr:from>
    <xdr:to>
      <xdr:col>2</xdr:col>
      <xdr:colOff>952500</xdr:colOff>
      <xdr:row>294</xdr:row>
      <xdr:rowOff>297180</xdr:rowOff>
    </xdr:to>
    <xdr:pic>
      <xdr:nvPicPr>
        <xdr:cNvPr id="1232" name="Picture 208" descr=""/>
        <xdr:cNvPicPr>
          <a:picLocks noChangeAspect="1" noChangeArrowheads="1"/>
        </xdr:cNvPicPr>
      </xdr:nvPicPr>
      <xdr:blipFill>
        <a:blip r:embed="R60074b4d7e6645e4" cstate="print"/>
        <a:srcRect/>
        <a:stretch>
          <a:fillRect/>
        </a:stretch>
      </xdr:blipFill>
      <xdr:spPr bwMode="auto">
        <a:xfrm>
          <a:off x="0" y="0"/>
          <a:ext cx="914400" cy="259080"/>
        </a:xfrm>
        <a:prstGeom prst="rect">
          <a:avLst/>
        </a:prstGeom>
        <a:noFill/>
      </xdr:spPr>
    </xdr:pic>
    <xdr:clientData/>
  </xdr:twoCellAnchor>
  <xdr:twoCellAnchor editAs="oneCell">
    <xdr:from>
      <xdr:col>2</xdr:col>
      <xdr:colOff>38100</xdr:colOff>
      <xdr:row>295</xdr:row>
      <xdr:rowOff>38100</xdr:rowOff>
    </xdr:from>
    <xdr:to>
      <xdr:col>2</xdr:col>
      <xdr:colOff>1181100</xdr:colOff>
      <xdr:row>295</xdr:row>
      <xdr:rowOff>514350</xdr:rowOff>
    </xdr:to>
    <xdr:pic>
      <xdr:nvPicPr>
        <xdr:cNvPr id="1233" name="Picture 209" descr=""/>
        <xdr:cNvPicPr>
          <a:picLocks noChangeAspect="1" noChangeArrowheads="1"/>
        </xdr:cNvPicPr>
      </xdr:nvPicPr>
      <xdr:blipFill>
        <a:blip r:embed="R71c4a474c43f42c5" cstate="print"/>
        <a:srcRect/>
        <a:stretch>
          <a:fillRect/>
        </a:stretch>
      </xdr:blipFill>
      <xdr:spPr bwMode="auto">
        <a:xfrm>
          <a:off x="0" y="0"/>
          <a:ext cx="1143000" cy="476250"/>
        </a:xfrm>
        <a:prstGeom prst="rect">
          <a:avLst/>
        </a:prstGeom>
        <a:noFill/>
      </xdr:spPr>
    </xdr:pic>
    <xdr:clientData/>
  </xdr:twoCellAnchor>
  <xdr:twoCellAnchor editAs="oneCell">
    <xdr:from>
      <xdr:col>2</xdr:col>
      <xdr:colOff>38100</xdr:colOff>
      <xdr:row>296</xdr:row>
      <xdr:rowOff>38100</xdr:rowOff>
    </xdr:from>
    <xdr:to>
      <xdr:col>2</xdr:col>
      <xdr:colOff>952500</xdr:colOff>
      <xdr:row>296</xdr:row>
      <xdr:rowOff>952500</xdr:rowOff>
    </xdr:to>
    <xdr:pic>
      <xdr:nvPicPr>
        <xdr:cNvPr id="1234" name="Picture 210" descr=""/>
        <xdr:cNvPicPr>
          <a:picLocks noChangeAspect="1" noChangeArrowheads="1"/>
        </xdr:cNvPicPr>
      </xdr:nvPicPr>
      <xdr:blipFill>
        <a:blip r:embed="R81aa0c958f8d4c58" cstate="print"/>
        <a:srcRect/>
        <a:stretch>
          <a:fillRect/>
        </a:stretch>
      </xdr:blipFill>
      <xdr:spPr bwMode="auto">
        <a:xfrm>
          <a:off x="0" y="0"/>
          <a:ext cx="914400" cy="914400"/>
        </a:xfrm>
        <a:prstGeom prst="rect">
          <a:avLst/>
        </a:prstGeom>
        <a:noFill/>
      </xdr:spPr>
    </xdr:pic>
    <xdr:clientData/>
  </xdr:twoCellAnchor>
  <xdr:twoCellAnchor editAs="oneCell">
    <xdr:from>
      <xdr:col>2</xdr:col>
      <xdr:colOff>38100</xdr:colOff>
      <xdr:row>298</xdr:row>
      <xdr:rowOff>38100</xdr:rowOff>
    </xdr:from>
    <xdr:to>
      <xdr:col>2</xdr:col>
      <xdr:colOff>220980</xdr:colOff>
      <xdr:row>298</xdr:row>
      <xdr:rowOff>220980</xdr:rowOff>
    </xdr:to>
    <xdr:pic>
      <xdr:nvPicPr>
        <xdr:cNvPr id="1235" name="Picture 211" descr=""/>
        <xdr:cNvPicPr>
          <a:picLocks noChangeAspect="1" noChangeArrowheads="1"/>
        </xdr:cNvPicPr>
      </xdr:nvPicPr>
      <xdr:blipFill>
        <a:blip r:embed="R056d8c986f834b32" cstate="print"/>
        <a:srcRect/>
        <a:stretch>
          <a:fillRect/>
        </a:stretch>
      </xdr:blipFill>
      <xdr:spPr bwMode="auto">
        <a:xfrm>
          <a:off x="0" y="0"/>
          <a:ext cx="182880" cy="182880"/>
        </a:xfrm>
        <a:prstGeom prst="rect">
          <a:avLst/>
        </a:prstGeom>
        <a:noFill/>
      </xdr:spPr>
    </xdr:pic>
    <xdr:clientData/>
  </xdr:twoCellAnchor>
  <xdr:twoCellAnchor editAs="oneCell">
    <xdr:from>
      <xdr:col>2</xdr:col>
      <xdr:colOff>38100</xdr:colOff>
      <xdr:row>307</xdr:row>
      <xdr:rowOff>38100</xdr:rowOff>
    </xdr:from>
    <xdr:to>
      <xdr:col>2</xdr:col>
      <xdr:colOff>1181100</xdr:colOff>
      <xdr:row>307</xdr:row>
      <xdr:rowOff>1181100</xdr:rowOff>
    </xdr:to>
    <xdr:pic>
      <xdr:nvPicPr>
        <xdr:cNvPr id="1236" name="Picture 212" descr=""/>
        <xdr:cNvPicPr>
          <a:picLocks noChangeAspect="1" noChangeArrowheads="1"/>
        </xdr:cNvPicPr>
      </xdr:nvPicPr>
      <xdr:blipFill>
        <a:blip r:embed="R5c1919751cd440b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309</xdr:row>
      <xdr:rowOff>38100</xdr:rowOff>
    </xdr:from>
    <xdr:to>
      <xdr:col>2</xdr:col>
      <xdr:colOff>723900</xdr:colOff>
      <xdr:row>309</xdr:row>
      <xdr:rowOff>800100</xdr:rowOff>
    </xdr:to>
    <xdr:pic>
      <xdr:nvPicPr>
        <xdr:cNvPr id="1237" name="Picture 213" descr=""/>
        <xdr:cNvPicPr>
          <a:picLocks noChangeAspect="1" noChangeArrowheads="1"/>
        </xdr:cNvPicPr>
      </xdr:nvPicPr>
      <xdr:blipFill>
        <a:blip r:embed="R42c1a19f37b74c02" cstate="print"/>
        <a:srcRect/>
        <a:stretch>
          <a:fillRect/>
        </a:stretch>
      </xdr:blipFill>
      <xdr:spPr bwMode="auto">
        <a:xfrm>
          <a:off x="0" y="0"/>
          <a:ext cx="685800" cy="762000"/>
        </a:xfrm>
        <a:prstGeom prst="rect">
          <a:avLst/>
        </a:prstGeom>
        <a:noFill/>
      </xdr:spPr>
    </xdr:pic>
    <xdr:clientData/>
  </xdr:twoCellAnchor>
  <xdr:twoCellAnchor editAs="oneCell">
    <xdr:from>
      <xdr:col>2</xdr:col>
      <xdr:colOff>38100</xdr:colOff>
      <xdr:row>310</xdr:row>
      <xdr:rowOff>38100</xdr:rowOff>
    </xdr:from>
    <xdr:to>
      <xdr:col>2</xdr:col>
      <xdr:colOff>769620</xdr:colOff>
      <xdr:row>310</xdr:row>
      <xdr:rowOff>312420</xdr:rowOff>
    </xdr:to>
    <xdr:pic>
      <xdr:nvPicPr>
        <xdr:cNvPr id="1238" name="Picture 214" descr=""/>
        <xdr:cNvPicPr>
          <a:picLocks noChangeAspect="1" noChangeArrowheads="1"/>
        </xdr:cNvPicPr>
      </xdr:nvPicPr>
      <xdr:blipFill>
        <a:blip r:embed="Re10fe80a0b88423b" cstate="print"/>
        <a:srcRect/>
        <a:stretch>
          <a:fillRect/>
        </a:stretch>
      </xdr:blipFill>
      <xdr:spPr bwMode="auto">
        <a:xfrm>
          <a:off x="0" y="0"/>
          <a:ext cx="731520" cy="274320"/>
        </a:xfrm>
        <a:prstGeom prst="rect">
          <a:avLst/>
        </a:prstGeom>
        <a:noFill/>
      </xdr:spPr>
    </xdr:pic>
    <xdr:clientData/>
  </xdr:twoCellAnchor>
  <xdr:twoCellAnchor editAs="oneCell">
    <xdr:from>
      <xdr:col>2</xdr:col>
      <xdr:colOff>38100</xdr:colOff>
      <xdr:row>311</xdr:row>
      <xdr:rowOff>38100</xdr:rowOff>
    </xdr:from>
    <xdr:to>
      <xdr:col>2</xdr:col>
      <xdr:colOff>1181100</xdr:colOff>
      <xdr:row>311</xdr:row>
      <xdr:rowOff>1181100</xdr:rowOff>
    </xdr:to>
    <xdr:pic>
      <xdr:nvPicPr>
        <xdr:cNvPr id="1239" name="Picture 215" descr=""/>
        <xdr:cNvPicPr>
          <a:picLocks noChangeAspect="1" noChangeArrowheads="1"/>
        </xdr:cNvPicPr>
      </xdr:nvPicPr>
      <xdr:blipFill>
        <a:blip r:embed="R66e10db14ead4a0a"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312</xdr:row>
      <xdr:rowOff>38100</xdr:rowOff>
    </xdr:from>
    <xdr:to>
      <xdr:col>2</xdr:col>
      <xdr:colOff>1171575</xdr:colOff>
      <xdr:row>312</xdr:row>
      <xdr:rowOff>1181100</xdr:rowOff>
    </xdr:to>
    <xdr:pic>
      <xdr:nvPicPr>
        <xdr:cNvPr id="1240" name="Picture 216" descr=""/>
        <xdr:cNvPicPr>
          <a:picLocks noChangeAspect="1" noChangeArrowheads="1"/>
        </xdr:cNvPicPr>
      </xdr:nvPicPr>
      <xdr:blipFill>
        <a:blip r:embed="R5360340b4899498e" cstate="print"/>
        <a:srcRect/>
        <a:stretch>
          <a:fillRect/>
        </a:stretch>
      </xdr:blipFill>
      <xdr:spPr bwMode="auto">
        <a:xfrm>
          <a:off x="0" y="0"/>
          <a:ext cx="1133475" cy="1143000"/>
        </a:xfrm>
        <a:prstGeom prst="rect">
          <a:avLst/>
        </a:prstGeom>
        <a:noFill/>
      </xdr:spPr>
    </xdr:pic>
    <xdr:clientData/>
  </xdr:twoCellAnchor>
  <xdr:twoCellAnchor editAs="oneCell">
    <xdr:from>
      <xdr:col>2</xdr:col>
      <xdr:colOff>38100</xdr:colOff>
      <xdr:row>313</xdr:row>
      <xdr:rowOff>38100</xdr:rowOff>
    </xdr:from>
    <xdr:to>
      <xdr:col>2</xdr:col>
      <xdr:colOff>1181100</xdr:colOff>
      <xdr:row>313</xdr:row>
      <xdr:rowOff>238125</xdr:rowOff>
    </xdr:to>
    <xdr:pic>
      <xdr:nvPicPr>
        <xdr:cNvPr id="1241" name="Picture 217" descr=""/>
        <xdr:cNvPicPr>
          <a:picLocks noChangeAspect="1" noChangeArrowheads="1"/>
        </xdr:cNvPicPr>
      </xdr:nvPicPr>
      <xdr:blipFill>
        <a:blip r:embed="Rbdc1998292344d04" cstate="print"/>
        <a:srcRect/>
        <a:stretch>
          <a:fillRect/>
        </a:stretch>
      </xdr:blipFill>
      <xdr:spPr bwMode="auto">
        <a:xfrm>
          <a:off x="0" y="0"/>
          <a:ext cx="1143000" cy="200025"/>
        </a:xfrm>
        <a:prstGeom prst="rect">
          <a:avLst/>
        </a:prstGeom>
        <a:noFill/>
      </xdr:spPr>
    </xdr:pic>
    <xdr:clientData/>
  </xdr:twoCellAnchor>
  <xdr:twoCellAnchor editAs="oneCell">
    <xdr:from>
      <xdr:col>2</xdr:col>
      <xdr:colOff>38100</xdr:colOff>
      <xdr:row>314</xdr:row>
      <xdr:rowOff>38100</xdr:rowOff>
    </xdr:from>
    <xdr:to>
      <xdr:col>2</xdr:col>
      <xdr:colOff>1181100</xdr:colOff>
      <xdr:row>314</xdr:row>
      <xdr:rowOff>304800</xdr:rowOff>
    </xdr:to>
    <xdr:pic>
      <xdr:nvPicPr>
        <xdr:cNvPr id="1242" name="Picture 218" descr=""/>
        <xdr:cNvPicPr>
          <a:picLocks noChangeAspect="1" noChangeArrowheads="1"/>
        </xdr:cNvPicPr>
      </xdr:nvPicPr>
      <xdr:blipFill>
        <a:blip r:embed="R5b02349091524882" cstate="print"/>
        <a:srcRect/>
        <a:stretch>
          <a:fillRect/>
        </a:stretch>
      </xdr:blipFill>
      <xdr:spPr bwMode="auto">
        <a:xfrm>
          <a:off x="0" y="0"/>
          <a:ext cx="1143000" cy="266700"/>
        </a:xfrm>
        <a:prstGeom prst="rect">
          <a:avLst/>
        </a:prstGeom>
        <a:noFill/>
      </xdr:spPr>
    </xdr:pic>
    <xdr:clientData/>
  </xdr:twoCellAnchor>
  <xdr:twoCellAnchor editAs="oneCell">
    <xdr:from>
      <xdr:col>2</xdr:col>
      <xdr:colOff>38100</xdr:colOff>
      <xdr:row>315</xdr:row>
      <xdr:rowOff>38100</xdr:rowOff>
    </xdr:from>
    <xdr:to>
      <xdr:col>2</xdr:col>
      <xdr:colOff>1181100</xdr:colOff>
      <xdr:row>315</xdr:row>
      <xdr:rowOff>314325</xdr:rowOff>
    </xdr:to>
    <xdr:pic>
      <xdr:nvPicPr>
        <xdr:cNvPr id="1243" name="Picture 219" descr=""/>
        <xdr:cNvPicPr>
          <a:picLocks noChangeAspect="1" noChangeArrowheads="1"/>
        </xdr:cNvPicPr>
      </xdr:nvPicPr>
      <xdr:blipFill>
        <a:blip r:embed="R4c7d62cc30cc448e" cstate="print"/>
        <a:srcRect/>
        <a:stretch>
          <a:fillRect/>
        </a:stretch>
      </xdr:blipFill>
      <xdr:spPr bwMode="auto">
        <a:xfrm>
          <a:off x="0" y="0"/>
          <a:ext cx="1143000" cy="276225"/>
        </a:xfrm>
        <a:prstGeom prst="rect">
          <a:avLst/>
        </a:prstGeom>
        <a:noFill/>
      </xdr:spPr>
    </xdr:pic>
    <xdr:clientData/>
  </xdr:twoCellAnchor>
  <xdr:twoCellAnchor editAs="oneCell">
    <xdr:from>
      <xdr:col>2</xdr:col>
      <xdr:colOff>38100</xdr:colOff>
      <xdr:row>316</xdr:row>
      <xdr:rowOff>38100</xdr:rowOff>
    </xdr:from>
    <xdr:to>
      <xdr:col>2</xdr:col>
      <xdr:colOff>1181100</xdr:colOff>
      <xdr:row>316</xdr:row>
      <xdr:rowOff>257175</xdr:rowOff>
    </xdr:to>
    <xdr:pic>
      <xdr:nvPicPr>
        <xdr:cNvPr id="1244" name="Picture 220" descr=""/>
        <xdr:cNvPicPr>
          <a:picLocks noChangeAspect="1" noChangeArrowheads="1"/>
        </xdr:cNvPicPr>
      </xdr:nvPicPr>
      <xdr:blipFill>
        <a:blip r:embed="R1f356872b596403c" cstate="print"/>
        <a:srcRect/>
        <a:stretch>
          <a:fillRect/>
        </a:stretch>
      </xdr:blipFill>
      <xdr:spPr bwMode="auto">
        <a:xfrm>
          <a:off x="0" y="0"/>
          <a:ext cx="1143000" cy="219075"/>
        </a:xfrm>
        <a:prstGeom prst="rect">
          <a:avLst/>
        </a:prstGeom>
        <a:noFill/>
      </xdr:spPr>
    </xdr:pic>
    <xdr:clientData/>
  </xdr:twoCellAnchor>
  <xdr:twoCellAnchor editAs="oneCell">
    <xdr:from>
      <xdr:col>2</xdr:col>
      <xdr:colOff>38100</xdr:colOff>
      <xdr:row>317</xdr:row>
      <xdr:rowOff>38100</xdr:rowOff>
    </xdr:from>
    <xdr:to>
      <xdr:col>2</xdr:col>
      <xdr:colOff>370620</xdr:colOff>
      <xdr:row>317</xdr:row>
      <xdr:rowOff>370620</xdr:rowOff>
    </xdr:to>
    <xdr:pic>
      <xdr:nvPicPr>
        <xdr:cNvPr id="1245" name="Picture 221" descr=""/>
        <xdr:cNvPicPr>
          <a:picLocks noChangeAspect="1" noChangeArrowheads="1"/>
        </xdr:cNvPicPr>
      </xdr:nvPicPr>
      <xdr:blipFill>
        <a:blip r:embed="Rce6f9b79f4d443c0" cstate="print"/>
        <a:srcRect/>
        <a:stretch>
          <a:fillRect/>
        </a:stretch>
      </xdr:blipFill>
      <xdr:spPr bwMode="auto">
        <a:xfrm>
          <a:off x="0" y="0"/>
          <a:ext cx="332520" cy="332520"/>
        </a:xfrm>
        <a:prstGeom prst="rect">
          <a:avLst/>
        </a:prstGeom>
        <a:noFill/>
      </xdr:spPr>
    </xdr:pic>
    <xdr:clientData/>
  </xdr:twoCellAnchor>
  <xdr:twoCellAnchor editAs="oneCell">
    <xdr:from>
      <xdr:col>2</xdr:col>
      <xdr:colOff>38100</xdr:colOff>
      <xdr:row>319</xdr:row>
      <xdr:rowOff>38100</xdr:rowOff>
    </xdr:from>
    <xdr:to>
      <xdr:col>2</xdr:col>
      <xdr:colOff>1181100</xdr:colOff>
      <xdr:row>319</xdr:row>
      <xdr:rowOff>600075</xdr:rowOff>
    </xdr:to>
    <xdr:pic>
      <xdr:nvPicPr>
        <xdr:cNvPr id="1246" name="Picture 222" descr=""/>
        <xdr:cNvPicPr>
          <a:picLocks noChangeAspect="1" noChangeArrowheads="1"/>
        </xdr:cNvPicPr>
      </xdr:nvPicPr>
      <xdr:blipFill>
        <a:blip r:embed="Raf0b290893f54dc3" cstate="print"/>
        <a:srcRect/>
        <a:stretch>
          <a:fillRect/>
        </a:stretch>
      </xdr:blipFill>
      <xdr:spPr bwMode="auto">
        <a:xfrm>
          <a:off x="0" y="0"/>
          <a:ext cx="1143000" cy="561975"/>
        </a:xfrm>
        <a:prstGeom prst="rect">
          <a:avLst/>
        </a:prstGeom>
        <a:noFill/>
      </xdr:spPr>
    </xdr:pic>
    <xdr:clientData/>
  </xdr:twoCellAnchor>
  <xdr:twoCellAnchor editAs="oneCell">
    <xdr:from>
      <xdr:col>2</xdr:col>
      <xdr:colOff>38100</xdr:colOff>
      <xdr:row>320</xdr:row>
      <xdr:rowOff>38100</xdr:rowOff>
    </xdr:from>
    <xdr:to>
      <xdr:col>2</xdr:col>
      <xdr:colOff>895350</xdr:colOff>
      <xdr:row>320</xdr:row>
      <xdr:rowOff>1181100</xdr:rowOff>
    </xdr:to>
    <xdr:pic>
      <xdr:nvPicPr>
        <xdr:cNvPr id="1247" name="Picture 223" descr=""/>
        <xdr:cNvPicPr>
          <a:picLocks noChangeAspect="1" noChangeArrowheads="1"/>
        </xdr:cNvPicPr>
      </xdr:nvPicPr>
      <xdr:blipFill>
        <a:blip r:embed="Rc6360be9073441ab" cstate="print"/>
        <a:srcRect/>
        <a:stretch>
          <a:fillRect/>
        </a:stretch>
      </xdr:blipFill>
      <xdr:spPr bwMode="auto">
        <a:xfrm>
          <a:off x="0" y="0"/>
          <a:ext cx="857250" cy="1143000"/>
        </a:xfrm>
        <a:prstGeom prst="rect">
          <a:avLst/>
        </a:prstGeom>
        <a:noFill/>
      </xdr:spPr>
    </xdr:pic>
    <xdr:clientData/>
  </xdr:twoCellAnchor>
  <xdr:twoCellAnchor editAs="oneCell">
    <xdr:from>
      <xdr:col>2</xdr:col>
      <xdr:colOff>38100</xdr:colOff>
      <xdr:row>321</xdr:row>
      <xdr:rowOff>38100</xdr:rowOff>
    </xdr:from>
    <xdr:to>
      <xdr:col>2</xdr:col>
      <xdr:colOff>546060</xdr:colOff>
      <xdr:row>321</xdr:row>
      <xdr:rowOff>245517</xdr:rowOff>
    </xdr:to>
    <xdr:pic>
      <xdr:nvPicPr>
        <xdr:cNvPr id="1248" name="Picture 224" descr=""/>
        <xdr:cNvPicPr>
          <a:picLocks noChangeAspect="1" noChangeArrowheads="1"/>
        </xdr:cNvPicPr>
      </xdr:nvPicPr>
      <xdr:blipFill>
        <a:blip r:embed="R403a6af73e79459c" cstate="print"/>
        <a:srcRect/>
        <a:stretch>
          <a:fillRect/>
        </a:stretch>
      </xdr:blipFill>
      <xdr:spPr bwMode="auto">
        <a:xfrm>
          <a:off x="0" y="0"/>
          <a:ext cx="507960" cy="207417"/>
        </a:xfrm>
        <a:prstGeom prst="rect">
          <a:avLst/>
        </a:prstGeom>
        <a:noFill/>
      </xdr:spPr>
    </xdr:pic>
    <xdr:clientData/>
  </xdr:twoCellAnchor>
  <xdr:twoCellAnchor editAs="oneCell">
    <xdr:from>
      <xdr:col>2</xdr:col>
      <xdr:colOff>38100</xdr:colOff>
      <xdr:row>324</xdr:row>
      <xdr:rowOff>38100</xdr:rowOff>
    </xdr:from>
    <xdr:to>
      <xdr:col>2</xdr:col>
      <xdr:colOff>1181100</xdr:colOff>
      <xdr:row>324</xdr:row>
      <xdr:rowOff>742950</xdr:rowOff>
    </xdr:to>
    <xdr:pic>
      <xdr:nvPicPr>
        <xdr:cNvPr id="1249" name="Picture 225" descr=""/>
        <xdr:cNvPicPr>
          <a:picLocks noChangeAspect="1" noChangeArrowheads="1"/>
        </xdr:cNvPicPr>
      </xdr:nvPicPr>
      <xdr:blipFill>
        <a:blip r:embed="Re1db89474fa6471f" cstate="print"/>
        <a:srcRect/>
        <a:stretch>
          <a:fillRect/>
        </a:stretch>
      </xdr:blipFill>
      <xdr:spPr bwMode="auto">
        <a:xfrm>
          <a:off x="0" y="0"/>
          <a:ext cx="1143000" cy="704850"/>
        </a:xfrm>
        <a:prstGeom prst="rect">
          <a:avLst/>
        </a:prstGeom>
        <a:noFill/>
      </xdr:spPr>
    </xdr:pic>
    <xdr:clientData/>
  </xdr:twoCellAnchor>
  <xdr:twoCellAnchor editAs="oneCell">
    <xdr:from>
      <xdr:col>2</xdr:col>
      <xdr:colOff>38100</xdr:colOff>
      <xdr:row>326</xdr:row>
      <xdr:rowOff>38100</xdr:rowOff>
    </xdr:from>
    <xdr:to>
      <xdr:col>2</xdr:col>
      <xdr:colOff>1181100</xdr:colOff>
      <xdr:row>326</xdr:row>
      <xdr:rowOff>457200</xdr:rowOff>
    </xdr:to>
    <xdr:pic>
      <xdr:nvPicPr>
        <xdr:cNvPr id="1250" name="Picture 226" descr=""/>
        <xdr:cNvPicPr>
          <a:picLocks noChangeAspect="1" noChangeArrowheads="1"/>
        </xdr:cNvPicPr>
      </xdr:nvPicPr>
      <xdr:blipFill>
        <a:blip r:embed="Rd05e1895119f4f38" cstate="print"/>
        <a:srcRect/>
        <a:stretch>
          <a:fillRect/>
        </a:stretch>
      </xdr:blipFill>
      <xdr:spPr bwMode="auto">
        <a:xfrm>
          <a:off x="0" y="0"/>
          <a:ext cx="1143000" cy="419100"/>
        </a:xfrm>
        <a:prstGeom prst="rect">
          <a:avLst/>
        </a:prstGeom>
        <a:noFill/>
      </xdr:spPr>
    </xdr:pic>
    <xdr:clientData/>
  </xdr:twoCellAnchor>
  <xdr:twoCellAnchor editAs="oneCell">
    <xdr:from>
      <xdr:col>2</xdr:col>
      <xdr:colOff>38100</xdr:colOff>
      <xdr:row>327</xdr:row>
      <xdr:rowOff>38100</xdr:rowOff>
    </xdr:from>
    <xdr:to>
      <xdr:col>2</xdr:col>
      <xdr:colOff>1205700</xdr:colOff>
      <xdr:row>327</xdr:row>
      <xdr:rowOff>1205700</xdr:rowOff>
    </xdr:to>
    <xdr:pic>
      <xdr:nvPicPr>
        <xdr:cNvPr id="1251" name="Picture 227" descr=""/>
        <xdr:cNvPicPr>
          <a:picLocks noChangeAspect="1" noChangeArrowheads="1"/>
        </xdr:cNvPicPr>
      </xdr:nvPicPr>
      <xdr:blipFill>
        <a:blip r:embed="R22664f41fb664930" cstate="print"/>
        <a:srcRect/>
        <a:stretch>
          <a:fillRect/>
        </a:stretch>
      </xdr:blipFill>
      <xdr:spPr bwMode="auto">
        <a:xfrm>
          <a:off x="0" y="0"/>
          <a:ext cx="1167600" cy="1167600"/>
        </a:xfrm>
        <a:prstGeom prst="rect">
          <a:avLst/>
        </a:prstGeom>
        <a:noFill/>
      </xdr:spPr>
    </xdr:pic>
    <xdr:clientData/>
  </xdr:twoCellAnchor>
  <xdr:twoCellAnchor editAs="oneCell">
    <xdr:from>
      <xdr:col>2</xdr:col>
      <xdr:colOff>38100</xdr:colOff>
      <xdr:row>328</xdr:row>
      <xdr:rowOff>38100</xdr:rowOff>
    </xdr:from>
    <xdr:to>
      <xdr:col>2</xdr:col>
      <xdr:colOff>605028</xdr:colOff>
      <xdr:row>328</xdr:row>
      <xdr:rowOff>769620</xdr:rowOff>
    </xdr:to>
    <xdr:pic>
      <xdr:nvPicPr>
        <xdr:cNvPr id="1252" name="Picture 228" descr=""/>
        <xdr:cNvPicPr>
          <a:picLocks noChangeAspect="1" noChangeArrowheads="1"/>
        </xdr:cNvPicPr>
      </xdr:nvPicPr>
      <xdr:blipFill>
        <a:blip r:embed="R13a120f6b8794ab1"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329</xdr:row>
      <xdr:rowOff>38100</xdr:rowOff>
    </xdr:from>
    <xdr:to>
      <xdr:col>2</xdr:col>
      <xdr:colOff>1181100</xdr:colOff>
      <xdr:row>329</xdr:row>
      <xdr:rowOff>1076325</xdr:rowOff>
    </xdr:to>
    <xdr:pic>
      <xdr:nvPicPr>
        <xdr:cNvPr id="1253" name="Picture 229" descr=""/>
        <xdr:cNvPicPr>
          <a:picLocks noChangeAspect="1" noChangeArrowheads="1"/>
        </xdr:cNvPicPr>
      </xdr:nvPicPr>
      <xdr:blipFill>
        <a:blip r:embed="Re095cad6d3194fea" cstate="print"/>
        <a:srcRect/>
        <a:stretch>
          <a:fillRect/>
        </a:stretch>
      </xdr:blipFill>
      <xdr:spPr bwMode="auto">
        <a:xfrm>
          <a:off x="0" y="0"/>
          <a:ext cx="1143000" cy="1038225"/>
        </a:xfrm>
        <a:prstGeom prst="rect">
          <a:avLst/>
        </a:prstGeom>
        <a:noFill/>
      </xdr:spPr>
    </xdr:pic>
    <xdr:clientData/>
  </xdr:twoCellAnchor>
  <xdr:twoCellAnchor editAs="oneCell">
    <xdr:from>
      <xdr:col>2</xdr:col>
      <xdr:colOff>38100</xdr:colOff>
      <xdr:row>330</xdr:row>
      <xdr:rowOff>38100</xdr:rowOff>
    </xdr:from>
    <xdr:to>
      <xdr:col>2</xdr:col>
      <xdr:colOff>1057275</xdr:colOff>
      <xdr:row>330</xdr:row>
      <xdr:rowOff>1181100</xdr:rowOff>
    </xdr:to>
    <xdr:pic>
      <xdr:nvPicPr>
        <xdr:cNvPr id="1254" name="Picture 230" descr=""/>
        <xdr:cNvPicPr>
          <a:picLocks noChangeAspect="1" noChangeArrowheads="1"/>
        </xdr:cNvPicPr>
      </xdr:nvPicPr>
      <xdr:blipFill>
        <a:blip r:embed="Rf338678eae284048" cstate="print"/>
        <a:srcRect/>
        <a:stretch>
          <a:fillRect/>
        </a:stretch>
      </xdr:blipFill>
      <xdr:spPr bwMode="auto">
        <a:xfrm>
          <a:off x="0" y="0"/>
          <a:ext cx="1019175" cy="1143000"/>
        </a:xfrm>
        <a:prstGeom prst="rect">
          <a:avLst/>
        </a:prstGeom>
        <a:noFill/>
      </xdr:spPr>
    </xdr:pic>
    <xdr:clientData/>
  </xdr:twoCellAnchor>
  <xdr:twoCellAnchor editAs="oneCell">
    <xdr:from>
      <xdr:col>2</xdr:col>
      <xdr:colOff>38100</xdr:colOff>
      <xdr:row>331</xdr:row>
      <xdr:rowOff>38100</xdr:rowOff>
    </xdr:from>
    <xdr:to>
      <xdr:col>2</xdr:col>
      <xdr:colOff>1181100</xdr:colOff>
      <xdr:row>331</xdr:row>
      <xdr:rowOff>847725</xdr:rowOff>
    </xdr:to>
    <xdr:pic>
      <xdr:nvPicPr>
        <xdr:cNvPr id="1255" name="Picture 231" descr=""/>
        <xdr:cNvPicPr>
          <a:picLocks noChangeAspect="1" noChangeArrowheads="1"/>
        </xdr:cNvPicPr>
      </xdr:nvPicPr>
      <xdr:blipFill>
        <a:blip r:embed="R21e5b02603ce4789" cstate="print"/>
        <a:srcRect/>
        <a:stretch>
          <a:fillRect/>
        </a:stretch>
      </xdr:blipFill>
      <xdr:spPr bwMode="auto">
        <a:xfrm>
          <a:off x="0" y="0"/>
          <a:ext cx="1143000" cy="809625"/>
        </a:xfrm>
        <a:prstGeom prst="rect">
          <a:avLst/>
        </a:prstGeom>
        <a:noFill/>
      </xdr:spPr>
    </xdr:pic>
    <xdr:clientData/>
  </xdr:twoCellAnchor>
  <xdr:twoCellAnchor editAs="oneCell">
    <xdr:from>
      <xdr:col>2</xdr:col>
      <xdr:colOff>38100</xdr:colOff>
      <xdr:row>332</xdr:row>
      <xdr:rowOff>38100</xdr:rowOff>
    </xdr:from>
    <xdr:to>
      <xdr:col>2</xdr:col>
      <xdr:colOff>1322648</xdr:colOff>
      <xdr:row>332</xdr:row>
      <xdr:rowOff>1329060</xdr:rowOff>
    </xdr:to>
    <xdr:pic>
      <xdr:nvPicPr>
        <xdr:cNvPr id="1256" name="Picture 232" descr=""/>
        <xdr:cNvPicPr>
          <a:picLocks noChangeAspect="1" noChangeArrowheads="1"/>
        </xdr:cNvPicPr>
      </xdr:nvPicPr>
      <xdr:blipFill>
        <a:blip r:embed="R4e0a20fdcaf04b61" cstate="print"/>
        <a:srcRect/>
        <a:stretch>
          <a:fillRect/>
        </a:stretch>
      </xdr:blipFill>
      <xdr:spPr bwMode="auto">
        <a:xfrm>
          <a:off x="0" y="0"/>
          <a:ext cx="1284548" cy="1290960"/>
        </a:xfrm>
        <a:prstGeom prst="rect">
          <a:avLst/>
        </a:prstGeom>
        <a:noFill/>
      </xdr:spPr>
    </xdr:pic>
    <xdr:clientData/>
  </xdr:twoCellAnchor>
  <xdr:twoCellAnchor editAs="oneCell">
    <xdr:from>
      <xdr:col>2</xdr:col>
      <xdr:colOff>38100</xdr:colOff>
      <xdr:row>333</xdr:row>
      <xdr:rowOff>38100</xdr:rowOff>
    </xdr:from>
    <xdr:to>
      <xdr:col>2</xdr:col>
      <xdr:colOff>769620</xdr:colOff>
      <xdr:row>333</xdr:row>
      <xdr:rowOff>586740</xdr:rowOff>
    </xdr:to>
    <xdr:pic>
      <xdr:nvPicPr>
        <xdr:cNvPr id="1257" name="Picture 233" descr=""/>
        <xdr:cNvPicPr>
          <a:picLocks noChangeAspect="1" noChangeArrowheads="1"/>
        </xdr:cNvPicPr>
      </xdr:nvPicPr>
      <xdr:blipFill>
        <a:blip r:embed="R333bca13e97546ac" cstate="print"/>
        <a:srcRect/>
        <a:stretch>
          <a:fillRect/>
        </a:stretch>
      </xdr:blipFill>
      <xdr:spPr bwMode="auto">
        <a:xfrm>
          <a:off x="0" y="0"/>
          <a:ext cx="731520" cy="548640"/>
        </a:xfrm>
        <a:prstGeom prst="rect">
          <a:avLst/>
        </a:prstGeom>
        <a:noFill/>
      </xdr:spPr>
    </xdr:pic>
    <xdr:clientData/>
  </xdr:twoCellAnchor>
  <xdr:twoCellAnchor editAs="oneCell">
    <xdr:from>
      <xdr:col>2</xdr:col>
      <xdr:colOff>38100</xdr:colOff>
      <xdr:row>334</xdr:row>
      <xdr:rowOff>38100</xdr:rowOff>
    </xdr:from>
    <xdr:to>
      <xdr:col>2</xdr:col>
      <xdr:colOff>452220</xdr:colOff>
      <xdr:row>334</xdr:row>
      <xdr:rowOff>452220</xdr:rowOff>
    </xdr:to>
    <xdr:pic>
      <xdr:nvPicPr>
        <xdr:cNvPr id="1258" name="Picture 234" descr=""/>
        <xdr:cNvPicPr>
          <a:picLocks noChangeAspect="1" noChangeArrowheads="1"/>
        </xdr:cNvPicPr>
      </xdr:nvPicPr>
      <xdr:blipFill>
        <a:blip r:embed="R0f9f87f1208b4eb0" cstate="print"/>
        <a:srcRect/>
        <a:stretch>
          <a:fillRect/>
        </a:stretch>
      </xdr:blipFill>
      <xdr:spPr bwMode="auto">
        <a:xfrm>
          <a:off x="0" y="0"/>
          <a:ext cx="414120" cy="414120"/>
        </a:xfrm>
        <a:prstGeom prst="rect">
          <a:avLst/>
        </a:prstGeom>
        <a:noFill/>
      </xdr:spPr>
    </xdr:pic>
    <xdr:clientData/>
  </xdr:twoCellAnchor>
  <xdr:twoCellAnchor editAs="oneCell">
    <xdr:from>
      <xdr:col>2</xdr:col>
      <xdr:colOff>38100</xdr:colOff>
      <xdr:row>335</xdr:row>
      <xdr:rowOff>38100</xdr:rowOff>
    </xdr:from>
    <xdr:to>
      <xdr:col>2</xdr:col>
      <xdr:colOff>586740</xdr:colOff>
      <xdr:row>335</xdr:row>
      <xdr:rowOff>586740</xdr:rowOff>
    </xdr:to>
    <xdr:pic>
      <xdr:nvPicPr>
        <xdr:cNvPr id="1259" name="Picture 235" descr=""/>
        <xdr:cNvPicPr>
          <a:picLocks noChangeAspect="1" noChangeArrowheads="1"/>
        </xdr:cNvPicPr>
      </xdr:nvPicPr>
      <xdr:blipFill>
        <a:blip r:embed="R4966e725668b4188" cstate="print"/>
        <a:srcRect/>
        <a:stretch>
          <a:fillRect/>
        </a:stretch>
      </xdr:blipFill>
      <xdr:spPr bwMode="auto">
        <a:xfrm>
          <a:off x="0" y="0"/>
          <a:ext cx="548640" cy="548640"/>
        </a:xfrm>
        <a:prstGeom prst="rect">
          <a:avLst/>
        </a:prstGeom>
        <a:noFill/>
      </xdr:spPr>
    </xdr:pic>
    <xdr:clientData/>
  </xdr:twoCellAnchor>
  <xdr:twoCellAnchor editAs="oneCell">
    <xdr:from>
      <xdr:col>2</xdr:col>
      <xdr:colOff>38100</xdr:colOff>
      <xdr:row>336</xdr:row>
      <xdr:rowOff>38100</xdr:rowOff>
    </xdr:from>
    <xdr:to>
      <xdr:col>2</xdr:col>
      <xdr:colOff>1181100</xdr:colOff>
      <xdr:row>336</xdr:row>
      <xdr:rowOff>1181100</xdr:rowOff>
    </xdr:to>
    <xdr:pic>
      <xdr:nvPicPr>
        <xdr:cNvPr id="1260" name="Picture 236" descr=""/>
        <xdr:cNvPicPr>
          <a:picLocks noChangeAspect="1" noChangeArrowheads="1"/>
        </xdr:cNvPicPr>
      </xdr:nvPicPr>
      <xdr:blipFill>
        <a:blip r:embed="Rdddaf896a3c44f3f"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337</xdr:row>
      <xdr:rowOff>38100</xdr:rowOff>
    </xdr:from>
    <xdr:to>
      <xdr:col>2</xdr:col>
      <xdr:colOff>109766100</xdr:colOff>
      <xdr:row>337</xdr:row>
      <xdr:rowOff>109766100</xdr:rowOff>
    </xdr:to>
    <xdr:pic>
      <xdr:nvPicPr>
        <xdr:cNvPr id="1261" name="Picture 237" descr=""/>
        <xdr:cNvPicPr>
          <a:picLocks noChangeAspect="1" noChangeArrowheads="1"/>
        </xdr:cNvPicPr>
      </xdr:nvPicPr>
      <xdr:blipFill>
        <a:blip r:embed="R5abc9d91715f4ae6" cstate="print"/>
        <a:srcRect/>
        <a:stretch>
          <a:fillRect/>
        </a:stretch>
      </xdr:blipFill>
      <xdr:spPr bwMode="auto">
        <a:xfrm>
          <a:off x="0" y="0"/>
          <a:ext cx="109728000" cy="109728000"/>
        </a:xfrm>
        <a:prstGeom prst="rect">
          <a:avLst/>
        </a:prstGeom>
        <a:noFill/>
      </xdr:spPr>
    </xdr:pic>
    <xdr:clientData/>
  </xdr:twoCellAnchor>
  <xdr:twoCellAnchor editAs="oneCell">
    <xdr:from>
      <xdr:col>2</xdr:col>
      <xdr:colOff>38100</xdr:colOff>
      <xdr:row>338</xdr:row>
      <xdr:rowOff>38100</xdr:rowOff>
    </xdr:from>
    <xdr:to>
      <xdr:col>2</xdr:col>
      <xdr:colOff>1181100</xdr:colOff>
      <xdr:row>338</xdr:row>
      <xdr:rowOff>419100</xdr:rowOff>
    </xdr:to>
    <xdr:pic>
      <xdr:nvPicPr>
        <xdr:cNvPr id="1262" name="Picture 238" descr=""/>
        <xdr:cNvPicPr>
          <a:picLocks noChangeAspect="1" noChangeArrowheads="1"/>
        </xdr:cNvPicPr>
      </xdr:nvPicPr>
      <xdr:blipFill>
        <a:blip r:embed="Rdb14196ba19741ea" cstate="print"/>
        <a:srcRect/>
        <a:stretch>
          <a:fillRect/>
        </a:stretch>
      </xdr:blipFill>
      <xdr:spPr bwMode="auto">
        <a:xfrm>
          <a:off x="0" y="0"/>
          <a:ext cx="1143000" cy="381000"/>
        </a:xfrm>
        <a:prstGeom prst="rect">
          <a:avLst/>
        </a:prstGeom>
        <a:noFill/>
      </xdr:spPr>
    </xdr:pic>
    <xdr:clientData/>
  </xdr:twoCellAnchor>
  <xdr:twoCellAnchor editAs="oneCell">
    <xdr:from>
      <xdr:col>2</xdr:col>
      <xdr:colOff>38100</xdr:colOff>
      <xdr:row>339</xdr:row>
      <xdr:rowOff>38100</xdr:rowOff>
    </xdr:from>
    <xdr:to>
      <xdr:col>2</xdr:col>
      <xdr:colOff>1181100</xdr:colOff>
      <xdr:row>339</xdr:row>
      <xdr:rowOff>447675</xdr:rowOff>
    </xdr:to>
    <xdr:pic>
      <xdr:nvPicPr>
        <xdr:cNvPr id="1263" name="Picture 239" descr=""/>
        <xdr:cNvPicPr>
          <a:picLocks noChangeAspect="1" noChangeArrowheads="1"/>
        </xdr:cNvPicPr>
      </xdr:nvPicPr>
      <xdr:blipFill>
        <a:blip r:embed="R677e4799535c4481" cstate="print"/>
        <a:srcRect/>
        <a:stretch>
          <a:fillRect/>
        </a:stretch>
      </xdr:blipFill>
      <xdr:spPr bwMode="auto">
        <a:xfrm>
          <a:off x="0" y="0"/>
          <a:ext cx="1143000" cy="409575"/>
        </a:xfrm>
        <a:prstGeom prst="rect">
          <a:avLst/>
        </a:prstGeom>
        <a:noFill/>
      </xdr:spPr>
    </xdr:pic>
    <xdr:clientData/>
  </xdr:twoCellAnchor>
  <xdr:twoCellAnchor editAs="oneCell">
    <xdr:from>
      <xdr:col>2</xdr:col>
      <xdr:colOff>38100</xdr:colOff>
      <xdr:row>340</xdr:row>
      <xdr:rowOff>38100</xdr:rowOff>
    </xdr:from>
    <xdr:to>
      <xdr:col>2</xdr:col>
      <xdr:colOff>1181100</xdr:colOff>
      <xdr:row>340</xdr:row>
      <xdr:rowOff>1162050</xdr:rowOff>
    </xdr:to>
    <xdr:pic>
      <xdr:nvPicPr>
        <xdr:cNvPr id="1264" name="Picture 240" descr=""/>
        <xdr:cNvPicPr>
          <a:picLocks noChangeAspect="1" noChangeArrowheads="1"/>
        </xdr:cNvPicPr>
      </xdr:nvPicPr>
      <xdr:blipFill>
        <a:blip r:embed="Rea2ead9ec1c447ba" cstate="print"/>
        <a:srcRect/>
        <a:stretch>
          <a:fillRect/>
        </a:stretch>
      </xdr:blipFill>
      <xdr:spPr bwMode="auto">
        <a:xfrm>
          <a:off x="0" y="0"/>
          <a:ext cx="1143000" cy="1123950"/>
        </a:xfrm>
        <a:prstGeom prst="rect">
          <a:avLst/>
        </a:prstGeom>
        <a:noFill/>
      </xdr:spPr>
    </xdr:pic>
    <xdr:clientData/>
  </xdr:twoCellAnchor>
  <xdr:twoCellAnchor editAs="oneCell">
    <xdr:from>
      <xdr:col>2</xdr:col>
      <xdr:colOff>38100</xdr:colOff>
      <xdr:row>341</xdr:row>
      <xdr:rowOff>38100</xdr:rowOff>
    </xdr:from>
    <xdr:to>
      <xdr:col>2</xdr:col>
      <xdr:colOff>1181100</xdr:colOff>
      <xdr:row>341</xdr:row>
      <xdr:rowOff>981075</xdr:rowOff>
    </xdr:to>
    <xdr:pic>
      <xdr:nvPicPr>
        <xdr:cNvPr id="1265" name="Picture 241" descr=""/>
        <xdr:cNvPicPr>
          <a:picLocks noChangeAspect="1" noChangeArrowheads="1"/>
        </xdr:cNvPicPr>
      </xdr:nvPicPr>
      <xdr:blipFill>
        <a:blip r:embed="R5d8cb29fe7e44b94" cstate="print"/>
        <a:srcRect/>
        <a:stretch>
          <a:fillRect/>
        </a:stretch>
      </xdr:blipFill>
      <xdr:spPr bwMode="auto">
        <a:xfrm>
          <a:off x="0" y="0"/>
          <a:ext cx="1143000" cy="942975"/>
        </a:xfrm>
        <a:prstGeom prst="rect">
          <a:avLst/>
        </a:prstGeom>
        <a:noFill/>
      </xdr:spPr>
    </xdr:pic>
    <xdr:clientData/>
  </xdr:twoCellAnchor>
  <xdr:twoCellAnchor editAs="oneCell">
    <xdr:from>
      <xdr:col>2</xdr:col>
      <xdr:colOff>38100</xdr:colOff>
      <xdr:row>342</xdr:row>
      <xdr:rowOff>38100</xdr:rowOff>
    </xdr:from>
    <xdr:to>
      <xdr:col>2</xdr:col>
      <xdr:colOff>1181100</xdr:colOff>
      <xdr:row>342</xdr:row>
      <xdr:rowOff>904875</xdr:rowOff>
    </xdr:to>
    <xdr:pic>
      <xdr:nvPicPr>
        <xdr:cNvPr id="1266" name="Picture 242" descr=""/>
        <xdr:cNvPicPr>
          <a:picLocks noChangeAspect="1" noChangeArrowheads="1"/>
        </xdr:cNvPicPr>
      </xdr:nvPicPr>
      <xdr:blipFill>
        <a:blip r:embed="R8dd91f5052864df5" cstate="print"/>
        <a:srcRect/>
        <a:stretch>
          <a:fillRect/>
        </a:stretch>
      </xdr:blipFill>
      <xdr:spPr bwMode="auto">
        <a:xfrm>
          <a:off x="0" y="0"/>
          <a:ext cx="1143000" cy="866775"/>
        </a:xfrm>
        <a:prstGeom prst="rect">
          <a:avLst/>
        </a:prstGeom>
        <a:noFill/>
      </xdr:spPr>
    </xdr:pic>
    <xdr:clientData/>
  </xdr:twoCellAnchor>
  <xdr:twoCellAnchor editAs="oneCell">
    <xdr:from>
      <xdr:col>2</xdr:col>
      <xdr:colOff>38100</xdr:colOff>
      <xdr:row>343</xdr:row>
      <xdr:rowOff>38100</xdr:rowOff>
    </xdr:from>
    <xdr:to>
      <xdr:col>2</xdr:col>
      <xdr:colOff>1181100</xdr:colOff>
      <xdr:row>343</xdr:row>
      <xdr:rowOff>676275</xdr:rowOff>
    </xdr:to>
    <xdr:pic>
      <xdr:nvPicPr>
        <xdr:cNvPr id="1267" name="Picture 243" descr=""/>
        <xdr:cNvPicPr>
          <a:picLocks noChangeAspect="1" noChangeArrowheads="1"/>
        </xdr:cNvPicPr>
      </xdr:nvPicPr>
      <xdr:blipFill>
        <a:blip r:embed="Rcca33df00df34d72" cstate="print"/>
        <a:srcRect/>
        <a:stretch>
          <a:fillRect/>
        </a:stretch>
      </xdr:blipFill>
      <xdr:spPr bwMode="auto">
        <a:xfrm>
          <a:off x="0" y="0"/>
          <a:ext cx="1143000" cy="638175"/>
        </a:xfrm>
        <a:prstGeom prst="rect">
          <a:avLst/>
        </a:prstGeom>
        <a:noFill/>
      </xdr:spPr>
    </xdr:pic>
    <xdr:clientData/>
  </xdr:twoCellAnchor>
  <xdr:twoCellAnchor editAs="oneCell">
    <xdr:from>
      <xdr:col>2</xdr:col>
      <xdr:colOff>38100</xdr:colOff>
      <xdr:row>344</xdr:row>
      <xdr:rowOff>38100</xdr:rowOff>
    </xdr:from>
    <xdr:to>
      <xdr:col>2</xdr:col>
      <xdr:colOff>923925</xdr:colOff>
      <xdr:row>344</xdr:row>
      <xdr:rowOff>1181100</xdr:rowOff>
    </xdr:to>
    <xdr:pic>
      <xdr:nvPicPr>
        <xdr:cNvPr id="1268" name="Picture 244" descr=""/>
        <xdr:cNvPicPr>
          <a:picLocks noChangeAspect="1" noChangeArrowheads="1"/>
        </xdr:cNvPicPr>
      </xdr:nvPicPr>
      <xdr:blipFill>
        <a:blip r:embed="Rfa51aa6c38bf4c9e" cstate="print"/>
        <a:srcRect/>
        <a:stretch>
          <a:fillRect/>
        </a:stretch>
      </xdr:blipFill>
      <xdr:spPr bwMode="auto">
        <a:xfrm>
          <a:off x="0" y="0"/>
          <a:ext cx="885825" cy="1143000"/>
        </a:xfrm>
        <a:prstGeom prst="rect">
          <a:avLst/>
        </a:prstGeom>
        <a:noFill/>
      </xdr:spPr>
    </xdr:pic>
    <xdr:clientData/>
  </xdr:twoCellAnchor>
  <xdr:twoCellAnchor editAs="oneCell">
    <xdr:from>
      <xdr:col>2</xdr:col>
      <xdr:colOff>38100</xdr:colOff>
      <xdr:row>345</xdr:row>
      <xdr:rowOff>38100</xdr:rowOff>
    </xdr:from>
    <xdr:to>
      <xdr:col>2</xdr:col>
      <xdr:colOff>1181100</xdr:colOff>
      <xdr:row>345</xdr:row>
      <xdr:rowOff>952500</xdr:rowOff>
    </xdr:to>
    <xdr:pic>
      <xdr:nvPicPr>
        <xdr:cNvPr id="1269" name="Picture 245" descr=""/>
        <xdr:cNvPicPr>
          <a:picLocks noChangeAspect="1" noChangeArrowheads="1"/>
        </xdr:cNvPicPr>
      </xdr:nvPicPr>
      <xdr:blipFill>
        <a:blip r:embed="Rbc2c5d58905e426c" cstate="print"/>
        <a:srcRect/>
        <a:stretch>
          <a:fillRect/>
        </a:stretch>
      </xdr:blipFill>
      <xdr:spPr bwMode="auto">
        <a:xfrm>
          <a:off x="0" y="0"/>
          <a:ext cx="1143000" cy="914400"/>
        </a:xfrm>
        <a:prstGeom prst="rect">
          <a:avLst/>
        </a:prstGeom>
        <a:noFill/>
      </xdr:spPr>
    </xdr:pic>
    <xdr:clientData/>
  </xdr:twoCellAnchor>
  <xdr:twoCellAnchor editAs="oneCell">
    <xdr:from>
      <xdr:col>2</xdr:col>
      <xdr:colOff>38100</xdr:colOff>
      <xdr:row>346</xdr:row>
      <xdr:rowOff>38100</xdr:rowOff>
    </xdr:from>
    <xdr:to>
      <xdr:col>2</xdr:col>
      <xdr:colOff>1181100</xdr:colOff>
      <xdr:row>346</xdr:row>
      <xdr:rowOff>1181100</xdr:rowOff>
    </xdr:to>
    <xdr:pic>
      <xdr:nvPicPr>
        <xdr:cNvPr id="1270" name="Picture 246" descr=""/>
        <xdr:cNvPicPr>
          <a:picLocks noChangeAspect="1" noChangeArrowheads="1"/>
        </xdr:cNvPicPr>
      </xdr:nvPicPr>
      <xdr:blipFill>
        <a:blip r:embed="R6aed0ed54f8c4194"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349</xdr:row>
      <xdr:rowOff>38100</xdr:rowOff>
    </xdr:from>
    <xdr:to>
      <xdr:col>2</xdr:col>
      <xdr:colOff>1460500</xdr:colOff>
      <xdr:row>349</xdr:row>
      <xdr:rowOff>1562100</xdr:rowOff>
    </xdr:to>
    <xdr:pic>
      <xdr:nvPicPr>
        <xdr:cNvPr id="1271" name="Picture 247" descr=""/>
        <xdr:cNvPicPr>
          <a:picLocks noChangeAspect="1" noChangeArrowheads="1"/>
        </xdr:cNvPicPr>
      </xdr:nvPicPr>
      <xdr:blipFill>
        <a:blip r:embed="R57e1c5a9a1e84a45" cstate="print"/>
        <a:srcRect/>
        <a:stretch>
          <a:fillRect/>
        </a:stretch>
      </xdr:blipFill>
      <xdr:spPr bwMode="auto">
        <a:xfrm>
          <a:off x="0" y="0"/>
          <a:ext cx="1422400" cy="1524000"/>
        </a:xfrm>
        <a:prstGeom prst="rect">
          <a:avLst/>
        </a:prstGeom>
        <a:noFill/>
      </xdr:spPr>
    </xdr:pic>
    <xdr:clientData/>
  </xdr:twoCellAnchor>
  <xdr:twoCellAnchor editAs="oneCell">
    <xdr:from>
      <xdr:col>2</xdr:col>
      <xdr:colOff>38100</xdr:colOff>
      <xdr:row>350</xdr:row>
      <xdr:rowOff>38100</xdr:rowOff>
    </xdr:from>
    <xdr:to>
      <xdr:col>2</xdr:col>
      <xdr:colOff>1181100</xdr:colOff>
      <xdr:row>350</xdr:row>
      <xdr:rowOff>381000</xdr:rowOff>
    </xdr:to>
    <xdr:pic>
      <xdr:nvPicPr>
        <xdr:cNvPr id="1272" name="Picture 248" descr=""/>
        <xdr:cNvPicPr>
          <a:picLocks noChangeAspect="1" noChangeArrowheads="1"/>
        </xdr:cNvPicPr>
      </xdr:nvPicPr>
      <xdr:blipFill>
        <a:blip r:embed="Re415a90af151483e" cstate="print"/>
        <a:srcRect/>
        <a:stretch>
          <a:fillRect/>
        </a:stretch>
      </xdr:blipFill>
      <xdr:spPr bwMode="auto">
        <a:xfrm>
          <a:off x="0" y="0"/>
          <a:ext cx="1143000" cy="342900"/>
        </a:xfrm>
        <a:prstGeom prst="rect">
          <a:avLst/>
        </a:prstGeom>
        <a:noFill/>
      </xdr:spPr>
    </xdr:pic>
    <xdr:clientData/>
  </xdr:twoCellAnchor>
  <xdr:twoCellAnchor editAs="oneCell">
    <xdr:from>
      <xdr:col>2</xdr:col>
      <xdr:colOff>38100</xdr:colOff>
      <xdr:row>352</xdr:row>
      <xdr:rowOff>38100</xdr:rowOff>
    </xdr:from>
    <xdr:to>
      <xdr:col>2</xdr:col>
      <xdr:colOff>1181100</xdr:colOff>
      <xdr:row>352</xdr:row>
      <xdr:rowOff>1181100</xdr:rowOff>
    </xdr:to>
    <xdr:pic>
      <xdr:nvPicPr>
        <xdr:cNvPr id="1273" name="Picture 249" descr=""/>
        <xdr:cNvPicPr>
          <a:picLocks noChangeAspect="1" noChangeArrowheads="1"/>
        </xdr:cNvPicPr>
      </xdr:nvPicPr>
      <xdr:blipFill>
        <a:blip r:embed="Rd33430966a78471b"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353</xdr:row>
      <xdr:rowOff>38100</xdr:rowOff>
    </xdr:from>
    <xdr:to>
      <xdr:col>2</xdr:col>
      <xdr:colOff>1181100</xdr:colOff>
      <xdr:row>353</xdr:row>
      <xdr:rowOff>838200</xdr:rowOff>
    </xdr:to>
    <xdr:pic>
      <xdr:nvPicPr>
        <xdr:cNvPr id="1274" name="Picture 250" descr=""/>
        <xdr:cNvPicPr>
          <a:picLocks noChangeAspect="1" noChangeArrowheads="1"/>
        </xdr:cNvPicPr>
      </xdr:nvPicPr>
      <xdr:blipFill>
        <a:blip r:embed="R9ab7bafb4953419c" cstate="print"/>
        <a:srcRect/>
        <a:stretch>
          <a:fillRect/>
        </a:stretch>
      </xdr:blipFill>
      <xdr:spPr bwMode="auto">
        <a:xfrm>
          <a:off x="0" y="0"/>
          <a:ext cx="1143000" cy="800100"/>
        </a:xfrm>
        <a:prstGeom prst="rect">
          <a:avLst/>
        </a:prstGeom>
        <a:noFill/>
      </xdr:spPr>
    </xdr:pic>
    <xdr:clientData/>
  </xdr:twoCellAnchor>
  <xdr:twoCellAnchor editAs="oneCell">
    <xdr:from>
      <xdr:col>2</xdr:col>
      <xdr:colOff>38100</xdr:colOff>
      <xdr:row>354</xdr:row>
      <xdr:rowOff>38100</xdr:rowOff>
    </xdr:from>
    <xdr:to>
      <xdr:col>2</xdr:col>
      <xdr:colOff>1181100</xdr:colOff>
      <xdr:row>354</xdr:row>
      <xdr:rowOff>942975</xdr:rowOff>
    </xdr:to>
    <xdr:pic>
      <xdr:nvPicPr>
        <xdr:cNvPr id="1275" name="Picture 251" descr=""/>
        <xdr:cNvPicPr>
          <a:picLocks noChangeAspect="1" noChangeArrowheads="1"/>
        </xdr:cNvPicPr>
      </xdr:nvPicPr>
      <xdr:blipFill>
        <a:blip r:embed="Re7dcc2f807074559" cstate="print"/>
        <a:srcRect/>
        <a:stretch>
          <a:fillRect/>
        </a:stretch>
      </xdr:blipFill>
      <xdr:spPr bwMode="auto">
        <a:xfrm>
          <a:off x="0" y="0"/>
          <a:ext cx="1143000" cy="904875"/>
        </a:xfrm>
        <a:prstGeom prst="rect">
          <a:avLst/>
        </a:prstGeom>
        <a:noFill/>
      </xdr:spPr>
    </xdr:pic>
    <xdr:clientData/>
  </xdr:twoCellAnchor>
  <xdr:twoCellAnchor editAs="oneCell">
    <xdr:from>
      <xdr:col>2</xdr:col>
      <xdr:colOff>38100</xdr:colOff>
      <xdr:row>355</xdr:row>
      <xdr:rowOff>38100</xdr:rowOff>
    </xdr:from>
    <xdr:to>
      <xdr:col>2</xdr:col>
      <xdr:colOff>1181100</xdr:colOff>
      <xdr:row>355</xdr:row>
      <xdr:rowOff>1181100</xdr:rowOff>
    </xdr:to>
    <xdr:pic>
      <xdr:nvPicPr>
        <xdr:cNvPr id="1276" name="Picture 252" descr=""/>
        <xdr:cNvPicPr>
          <a:picLocks noChangeAspect="1" noChangeArrowheads="1"/>
        </xdr:cNvPicPr>
      </xdr:nvPicPr>
      <xdr:blipFill>
        <a:blip r:embed="R582c7aeac24f4af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356</xdr:row>
      <xdr:rowOff>38100</xdr:rowOff>
    </xdr:from>
    <xdr:to>
      <xdr:col>2</xdr:col>
      <xdr:colOff>1181100</xdr:colOff>
      <xdr:row>356</xdr:row>
      <xdr:rowOff>742950</xdr:rowOff>
    </xdr:to>
    <xdr:pic>
      <xdr:nvPicPr>
        <xdr:cNvPr id="1277" name="Picture 253" descr=""/>
        <xdr:cNvPicPr>
          <a:picLocks noChangeAspect="1" noChangeArrowheads="1"/>
        </xdr:cNvPicPr>
      </xdr:nvPicPr>
      <xdr:blipFill>
        <a:blip r:embed="R8b5ae00e17904fae" cstate="print"/>
        <a:srcRect/>
        <a:stretch>
          <a:fillRect/>
        </a:stretch>
      </xdr:blipFill>
      <xdr:spPr bwMode="auto">
        <a:xfrm>
          <a:off x="0" y="0"/>
          <a:ext cx="1143000" cy="704850"/>
        </a:xfrm>
        <a:prstGeom prst="rect">
          <a:avLst/>
        </a:prstGeom>
        <a:noFill/>
      </xdr:spPr>
    </xdr:pic>
    <xdr:clientData/>
  </xdr:twoCellAnchor>
  <xdr:twoCellAnchor editAs="oneCell">
    <xdr:from>
      <xdr:col>2</xdr:col>
      <xdr:colOff>38100</xdr:colOff>
      <xdr:row>357</xdr:row>
      <xdr:rowOff>38100</xdr:rowOff>
    </xdr:from>
    <xdr:to>
      <xdr:col>2</xdr:col>
      <xdr:colOff>345948</xdr:colOff>
      <xdr:row>357</xdr:row>
      <xdr:rowOff>403860</xdr:rowOff>
    </xdr:to>
    <xdr:pic>
      <xdr:nvPicPr>
        <xdr:cNvPr id="1278" name="Picture 254" descr=""/>
        <xdr:cNvPicPr>
          <a:picLocks noChangeAspect="1" noChangeArrowheads="1"/>
        </xdr:cNvPicPr>
      </xdr:nvPicPr>
      <xdr:blipFill>
        <a:blip r:embed="Rdb9e5ac2b7bc4091" cstate="print"/>
        <a:srcRect/>
        <a:stretch>
          <a:fillRect/>
        </a:stretch>
      </xdr:blipFill>
      <xdr:spPr bwMode="auto">
        <a:xfrm>
          <a:off x="0" y="0"/>
          <a:ext cx="307848" cy="365760"/>
        </a:xfrm>
        <a:prstGeom prst="rect">
          <a:avLst/>
        </a:prstGeom>
        <a:noFill/>
      </xdr:spPr>
    </xdr:pic>
    <xdr:clientData/>
  </xdr:twoCellAnchor>
  <xdr:twoCellAnchor editAs="oneCell">
    <xdr:from>
      <xdr:col>2</xdr:col>
      <xdr:colOff>38100</xdr:colOff>
      <xdr:row>359</xdr:row>
      <xdr:rowOff>38100</xdr:rowOff>
    </xdr:from>
    <xdr:to>
      <xdr:col>2</xdr:col>
      <xdr:colOff>1181100</xdr:colOff>
      <xdr:row>359</xdr:row>
      <xdr:rowOff>847725</xdr:rowOff>
    </xdr:to>
    <xdr:pic>
      <xdr:nvPicPr>
        <xdr:cNvPr id="1279" name="Picture 255" descr=""/>
        <xdr:cNvPicPr>
          <a:picLocks noChangeAspect="1" noChangeArrowheads="1"/>
        </xdr:cNvPicPr>
      </xdr:nvPicPr>
      <xdr:blipFill>
        <a:blip r:embed="R4f59f0340bdf470a" cstate="print"/>
        <a:srcRect/>
        <a:stretch>
          <a:fillRect/>
        </a:stretch>
      </xdr:blipFill>
      <xdr:spPr bwMode="auto">
        <a:xfrm>
          <a:off x="0" y="0"/>
          <a:ext cx="1143000" cy="809625"/>
        </a:xfrm>
        <a:prstGeom prst="rect">
          <a:avLst/>
        </a:prstGeom>
        <a:noFill/>
      </xdr:spPr>
    </xdr:pic>
    <xdr:clientData/>
  </xdr:twoCellAnchor>
  <xdr:twoCellAnchor editAs="oneCell">
    <xdr:from>
      <xdr:col>2</xdr:col>
      <xdr:colOff>38100</xdr:colOff>
      <xdr:row>360</xdr:row>
      <xdr:rowOff>38100</xdr:rowOff>
    </xdr:from>
    <xdr:to>
      <xdr:col>2</xdr:col>
      <xdr:colOff>1181100</xdr:colOff>
      <xdr:row>360</xdr:row>
      <xdr:rowOff>1181100</xdr:rowOff>
    </xdr:to>
    <xdr:pic>
      <xdr:nvPicPr>
        <xdr:cNvPr id="1280" name="Picture 256" descr=""/>
        <xdr:cNvPicPr>
          <a:picLocks noChangeAspect="1" noChangeArrowheads="1"/>
        </xdr:cNvPicPr>
      </xdr:nvPicPr>
      <xdr:blipFill>
        <a:blip r:embed="R670b2cf1e21b402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361</xdr:row>
      <xdr:rowOff>38100</xdr:rowOff>
    </xdr:from>
    <xdr:to>
      <xdr:col>2</xdr:col>
      <xdr:colOff>1181100</xdr:colOff>
      <xdr:row>361</xdr:row>
      <xdr:rowOff>1019175</xdr:rowOff>
    </xdr:to>
    <xdr:pic>
      <xdr:nvPicPr>
        <xdr:cNvPr id="1281" name="Picture 257" descr=""/>
        <xdr:cNvPicPr>
          <a:picLocks noChangeAspect="1" noChangeArrowheads="1"/>
        </xdr:cNvPicPr>
      </xdr:nvPicPr>
      <xdr:blipFill>
        <a:blip r:embed="R00ec758e3f324204" cstate="print"/>
        <a:srcRect/>
        <a:stretch>
          <a:fillRect/>
        </a:stretch>
      </xdr:blipFill>
      <xdr:spPr bwMode="auto">
        <a:xfrm>
          <a:off x="0" y="0"/>
          <a:ext cx="1143000" cy="981075"/>
        </a:xfrm>
        <a:prstGeom prst="rect">
          <a:avLst/>
        </a:prstGeom>
        <a:noFill/>
      </xdr:spPr>
    </xdr:pic>
    <xdr:clientData/>
  </xdr:twoCellAnchor>
  <xdr:twoCellAnchor editAs="oneCell">
    <xdr:from>
      <xdr:col>2</xdr:col>
      <xdr:colOff>38100</xdr:colOff>
      <xdr:row>362</xdr:row>
      <xdr:rowOff>38100</xdr:rowOff>
    </xdr:from>
    <xdr:to>
      <xdr:col>2</xdr:col>
      <xdr:colOff>800100</xdr:colOff>
      <xdr:row>362</xdr:row>
      <xdr:rowOff>285750</xdr:rowOff>
    </xdr:to>
    <xdr:pic>
      <xdr:nvPicPr>
        <xdr:cNvPr id="1282" name="Picture 258" descr=""/>
        <xdr:cNvPicPr>
          <a:picLocks noChangeAspect="1" noChangeArrowheads="1"/>
        </xdr:cNvPicPr>
      </xdr:nvPicPr>
      <xdr:blipFill>
        <a:blip r:embed="R86861fe68f9a4e5f" cstate="print"/>
        <a:srcRect/>
        <a:stretch>
          <a:fillRect/>
        </a:stretch>
      </xdr:blipFill>
      <xdr:spPr bwMode="auto">
        <a:xfrm>
          <a:off x="0" y="0"/>
          <a:ext cx="762000" cy="247650"/>
        </a:xfrm>
        <a:prstGeom prst="rect">
          <a:avLst/>
        </a:prstGeom>
        <a:noFill/>
      </xdr:spPr>
    </xdr:pic>
    <xdr:clientData/>
  </xdr:twoCellAnchor>
  <xdr:twoCellAnchor editAs="oneCell">
    <xdr:from>
      <xdr:col>2</xdr:col>
      <xdr:colOff>38100</xdr:colOff>
      <xdr:row>364</xdr:row>
      <xdr:rowOff>38100</xdr:rowOff>
    </xdr:from>
    <xdr:to>
      <xdr:col>2</xdr:col>
      <xdr:colOff>769620</xdr:colOff>
      <xdr:row>364</xdr:row>
      <xdr:rowOff>769620</xdr:rowOff>
    </xdr:to>
    <xdr:pic>
      <xdr:nvPicPr>
        <xdr:cNvPr id="1283" name="Picture 259" descr=""/>
        <xdr:cNvPicPr>
          <a:picLocks noChangeAspect="1" noChangeArrowheads="1"/>
        </xdr:cNvPicPr>
      </xdr:nvPicPr>
      <xdr:blipFill>
        <a:blip r:embed="R1de039134c694f4d"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365</xdr:row>
      <xdr:rowOff>38100</xdr:rowOff>
    </xdr:from>
    <xdr:to>
      <xdr:col>2</xdr:col>
      <xdr:colOff>769620</xdr:colOff>
      <xdr:row>365</xdr:row>
      <xdr:rowOff>288036</xdr:rowOff>
    </xdr:to>
    <xdr:pic>
      <xdr:nvPicPr>
        <xdr:cNvPr id="1284" name="Picture 260" descr=""/>
        <xdr:cNvPicPr>
          <a:picLocks noChangeAspect="1" noChangeArrowheads="1"/>
        </xdr:cNvPicPr>
      </xdr:nvPicPr>
      <xdr:blipFill>
        <a:blip r:embed="Raf40c4526ebf4b98" cstate="print"/>
        <a:srcRect/>
        <a:stretch>
          <a:fillRect/>
        </a:stretch>
      </xdr:blipFill>
      <xdr:spPr bwMode="auto">
        <a:xfrm>
          <a:off x="0" y="0"/>
          <a:ext cx="731520" cy="249936"/>
        </a:xfrm>
        <a:prstGeom prst="rect">
          <a:avLst/>
        </a:prstGeom>
        <a:noFill/>
      </xdr:spPr>
    </xdr:pic>
    <xdr:clientData/>
  </xdr:twoCellAnchor>
  <xdr:twoCellAnchor editAs="oneCell">
    <xdr:from>
      <xdr:col>2</xdr:col>
      <xdr:colOff>38100</xdr:colOff>
      <xdr:row>366</xdr:row>
      <xdr:rowOff>38100</xdr:rowOff>
    </xdr:from>
    <xdr:to>
      <xdr:col>2</xdr:col>
      <xdr:colOff>769620</xdr:colOff>
      <xdr:row>366</xdr:row>
      <xdr:rowOff>373380</xdr:rowOff>
    </xdr:to>
    <xdr:pic>
      <xdr:nvPicPr>
        <xdr:cNvPr id="1285" name="Picture 261" descr=""/>
        <xdr:cNvPicPr>
          <a:picLocks noChangeAspect="1" noChangeArrowheads="1"/>
        </xdr:cNvPicPr>
      </xdr:nvPicPr>
      <xdr:blipFill>
        <a:blip r:embed="R23a633aec89b4557" cstate="print"/>
        <a:srcRect/>
        <a:stretch>
          <a:fillRect/>
        </a:stretch>
      </xdr:blipFill>
      <xdr:spPr bwMode="auto">
        <a:xfrm>
          <a:off x="0" y="0"/>
          <a:ext cx="731520" cy="335280"/>
        </a:xfrm>
        <a:prstGeom prst="rect">
          <a:avLst/>
        </a:prstGeom>
        <a:noFill/>
      </xdr:spPr>
    </xdr:pic>
    <xdr:clientData/>
  </xdr:twoCellAnchor>
  <xdr:twoCellAnchor editAs="oneCell">
    <xdr:from>
      <xdr:col>2</xdr:col>
      <xdr:colOff>38100</xdr:colOff>
      <xdr:row>367</xdr:row>
      <xdr:rowOff>38100</xdr:rowOff>
    </xdr:from>
    <xdr:to>
      <xdr:col>2</xdr:col>
      <xdr:colOff>403860</xdr:colOff>
      <xdr:row>367</xdr:row>
      <xdr:rowOff>352044</xdr:rowOff>
    </xdr:to>
    <xdr:pic>
      <xdr:nvPicPr>
        <xdr:cNvPr id="1286" name="Picture 262" descr=""/>
        <xdr:cNvPicPr>
          <a:picLocks noChangeAspect="1" noChangeArrowheads="1"/>
        </xdr:cNvPicPr>
      </xdr:nvPicPr>
      <xdr:blipFill>
        <a:blip r:embed="R2aba0dd0ad714820" cstate="print"/>
        <a:srcRect/>
        <a:stretch>
          <a:fillRect/>
        </a:stretch>
      </xdr:blipFill>
      <xdr:spPr bwMode="auto">
        <a:xfrm>
          <a:off x="0" y="0"/>
          <a:ext cx="365760" cy="313944"/>
        </a:xfrm>
        <a:prstGeom prst="rect">
          <a:avLst/>
        </a:prstGeom>
        <a:noFill/>
      </xdr:spPr>
    </xdr:pic>
    <xdr:clientData/>
  </xdr:twoCellAnchor>
  <xdr:twoCellAnchor editAs="oneCell">
    <xdr:from>
      <xdr:col>2</xdr:col>
      <xdr:colOff>38100</xdr:colOff>
      <xdr:row>368</xdr:row>
      <xdr:rowOff>38100</xdr:rowOff>
    </xdr:from>
    <xdr:to>
      <xdr:col>2</xdr:col>
      <xdr:colOff>1181100</xdr:colOff>
      <xdr:row>368</xdr:row>
      <xdr:rowOff>1000125</xdr:rowOff>
    </xdr:to>
    <xdr:pic>
      <xdr:nvPicPr>
        <xdr:cNvPr id="1287" name="Picture 263" descr=""/>
        <xdr:cNvPicPr>
          <a:picLocks noChangeAspect="1" noChangeArrowheads="1"/>
        </xdr:cNvPicPr>
      </xdr:nvPicPr>
      <xdr:blipFill>
        <a:blip r:embed="R9844db83b3394711" cstate="print"/>
        <a:srcRect/>
        <a:stretch>
          <a:fillRect/>
        </a:stretch>
      </xdr:blipFill>
      <xdr:spPr bwMode="auto">
        <a:xfrm>
          <a:off x="0" y="0"/>
          <a:ext cx="1143000" cy="962025"/>
        </a:xfrm>
        <a:prstGeom prst="rect">
          <a:avLst/>
        </a:prstGeom>
        <a:noFill/>
      </xdr:spPr>
    </xdr:pic>
    <xdr:clientData/>
  </xdr:twoCellAnchor>
  <xdr:twoCellAnchor editAs="oneCell">
    <xdr:from>
      <xdr:col>2</xdr:col>
      <xdr:colOff>38100</xdr:colOff>
      <xdr:row>369</xdr:row>
      <xdr:rowOff>38100</xdr:rowOff>
    </xdr:from>
    <xdr:to>
      <xdr:col>2</xdr:col>
      <xdr:colOff>403860</xdr:colOff>
      <xdr:row>369</xdr:row>
      <xdr:rowOff>403860</xdr:rowOff>
    </xdr:to>
    <xdr:pic>
      <xdr:nvPicPr>
        <xdr:cNvPr id="1288" name="Picture 264" descr=""/>
        <xdr:cNvPicPr>
          <a:picLocks noChangeAspect="1" noChangeArrowheads="1"/>
        </xdr:cNvPicPr>
      </xdr:nvPicPr>
      <xdr:blipFill>
        <a:blip r:embed="R93b528e6e37b4caf"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370</xdr:row>
      <xdr:rowOff>38100</xdr:rowOff>
    </xdr:from>
    <xdr:to>
      <xdr:col>2</xdr:col>
      <xdr:colOff>1181100</xdr:colOff>
      <xdr:row>370</xdr:row>
      <xdr:rowOff>914400</xdr:rowOff>
    </xdr:to>
    <xdr:pic>
      <xdr:nvPicPr>
        <xdr:cNvPr id="1289" name="Picture 265" descr=""/>
        <xdr:cNvPicPr>
          <a:picLocks noChangeAspect="1" noChangeArrowheads="1"/>
        </xdr:cNvPicPr>
      </xdr:nvPicPr>
      <xdr:blipFill>
        <a:blip r:embed="R719526dfe5d04cc2" cstate="print"/>
        <a:srcRect/>
        <a:stretch>
          <a:fillRect/>
        </a:stretch>
      </xdr:blipFill>
      <xdr:spPr bwMode="auto">
        <a:xfrm>
          <a:off x="0" y="0"/>
          <a:ext cx="1143000" cy="876300"/>
        </a:xfrm>
        <a:prstGeom prst="rect">
          <a:avLst/>
        </a:prstGeom>
        <a:noFill/>
      </xdr:spPr>
    </xdr:pic>
    <xdr:clientData/>
  </xdr:twoCellAnchor>
  <xdr:twoCellAnchor editAs="oneCell">
    <xdr:from>
      <xdr:col>2</xdr:col>
      <xdr:colOff>38100</xdr:colOff>
      <xdr:row>371</xdr:row>
      <xdr:rowOff>38100</xdr:rowOff>
    </xdr:from>
    <xdr:to>
      <xdr:col>2</xdr:col>
      <xdr:colOff>1114425</xdr:colOff>
      <xdr:row>371</xdr:row>
      <xdr:rowOff>1181100</xdr:rowOff>
    </xdr:to>
    <xdr:pic>
      <xdr:nvPicPr>
        <xdr:cNvPr id="1290" name="Picture 266" descr=""/>
        <xdr:cNvPicPr>
          <a:picLocks noChangeAspect="1" noChangeArrowheads="1"/>
        </xdr:cNvPicPr>
      </xdr:nvPicPr>
      <xdr:blipFill>
        <a:blip r:embed="Rcffa8c7aaad14086" cstate="print"/>
        <a:srcRect/>
        <a:stretch>
          <a:fillRect/>
        </a:stretch>
      </xdr:blipFill>
      <xdr:spPr bwMode="auto">
        <a:xfrm>
          <a:off x="0" y="0"/>
          <a:ext cx="1076325" cy="1143000"/>
        </a:xfrm>
        <a:prstGeom prst="rect">
          <a:avLst/>
        </a:prstGeom>
        <a:noFill/>
      </xdr:spPr>
    </xdr:pic>
    <xdr:clientData/>
  </xdr:twoCellAnchor>
  <xdr:twoCellAnchor editAs="oneCell">
    <xdr:from>
      <xdr:col>2</xdr:col>
      <xdr:colOff>38100</xdr:colOff>
      <xdr:row>373</xdr:row>
      <xdr:rowOff>38100</xdr:rowOff>
    </xdr:from>
    <xdr:to>
      <xdr:col>2</xdr:col>
      <xdr:colOff>822960</xdr:colOff>
      <xdr:row>373</xdr:row>
      <xdr:rowOff>952500</xdr:rowOff>
    </xdr:to>
    <xdr:pic>
      <xdr:nvPicPr>
        <xdr:cNvPr id="1291" name="Picture 267" descr=""/>
        <xdr:cNvPicPr>
          <a:picLocks noChangeAspect="1" noChangeArrowheads="1"/>
        </xdr:cNvPicPr>
      </xdr:nvPicPr>
      <xdr:blipFill>
        <a:blip r:embed="Rd257d7bb62544195" cstate="print"/>
        <a:srcRect/>
        <a:stretch>
          <a:fillRect/>
        </a:stretch>
      </xdr:blipFill>
      <xdr:spPr bwMode="auto">
        <a:xfrm>
          <a:off x="0" y="0"/>
          <a:ext cx="784860" cy="914400"/>
        </a:xfrm>
        <a:prstGeom prst="rect">
          <a:avLst/>
        </a:prstGeom>
        <a:noFill/>
      </xdr:spPr>
    </xdr:pic>
    <xdr:clientData/>
  </xdr:twoCellAnchor>
  <xdr:twoCellAnchor editAs="oneCell">
    <xdr:from>
      <xdr:col>2</xdr:col>
      <xdr:colOff>38100</xdr:colOff>
      <xdr:row>374</xdr:row>
      <xdr:rowOff>38100</xdr:rowOff>
    </xdr:from>
    <xdr:to>
      <xdr:col>2</xdr:col>
      <xdr:colOff>1181100</xdr:colOff>
      <xdr:row>374</xdr:row>
      <xdr:rowOff>523875</xdr:rowOff>
    </xdr:to>
    <xdr:pic>
      <xdr:nvPicPr>
        <xdr:cNvPr id="1292" name="Picture 268" descr=""/>
        <xdr:cNvPicPr>
          <a:picLocks noChangeAspect="1" noChangeArrowheads="1"/>
        </xdr:cNvPicPr>
      </xdr:nvPicPr>
      <xdr:blipFill>
        <a:blip r:embed="R6b089da571154351" cstate="print"/>
        <a:srcRect/>
        <a:stretch>
          <a:fillRect/>
        </a:stretch>
      </xdr:blipFill>
      <xdr:spPr bwMode="auto">
        <a:xfrm>
          <a:off x="0" y="0"/>
          <a:ext cx="1143000" cy="485775"/>
        </a:xfrm>
        <a:prstGeom prst="rect">
          <a:avLst/>
        </a:prstGeom>
        <a:noFill/>
      </xdr:spPr>
    </xdr:pic>
    <xdr:clientData/>
  </xdr:twoCellAnchor>
  <xdr:twoCellAnchor editAs="oneCell">
    <xdr:from>
      <xdr:col>2</xdr:col>
      <xdr:colOff>38100</xdr:colOff>
      <xdr:row>375</xdr:row>
      <xdr:rowOff>38100</xdr:rowOff>
    </xdr:from>
    <xdr:to>
      <xdr:col>2</xdr:col>
      <xdr:colOff>1181100</xdr:colOff>
      <xdr:row>375</xdr:row>
      <xdr:rowOff>504825</xdr:rowOff>
    </xdr:to>
    <xdr:pic>
      <xdr:nvPicPr>
        <xdr:cNvPr id="1293" name="Picture 269" descr=""/>
        <xdr:cNvPicPr>
          <a:picLocks noChangeAspect="1" noChangeArrowheads="1"/>
        </xdr:cNvPicPr>
      </xdr:nvPicPr>
      <xdr:blipFill>
        <a:blip r:embed="R98439d98bb6640cb" cstate="print"/>
        <a:srcRect/>
        <a:stretch>
          <a:fillRect/>
        </a:stretch>
      </xdr:blipFill>
      <xdr:spPr bwMode="auto">
        <a:xfrm>
          <a:off x="0" y="0"/>
          <a:ext cx="1143000" cy="466725"/>
        </a:xfrm>
        <a:prstGeom prst="rect">
          <a:avLst/>
        </a:prstGeom>
        <a:noFill/>
      </xdr:spPr>
    </xdr:pic>
    <xdr:clientData/>
  </xdr:twoCellAnchor>
  <xdr:twoCellAnchor editAs="oneCell">
    <xdr:from>
      <xdr:col>2</xdr:col>
      <xdr:colOff>38100</xdr:colOff>
      <xdr:row>376</xdr:row>
      <xdr:rowOff>38100</xdr:rowOff>
    </xdr:from>
    <xdr:to>
      <xdr:col>2</xdr:col>
      <xdr:colOff>1181100</xdr:colOff>
      <xdr:row>376</xdr:row>
      <xdr:rowOff>1181100</xdr:rowOff>
    </xdr:to>
    <xdr:pic>
      <xdr:nvPicPr>
        <xdr:cNvPr id="1294" name="Picture 270" descr=""/>
        <xdr:cNvPicPr>
          <a:picLocks noChangeAspect="1" noChangeArrowheads="1"/>
        </xdr:cNvPicPr>
      </xdr:nvPicPr>
      <xdr:blipFill>
        <a:blip r:embed="Reb694f44781d4e8c"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377</xdr:row>
      <xdr:rowOff>38100</xdr:rowOff>
    </xdr:from>
    <xdr:to>
      <xdr:col>2</xdr:col>
      <xdr:colOff>952500</xdr:colOff>
      <xdr:row>377</xdr:row>
      <xdr:rowOff>381000</xdr:rowOff>
    </xdr:to>
    <xdr:pic>
      <xdr:nvPicPr>
        <xdr:cNvPr id="1295" name="Picture 271" descr=""/>
        <xdr:cNvPicPr>
          <a:picLocks noChangeAspect="1" noChangeArrowheads="1"/>
        </xdr:cNvPicPr>
      </xdr:nvPicPr>
      <xdr:blipFill>
        <a:blip r:embed="R3cfbe34e2f8e41a5" cstate="print"/>
        <a:srcRect/>
        <a:stretch>
          <a:fillRect/>
        </a:stretch>
      </xdr:blipFill>
      <xdr:spPr bwMode="auto">
        <a:xfrm>
          <a:off x="0" y="0"/>
          <a:ext cx="914400" cy="342900"/>
        </a:xfrm>
        <a:prstGeom prst="rect">
          <a:avLst/>
        </a:prstGeom>
        <a:noFill/>
      </xdr:spPr>
    </xdr:pic>
    <xdr:clientData/>
  </xdr:twoCellAnchor>
  <xdr:twoCellAnchor editAs="oneCell">
    <xdr:from>
      <xdr:col>2</xdr:col>
      <xdr:colOff>38100</xdr:colOff>
      <xdr:row>378</xdr:row>
      <xdr:rowOff>38100</xdr:rowOff>
    </xdr:from>
    <xdr:to>
      <xdr:col>2</xdr:col>
      <xdr:colOff>1181100</xdr:colOff>
      <xdr:row>378</xdr:row>
      <xdr:rowOff>762000</xdr:rowOff>
    </xdr:to>
    <xdr:pic>
      <xdr:nvPicPr>
        <xdr:cNvPr id="1296" name="Picture 272" descr=""/>
        <xdr:cNvPicPr>
          <a:picLocks noChangeAspect="1" noChangeArrowheads="1"/>
        </xdr:cNvPicPr>
      </xdr:nvPicPr>
      <xdr:blipFill>
        <a:blip r:embed="Rf663e683c0d241d7" cstate="print"/>
        <a:srcRect/>
        <a:stretch>
          <a:fillRect/>
        </a:stretch>
      </xdr:blipFill>
      <xdr:spPr bwMode="auto">
        <a:xfrm>
          <a:off x="0" y="0"/>
          <a:ext cx="1143000" cy="723900"/>
        </a:xfrm>
        <a:prstGeom prst="rect">
          <a:avLst/>
        </a:prstGeom>
        <a:noFill/>
      </xdr:spPr>
    </xdr:pic>
    <xdr:clientData/>
  </xdr:twoCellAnchor>
  <xdr:twoCellAnchor editAs="oneCell">
    <xdr:from>
      <xdr:col>2</xdr:col>
      <xdr:colOff>38100</xdr:colOff>
      <xdr:row>380</xdr:row>
      <xdr:rowOff>38100</xdr:rowOff>
    </xdr:from>
    <xdr:to>
      <xdr:col>2</xdr:col>
      <xdr:colOff>1181100</xdr:colOff>
      <xdr:row>380</xdr:row>
      <xdr:rowOff>933450</xdr:rowOff>
    </xdr:to>
    <xdr:pic>
      <xdr:nvPicPr>
        <xdr:cNvPr id="1297" name="Picture 273" descr=""/>
        <xdr:cNvPicPr>
          <a:picLocks noChangeAspect="1" noChangeArrowheads="1"/>
        </xdr:cNvPicPr>
      </xdr:nvPicPr>
      <xdr:blipFill>
        <a:blip r:embed="R6233b66abff0497e" cstate="print"/>
        <a:srcRect/>
        <a:stretch>
          <a:fillRect/>
        </a:stretch>
      </xdr:blipFill>
      <xdr:spPr bwMode="auto">
        <a:xfrm>
          <a:off x="0" y="0"/>
          <a:ext cx="1143000" cy="895350"/>
        </a:xfrm>
        <a:prstGeom prst="rect">
          <a:avLst/>
        </a:prstGeom>
        <a:noFill/>
      </xdr:spPr>
    </xdr:pic>
    <xdr:clientData/>
  </xdr:twoCellAnchor>
  <xdr:twoCellAnchor editAs="oneCell">
    <xdr:from>
      <xdr:col>2</xdr:col>
      <xdr:colOff>38100</xdr:colOff>
      <xdr:row>381</xdr:row>
      <xdr:rowOff>38100</xdr:rowOff>
    </xdr:from>
    <xdr:to>
      <xdr:col>2</xdr:col>
      <xdr:colOff>403860</xdr:colOff>
      <xdr:row>381</xdr:row>
      <xdr:rowOff>403860</xdr:rowOff>
    </xdr:to>
    <xdr:pic>
      <xdr:nvPicPr>
        <xdr:cNvPr id="1298" name="Picture 274" descr=""/>
        <xdr:cNvPicPr>
          <a:picLocks noChangeAspect="1" noChangeArrowheads="1"/>
        </xdr:cNvPicPr>
      </xdr:nvPicPr>
      <xdr:blipFill>
        <a:blip r:embed="R1305b1b5fa4b44c7"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382</xdr:row>
      <xdr:rowOff>38100</xdr:rowOff>
    </xdr:from>
    <xdr:to>
      <xdr:col>2</xdr:col>
      <xdr:colOff>800100</xdr:colOff>
      <xdr:row>382</xdr:row>
      <xdr:rowOff>800100</xdr:rowOff>
    </xdr:to>
    <xdr:pic>
      <xdr:nvPicPr>
        <xdr:cNvPr id="1299" name="Picture 275" descr=""/>
        <xdr:cNvPicPr>
          <a:picLocks noChangeAspect="1" noChangeArrowheads="1"/>
        </xdr:cNvPicPr>
      </xdr:nvPicPr>
      <xdr:blipFill>
        <a:blip r:embed="R3ad0d54d9f8446eb" cstate="print"/>
        <a:srcRect/>
        <a:stretch>
          <a:fillRect/>
        </a:stretch>
      </xdr:blipFill>
      <xdr:spPr bwMode="auto">
        <a:xfrm>
          <a:off x="0" y="0"/>
          <a:ext cx="762000" cy="762000"/>
        </a:xfrm>
        <a:prstGeom prst="rect">
          <a:avLst/>
        </a:prstGeom>
        <a:noFill/>
      </xdr:spPr>
    </xdr:pic>
    <xdr:clientData/>
  </xdr:twoCellAnchor>
  <xdr:twoCellAnchor editAs="oneCell">
    <xdr:from>
      <xdr:col>2</xdr:col>
      <xdr:colOff>38100</xdr:colOff>
      <xdr:row>383</xdr:row>
      <xdr:rowOff>38100</xdr:rowOff>
    </xdr:from>
    <xdr:to>
      <xdr:col>2</xdr:col>
      <xdr:colOff>1181100</xdr:colOff>
      <xdr:row>383</xdr:row>
      <xdr:rowOff>704850</xdr:rowOff>
    </xdr:to>
    <xdr:pic>
      <xdr:nvPicPr>
        <xdr:cNvPr id="1300" name="Picture 276" descr=""/>
        <xdr:cNvPicPr>
          <a:picLocks noChangeAspect="1" noChangeArrowheads="1"/>
        </xdr:cNvPicPr>
      </xdr:nvPicPr>
      <xdr:blipFill>
        <a:blip r:embed="Rd65214d3cd924c4e" cstate="print"/>
        <a:srcRect/>
        <a:stretch>
          <a:fillRect/>
        </a:stretch>
      </xdr:blipFill>
      <xdr:spPr bwMode="auto">
        <a:xfrm>
          <a:off x="0" y="0"/>
          <a:ext cx="1143000" cy="666750"/>
        </a:xfrm>
        <a:prstGeom prst="rect">
          <a:avLst/>
        </a:prstGeom>
        <a:noFill/>
      </xdr:spPr>
    </xdr:pic>
    <xdr:clientData/>
  </xdr:twoCellAnchor>
  <xdr:twoCellAnchor editAs="oneCell">
    <xdr:from>
      <xdr:col>2</xdr:col>
      <xdr:colOff>38100</xdr:colOff>
      <xdr:row>385</xdr:row>
      <xdr:rowOff>38100</xdr:rowOff>
    </xdr:from>
    <xdr:to>
      <xdr:col>2</xdr:col>
      <xdr:colOff>1181100</xdr:colOff>
      <xdr:row>385</xdr:row>
      <xdr:rowOff>409575</xdr:rowOff>
    </xdr:to>
    <xdr:pic>
      <xdr:nvPicPr>
        <xdr:cNvPr id="1301" name="Picture 277" descr=""/>
        <xdr:cNvPicPr>
          <a:picLocks noChangeAspect="1" noChangeArrowheads="1"/>
        </xdr:cNvPicPr>
      </xdr:nvPicPr>
      <xdr:blipFill>
        <a:blip r:embed="R138c894e2d934a8d" cstate="print"/>
        <a:srcRect/>
        <a:stretch>
          <a:fillRect/>
        </a:stretch>
      </xdr:blipFill>
      <xdr:spPr bwMode="auto">
        <a:xfrm>
          <a:off x="0" y="0"/>
          <a:ext cx="1143000" cy="371475"/>
        </a:xfrm>
        <a:prstGeom prst="rect">
          <a:avLst/>
        </a:prstGeom>
        <a:noFill/>
      </xdr:spPr>
    </xdr:pic>
    <xdr:clientData/>
  </xdr:twoCellAnchor>
  <xdr:twoCellAnchor editAs="oneCell">
    <xdr:from>
      <xdr:col>2</xdr:col>
      <xdr:colOff>38100</xdr:colOff>
      <xdr:row>386</xdr:row>
      <xdr:rowOff>38100</xdr:rowOff>
    </xdr:from>
    <xdr:to>
      <xdr:col>2</xdr:col>
      <xdr:colOff>1181100</xdr:colOff>
      <xdr:row>386</xdr:row>
      <xdr:rowOff>1181100</xdr:rowOff>
    </xdr:to>
    <xdr:pic>
      <xdr:nvPicPr>
        <xdr:cNvPr id="1302" name="Picture 278" descr=""/>
        <xdr:cNvPicPr>
          <a:picLocks noChangeAspect="1" noChangeArrowheads="1"/>
        </xdr:cNvPicPr>
      </xdr:nvPicPr>
      <xdr:blipFill>
        <a:blip r:embed="Rf0b230c6ce55401f"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387</xdr:row>
      <xdr:rowOff>38100</xdr:rowOff>
    </xdr:from>
    <xdr:to>
      <xdr:col>2</xdr:col>
      <xdr:colOff>1181100</xdr:colOff>
      <xdr:row>387</xdr:row>
      <xdr:rowOff>609600</xdr:rowOff>
    </xdr:to>
    <xdr:pic>
      <xdr:nvPicPr>
        <xdr:cNvPr id="1303" name="Picture 279" descr=""/>
        <xdr:cNvPicPr>
          <a:picLocks noChangeAspect="1" noChangeArrowheads="1"/>
        </xdr:cNvPicPr>
      </xdr:nvPicPr>
      <xdr:blipFill>
        <a:blip r:embed="R66390d2bbdab4090"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388</xdr:row>
      <xdr:rowOff>38100</xdr:rowOff>
    </xdr:from>
    <xdr:to>
      <xdr:col>2</xdr:col>
      <xdr:colOff>1181100</xdr:colOff>
      <xdr:row>388</xdr:row>
      <xdr:rowOff>1181100</xdr:rowOff>
    </xdr:to>
    <xdr:pic>
      <xdr:nvPicPr>
        <xdr:cNvPr id="1304" name="Picture 280" descr=""/>
        <xdr:cNvPicPr>
          <a:picLocks noChangeAspect="1" noChangeArrowheads="1"/>
        </xdr:cNvPicPr>
      </xdr:nvPicPr>
      <xdr:blipFill>
        <a:blip r:embed="Rfa3e3e7026cf443b"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389</xdr:row>
      <xdr:rowOff>38100</xdr:rowOff>
    </xdr:from>
    <xdr:to>
      <xdr:col>2</xdr:col>
      <xdr:colOff>1181100</xdr:colOff>
      <xdr:row>389</xdr:row>
      <xdr:rowOff>1181100</xdr:rowOff>
    </xdr:to>
    <xdr:pic>
      <xdr:nvPicPr>
        <xdr:cNvPr id="1305" name="Picture 281" descr=""/>
        <xdr:cNvPicPr>
          <a:picLocks noChangeAspect="1" noChangeArrowheads="1"/>
        </xdr:cNvPicPr>
      </xdr:nvPicPr>
      <xdr:blipFill>
        <a:blip r:embed="Rca3de2b893a24e6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390</xdr:row>
      <xdr:rowOff>38100</xdr:rowOff>
    </xdr:from>
    <xdr:to>
      <xdr:col>2</xdr:col>
      <xdr:colOff>1181100</xdr:colOff>
      <xdr:row>390</xdr:row>
      <xdr:rowOff>1019175</xdr:rowOff>
    </xdr:to>
    <xdr:pic>
      <xdr:nvPicPr>
        <xdr:cNvPr id="1306" name="Picture 282" descr=""/>
        <xdr:cNvPicPr>
          <a:picLocks noChangeAspect="1" noChangeArrowheads="1"/>
        </xdr:cNvPicPr>
      </xdr:nvPicPr>
      <xdr:blipFill>
        <a:blip r:embed="R631541cb9580453f" cstate="print"/>
        <a:srcRect/>
        <a:stretch>
          <a:fillRect/>
        </a:stretch>
      </xdr:blipFill>
      <xdr:spPr bwMode="auto">
        <a:xfrm>
          <a:off x="0" y="0"/>
          <a:ext cx="1143000" cy="981075"/>
        </a:xfrm>
        <a:prstGeom prst="rect">
          <a:avLst/>
        </a:prstGeom>
        <a:noFill/>
      </xdr:spPr>
    </xdr:pic>
    <xdr:clientData/>
  </xdr:twoCellAnchor>
  <xdr:twoCellAnchor editAs="oneCell">
    <xdr:from>
      <xdr:col>2</xdr:col>
      <xdr:colOff>38100</xdr:colOff>
      <xdr:row>391</xdr:row>
      <xdr:rowOff>38100</xdr:rowOff>
    </xdr:from>
    <xdr:to>
      <xdr:col>2</xdr:col>
      <xdr:colOff>1181100</xdr:colOff>
      <xdr:row>391</xdr:row>
      <xdr:rowOff>1181100</xdr:rowOff>
    </xdr:to>
    <xdr:pic>
      <xdr:nvPicPr>
        <xdr:cNvPr id="1307" name="Picture 283" descr=""/>
        <xdr:cNvPicPr>
          <a:picLocks noChangeAspect="1" noChangeArrowheads="1"/>
        </xdr:cNvPicPr>
      </xdr:nvPicPr>
      <xdr:blipFill>
        <a:blip r:embed="R972ab46d4796423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392</xdr:row>
      <xdr:rowOff>38100</xdr:rowOff>
    </xdr:from>
    <xdr:to>
      <xdr:col>2</xdr:col>
      <xdr:colOff>1181100</xdr:colOff>
      <xdr:row>392</xdr:row>
      <xdr:rowOff>1171575</xdr:rowOff>
    </xdr:to>
    <xdr:pic>
      <xdr:nvPicPr>
        <xdr:cNvPr id="1308" name="Picture 284" descr=""/>
        <xdr:cNvPicPr>
          <a:picLocks noChangeAspect="1" noChangeArrowheads="1"/>
        </xdr:cNvPicPr>
      </xdr:nvPicPr>
      <xdr:blipFill>
        <a:blip r:embed="R5506b0abbf7840dd" cstate="print"/>
        <a:srcRect/>
        <a:stretch>
          <a:fillRect/>
        </a:stretch>
      </xdr:blipFill>
      <xdr:spPr bwMode="auto">
        <a:xfrm>
          <a:off x="0" y="0"/>
          <a:ext cx="1143000" cy="1133475"/>
        </a:xfrm>
        <a:prstGeom prst="rect">
          <a:avLst/>
        </a:prstGeom>
        <a:noFill/>
      </xdr:spPr>
    </xdr:pic>
    <xdr:clientData/>
  </xdr:twoCellAnchor>
  <xdr:twoCellAnchor editAs="oneCell">
    <xdr:from>
      <xdr:col>2</xdr:col>
      <xdr:colOff>38100</xdr:colOff>
      <xdr:row>393</xdr:row>
      <xdr:rowOff>38100</xdr:rowOff>
    </xdr:from>
    <xdr:to>
      <xdr:col>2</xdr:col>
      <xdr:colOff>1562100</xdr:colOff>
      <xdr:row>393</xdr:row>
      <xdr:rowOff>1562100</xdr:rowOff>
    </xdr:to>
    <xdr:pic>
      <xdr:nvPicPr>
        <xdr:cNvPr id="1309" name="Picture 285" descr=""/>
        <xdr:cNvPicPr>
          <a:picLocks noChangeAspect="1" noChangeArrowheads="1"/>
        </xdr:cNvPicPr>
      </xdr:nvPicPr>
      <xdr:blipFill>
        <a:blip r:embed="Rbaa9beaf906045f1"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394</xdr:row>
      <xdr:rowOff>38100</xdr:rowOff>
    </xdr:from>
    <xdr:to>
      <xdr:col>2</xdr:col>
      <xdr:colOff>605028</xdr:colOff>
      <xdr:row>394</xdr:row>
      <xdr:rowOff>769620</xdr:rowOff>
    </xdr:to>
    <xdr:pic>
      <xdr:nvPicPr>
        <xdr:cNvPr id="1310" name="Picture 286" descr=""/>
        <xdr:cNvPicPr>
          <a:picLocks noChangeAspect="1" noChangeArrowheads="1"/>
        </xdr:cNvPicPr>
      </xdr:nvPicPr>
      <xdr:blipFill>
        <a:blip r:embed="R0357691461b64cda"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395</xdr:row>
      <xdr:rowOff>38100</xdr:rowOff>
    </xdr:from>
    <xdr:to>
      <xdr:col>2</xdr:col>
      <xdr:colOff>1181100</xdr:colOff>
      <xdr:row>395</xdr:row>
      <xdr:rowOff>1152525</xdr:rowOff>
    </xdr:to>
    <xdr:pic>
      <xdr:nvPicPr>
        <xdr:cNvPr id="1311" name="Picture 287" descr=""/>
        <xdr:cNvPicPr>
          <a:picLocks noChangeAspect="1" noChangeArrowheads="1"/>
        </xdr:cNvPicPr>
      </xdr:nvPicPr>
      <xdr:blipFill>
        <a:blip r:embed="Re30bf1b7452f4645" cstate="print"/>
        <a:srcRect/>
        <a:stretch>
          <a:fillRect/>
        </a:stretch>
      </xdr:blipFill>
      <xdr:spPr bwMode="auto">
        <a:xfrm>
          <a:off x="0" y="0"/>
          <a:ext cx="1143000" cy="1114425"/>
        </a:xfrm>
        <a:prstGeom prst="rect">
          <a:avLst/>
        </a:prstGeom>
        <a:noFill/>
      </xdr:spPr>
    </xdr:pic>
    <xdr:clientData/>
  </xdr:twoCellAnchor>
  <xdr:twoCellAnchor editAs="oneCell">
    <xdr:from>
      <xdr:col>2</xdr:col>
      <xdr:colOff>38100</xdr:colOff>
      <xdr:row>396</xdr:row>
      <xdr:rowOff>38100</xdr:rowOff>
    </xdr:from>
    <xdr:to>
      <xdr:col>2</xdr:col>
      <xdr:colOff>1181100</xdr:colOff>
      <xdr:row>396</xdr:row>
      <xdr:rowOff>695325</xdr:rowOff>
    </xdr:to>
    <xdr:pic>
      <xdr:nvPicPr>
        <xdr:cNvPr id="1312" name="Picture 288" descr=""/>
        <xdr:cNvPicPr>
          <a:picLocks noChangeAspect="1" noChangeArrowheads="1"/>
        </xdr:cNvPicPr>
      </xdr:nvPicPr>
      <xdr:blipFill>
        <a:blip r:embed="R9a9d0aabbbd84955" cstate="print"/>
        <a:srcRect/>
        <a:stretch>
          <a:fillRect/>
        </a:stretch>
      </xdr:blipFill>
      <xdr:spPr bwMode="auto">
        <a:xfrm>
          <a:off x="0" y="0"/>
          <a:ext cx="1143000" cy="657225"/>
        </a:xfrm>
        <a:prstGeom prst="rect">
          <a:avLst/>
        </a:prstGeom>
        <a:noFill/>
      </xdr:spPr>
    </xdr:pic>
    <xdr:clientData/>
  </xdr:twoCellAnchor>
  <xdr:twoCellAnchor editAs="oneCell">
    <xdr:from>
      <xdr:col>2</xdr:col>
      <xdr:colOff>38100</xdr:colOff>
      <xdr:row>397</xdr:row>
      <xdr:rowOff>38100</xdr:rowOff>
    </xdr:from>
    <xdr:to>
      <xdr:col>2</xdr:col>
      <xdr:colOff>1181100</xdr:colOff>
      <xdr:row>397</xdr:row>
      <xdr:rowOff>704850</xdr:rowOff>
    </xdr:to>
    <xdr:pic>
      <xdr:nvPicPr>
        <xdr:cNvPr id="1313" name="Picture 289" descr=""/>
        <xdr:cNvPicPr>
          <a:picLocks noChangeAspect="1" noChangeArrowheads="1"/>
        </xdr:cNvPicPr>
      </xdr:nvPicPr>
      <xdr:blipFill>
        <a:blip r:embed="R0d326fb1d23e487f" cstate="print"/>
        <a:srcRect/>
        <a:stretch>
          <a:fillRect/>
        </a:stretch>
      </xdr:blipFill>
      <xdr:spPr bwMode="auto">
        <a:xfrm>
          <a:off x="0" y="0"/>
          <a:ext cx="1143000" cy="666750"/>
        </a:xfrm>
        <a:prstGeom prst="rect">
          <a:avLst/>
        </a:prstGeom>
        <a:noFill/>
      </xdr:spPr>
    </xdr:pic>
    <xdr:clientData/>
  </xdr:twoCellAnchor>
  <xdr:twoCellAnchor editAs="oneCell">
    <xdr:from>
      <xdr:col>2</xdr:col>
      <xdr:colOff>38100</xdr:colOff>
      <xdr:row>398</xdr:row>
      <xdr:rowOff>38100</xdr:rowOff>
    </xdr:from>
    <xdr:to>
      <xdr:col>2</xdr:col>
      <xdr:colOff>1181100</xdr:colOff>
      <xdr:row>398</xdr:row>
      <xdr:rowOff>895350</xdr:rowOff>
    </xdr:to>
    <xdr:pic>
      <xdr:nvPicPr>
        <xdr:cNvPr id="1314" name="Picture 290" descr=""/>
        <xdr:cNvPicPr>
          <a:picLocks noChangeAspect="1" noChangeArrowheads="1"/>
        </xdr:cNvPicPr>
      </xdr:nvPicPr>
      <xdr:blipFill>
        <a:blip r:embed="R6b69c8fb96a749fb" cstate="print"/>
        <a:srcRect/>
        <a:stretch>
          <a:fillRect/>
        </a:stretch>
      </xdr:blipFill>
      <xdr:spPr bwMode="auto">
        <a:xfrm>
          <a:off x="0" y="0"/>
          <a:ext cx="1143000" cy="857250"/>
        </a:xfrm>
        <a:prstGeom prst="rect">
          <a:avLst/>
        </a:prstGeom>
        <a:noFill/>
      </xdr:spPr>
    </xdr:pic>
    <xdr:clientData/>
  </xdr:twoCellAnchor>
  <xdr:twoCellAnchor editAs="oneCell">
    <xdr:from>
      <xdr:col>2</xdr:col>
      <xdr:colOff>38100</xdr:colOff>
      <xdr:row>399</xdr:row>
      <xdr:rowOff>38100</xdr:rowOff>
    </xdr:from>
    <xdr:to>
      <xdr:col>2</xdr:col>
      <xdr:colOff>1181100</xdr:colOff>
      <xdr:row>399</xdr:row>
      <xdr:rowOff>1171575</xdr:rowOff>
    </xdr:to>
    <xdr:pic>
      <xdr:nvPicPr>
        <xdr:cNvPr id="1315" name="Picture 291" descr=""/>
        <xdr:cNvPicPr>
          <a:picLocks noChangeAspect="1" noChangeArrowheads="1"/>
        </xdr:cNvPicPr>
      </xdr:nvPicPr>
      <xdr:blipFill>
        <a:blip r:embed="R776120fb9a8f4b3b" cstate="print"/>
        <a:srcRect/>
        <a:stretch>
          <a:fillRect/>
        </a:stretch>
      </xdr:blipFill>
      <xdr:spPr bwMode="auto">
        <a:xfrm>
          <a:off x="0" y="0"/>
          <a:ext cx="1143000" cy="1133475"/>
        </a:xfrm>
        <a:prstGeom prst="rect">
          <a:avLst/>
        </a:prstGeom>
        <a:noFill/>
      </xdr:spPr>
    </xdr:pic>
    <xdr:clientData/>
  </xdr:twoCellAnchor>
  <xdr:twoCellAnchor editAs="oneCell">
    <xdr:from>
      <xdr:col>2</xdr:col>
      <xdr:colOff>38100</xdr:colOff>
      <xdr:row>401</xdr:row>
      <xdr:rowOff>38100</xdr:rowOff>
    </xdr:from>
    <xdr:to>
      <xdr:col>2</xdr:col>
      <xdr:colOff>1181100</xdr:colOff>
      <xdr:row>401</xdr:row>
      <xdr:rowOff>981075</xdr:rowOff>
    </xdr:to>
    <xdr:pic>
      <xdr:nvPicPr>
        <xdr:cNvPr id="1316" name="Picture 292" descr=""/>
        <xdr:cNvPicPr>
          <a:picLocks noChangeAspect="1" noChangeArrowheads="1"/>
        </xdr:cNvPicPr>
      </xdr:nvPicPr>
      <xdr:blipFill>
        <a:blip r:embed="Rc370dddc9c05409e" cstate="print"/>
        <a:srcRect/>
        <a:stretch>
          <a:fillRect/>
        </a:stretch>
      </xdr:blipFill>
      <xdr:spPr bwMode="auto">
        <a:xfrm>
          <a:off x="0" y="0"/>
          <a:ext cx="1143000" cy="942975"/>
        </a:xfrm>
        <a:prstGeom prst="rect">
          <a:avLst/>
        </a:prstGeom>
        <a:noFill/>
      </xdr:spPr>
    </xdr:pic>
    <xdr:clientData/>
  </xdr:twoCellAnchor>
  <xdr:twoCellAnchor editAs="oneCell">
    <xdr:from>
      <xdr:col>2</xdr:col>
      <xdr:colOff>38100</xdr:colOff>
      <xdr:row>402</xdr:row>
      <xdr:rowOff>38100</xdr:rowOff>
    </xdr:from>
    <xdr:to>
      <xdr:col>2</xdr:col>
      <xdr:colOff>546060</xdr:colOff>
      <xdr:row>402</xdr:row>
      <xdr:rowOff>376740</xdr:rowOff>
    </xdr:to>
    <xdr:pic>
      <xdr:nvPicPr>
        <xdr:cNvPr id="1317" name="Picture 293" descr=""/>
        <xdr:cNvPicPr>
          <a:picLocks noChangeAspect="1" noChangeArrowheads="1"/>
        </xdr:cNvPicPr>
      </xdr:nvPicPr>
      <xdr:blipFill>
        <a:blip r:embed="R3a9ded6d5d9c4445" cstate="print"/>
        <a:srcRect/>
        <a:stretch>
          <a:fillRect/>
        </a:stretch>
      </xdr:blipFill>
      <xdr:spPr bwMode="auto">
        <a:xfrm>
          <a:off x="0" y="0"/>
          <a:ext cx="507960" cy="338640"/>
        </a:xfrm>
        <a:prstGeom prst="rect">
          <a:avLst/>
        </a:prstGeom>
        <a:noFill/>
      </xdr:spPr>
    </xdr:pic>
    <xdr:clientData/>
  </xdr:twoCellAnchor>
  <xdr:twoCellAnchor editAs="oneCell">
    <xdr:from>
      <xdr:col>2</xdr:col>
      <xdr:colOff>38100</xdr:colOff>
      <xdr:row>403</xdr:row>
      <xdr:rowOff>38100</xdr:rowOff>
    </xdr:from>
    <xdr:to>
      <xdr:col>2</xdr:col>
      <xdr:colOff>1181100</xdr:colOff>
      <xdr:row>403</xdr:row>
      <xdr:rowOff>1181100</xdr:rowOff>
    </xdr:to>
    <xdr:pic>
      <xdr:nvPicPr>
        <xdr:cNvPr id="1318" name="Picture 294" descr=""/>
        <xdr:cNvPicPr>
          <a:picLocks noChangeAspect="1" noChangeArrowheads="1"/>
        </xdr:cNvPicPr>
      </xdr:nvPicPr>
      <xdr:blipFill>
        <a:blip r:embed="R7449b70890dd493f"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408</xdr:row>
      <xdr:rowOff>38100</xdr:rowOff>
    </xdr:from>
    <xdr:to>
      <xdr:col>2</xdr:col>
      <xdr:colOff>1181100</xdr:colOff>
      <xdr:row>408</xdr:row>
      <xdr:rowOff>933450</xdr:rowOff>
    </xdr:to>
    <xdr:pic>
      <xdr:nvPicPr>
        <xdr:cNvPr id="1319" name="Picture 295" descr=""/>
        <xdr:cNvPicPr>
          <a:picLocks noChangeAspect="1" noChangeArrowheads="1"/>
        </xdr:cNvPicPr>
      </xdr:nvPicPr>
      <xdr:blipFill>
        <a:blip r:embed="R844bf9e4e2c34fe4" cstate="print"/>
        <a:srcRect/>
        <a:stretch>
          <a:fillRect/>
        </a:stretch>
      </xdr:blipFill>
      <xdr:spPr bwMode="auto">
        <a:xfrm>
          <a:off x="0" y="0"/>
          <a:ext cx="1143000" cy="895350"/>
        </a:xfrm>
        <a:prstGeom prst="rect">
          <a:avLst/>
        </a:prstGeom>
        <a:noFill/>
      </xdr:spPr>
    </xdr:pic>
    <xdr:clientData/>
  </xdr:twoCellAnchor>
  <xdr:twoCellAnchor editAs="oneCell">
    <xdr:from>
      <xdr:col>2</xdr:col>
      <xdr:colOff>38100</xdr:colOff>
      <xdr:row>409</xdr:row>
      <xdr:rowOff>38100</xdr:rowOff>
    </xdr:from>
    <xdr:to>
      <xdr:col>2</xdr:col>
      <xdr:colOff>1181100</xdr:colOff>
      <xdr:row>409</xdr:row>
      <xdr:rowOff>476250</xdr:rowOff>
    </xdr:to>
    <xdr:pic>
      <xdr:nvPicPr>
        <xdr:cNvPr id="1320" name="Picture 296" descr=""/>
        <xdr:cNvPicPr>
          <a:picLocks noChangeAspect="1" noChangeArrowheads="1"/>
        </xdr:cNvPicPr>
      </xdr:nvPicPr>
      <xdr:blipFill>
        <a:blip r:embed="R7a2a35f4933b4391" cstate="print"/>
        <a:srcRect/>
        <a:stretch>
          <a:fillRect/>
        </a:stretch>
      </xdr:blipFill>
      <xdr:spPr bwMode="auto">
        <a:xfrm>
          <a:off x="0" y="0"/>
          <a:ext cx="1143000" cy="438150"/>
        </a:xfrm>
        <a:prstGeom prst="rect">
          <a:avLst/>
        </a:prstGeom>
        <a:noFill/>
      </xdr:spPr>
    </xdr:pic>
    <xdr:clientData/>
  </xdr:twoCellAnchor>
  <xdr:twoCellAnchor editAs="oneCell">
    <xdr:from>
      <xdr:col>2</xdr:col>
      <xdr:colOff>38100</xdr:colOff>
      <xdr:row>410</xdr:row>
      <xdr:rowOff>38100</xdr:rowOff>
    </xdr:from>
    <xdr:to>
      <xdr:col>2</xdr:col>
      <xdr:colOff>800100</xdr:colOff>
      <xdr:row>410</xdr:row>
      <xdr:rowOff>635000</xdr:rowOff>
    </xdr:to>
    <xdr:pic>
      <xdr:nvPicPr>
        <xdr:cNvPr id="1321" name="Picture 297" descr=""/>
        <xdr:cNvPicPr>
          <a:picLocks noChangeAspect="1" noChangeArrowheads="1"/>
        </xdr:cNvPicPr>
      </xdr:nvPicPr>
      <xdr:blipFill>
        <a:blip r:embed="R71a51714e1e247bc" cstate="print"/>
        <a:srcRect/>
        <a:stretch>
          <a:fillRect/>
        </a:stretch>
      </xdr:blipFill>
      <xdr:spPr bwMode="auto">
        <a:xfrm>
          <a:off x="0" y="0"/>
          <a:ext cx="762000" cy="596900"/>
        </a:xfrm>
        <a:prstGeom prst="rect">
          <a:avLst/>
        </a:prstGeom>
        <a:noFill/>
      </xdr:spPr>
    </xdr:pic>
    <xdr:clientData/>
  </xdr:twoCellAnchor>
  <xdr:twoCellAnchor editAs="oneCell">
    <xdr:from>
      <xdr:col>2</xdr:col>
      <xdr:colOff>38100</xdr:colOff>
      <xdr:row>411</xdr:row>
      <xdr:rowOff>38100</xdr:rowOff>
    </xdr:from>
    <xdr:to>
      <xdr:col>2</xdr:col>
      <xdr:colOff>952500</xdr:colOff>
      <xdr:row>411</xdr:row>
      <xdr:rowOff>693420</xdr:rowOff>
    </xdr:to>
    <xdr:pic>
      <xdr:nvPicPr>
        <xdr:cNvPr id="1322" name="Picture 298" descr=""/>
        <xdr:cNvPicPr>
          <a:picLocks noChangeAspect="1" noChangeArrowheads="1"/>
        </xdr:cNvPicPr>
      </xdr:nvPicPr>
      <xdr:blipFill>
        <a:blip r:embed="Re3811421c9934343" cstate="print"/>
        <a:srcRect/>
        <a:stretch>
          <a:fillRect/>
        </a:stretch>
      </xdr:blipFill>
      <xdr:spPr bwMode="auto">
        <a:xfrm>
          <a:off x="0" y="0"/>
          <a:ext cx="914400" cy="655320"/>
        </a:xfrm>
        <a:prstGeom prst="rect">
          <a:avLst/>
        </a:prstGeom>
        <a:noFill/>
      </xdr:spPr>
    </xdr:pic>
    <xdr:clientData/>
  </xdr:twoCellAnchor>
  <xdr:twoCellAnchor editAs="oneCell">
    <xdr:from>
      <xdr:col>2</xdr:col>
      <xdr:colOff>38100</xdr:colOff>
      <xdr:row>412</xdr:row>
      <xdr:rowOff>38100</xdr:rowOff>
    </xdr:from>
    <xdr:to>
      <xdr:col>2</xdr:col>
      <xdr:colOff>769620</xdr:colOff>
      <xdr:row>412</xdr:row>
      <xdr:rowOff>659892</xdr:rowOff>
    </xdr:to>
    <xdr:pic>
      <xdr:nvPicPr>
        <xdr:cNvPr id="1323" name="Picture 299" descr=""/>
        <xdr:cNvPicPr>
          <a:picLocks noChangeAspect="1" noChangeArrowheads="1"/>
        </xdr:cNvPicPr>
      </xdr:nvPicPr>
      <xdr:blipFill>
        <a:blip r:embed="R28edcf8ed05c401e" cstate="print"/>
        <a:srcRect/>
        <a:stretch>
          <a:fillRect/>
        </a:stretch>
      </xdr:blipFill>
      <xdr:spPr bwMode="auto">
        <a:xfrm>
          <a:off x="0" y="0"/>
          <a:ext cx="731520" cy="621792"/>
        </a:xfrm>
        <a:prstGeom prst="rect">
          <a:avLst/>
        </a:prstGeom>
        <a:noFill/>
      </xdr:spPr>
    </xdr:pic>
    <xdr:clientData/>
  </xdr:twoCellAnchor>
  <xdr:twoCellAnchor editAs="oneCell">
    <xdr:from>
      <xdr:col>2</xdr:col>
      <xdr:colOff>38100</xdr:colOff>
      <xdr:row>413</xdr:row>
      <xdr:rowOff>38100</xdr:rowOff>
    </xdr:from>
    <xdr:to>
      <xdr:col>2</xdr:col>
      <xdr:colOff>952500</xdr:colOff>
      <xdr:row>413</xdr:row>
      <xdr:rowOff>952500</xdr:rowOff>
    </xdr:to>
    <xdr:pic>
      <xdr:nvPicPr>
        <xdr:cNvPr id="1324" name="Picture 300" descr=""/>
        <xdr:cNvPicPr>
          <a:picLocks noChangeAspect="1" noChangeArrowheads="1"/>
        </xdr:cNvPicPr>
      </xdr:nvPicPr>
      <xdr:blipFill>
        <a:blip r:embed="Rb8f956dcf72c4426" cstate="print"/>
        <a:srcRect/>
        <a:stretch>
          <a:fillRect/>
        </a:stretch>
      </xdr:blipFill>
      <xdr:spPr bwMode="auto">
        <a:xfrm>
          <a:off x="0" y="0"/>
          <a:ext cx="914400" cy="914400"/>
        </a:xfrm>
        <a:prstGeom prst="rect">
          <a:avLst/>
        </a:prstGeom>
        <a:noFill/>
      </xdr:spPr>
    </xdr:pic>
    <xdr:clientData/>
  </xdr:twoCellAnchor>
  <xdr:twoCellAnchor editAs="oneCell">
    <xdr:from>
      <xdr:col>2</xdr:col>
      <xdr:colOff>38100</xdr:colOff>
      <xdr:row>414</xdr:row>
      <xdr:rowOff>38100</xdr:rowOff>
    </xdr:from>
    <xdr:to>
      <xdr:col>2</xdr:col>
      <xdr:colOff>1181100</xdr:colOff>
      <xdr:row>414</xdr:row>
      <xdr:rowOff>542925</xdr:rowOff>
    </xdr:to>
    <xdr:pic>
      <xdr:nvPicPr>
        <xdr:cNvPr id="1325" name="Picture 301" descr=""/>
        <xdr:cNvPicPr>
          <a:picLocks noChangeAspect="1" noChangeArrowheads="1"/>
        </xdr:cNvPicPr>
      </xdr:nvPicPr>
      <xdr:blipFill>
        <a:blip r:embed="R1fbb9847acaa4f03" cstate="print"/>
        <a:srcRect/>
        <a:stretch>
          <a:fillRect/>
        </a:stretch>
      </xdr:blipFill>
      <xdr:spPr bwMode="auto">
        <a:xfrm>
          <a:off x="0" y="0"/>
          <a:ext cx="1143000" cy="504825"/>
        </a:xfrm>
        <a:prstGeom prst="rect">
          <a:avLst/>
        </a:prstGeom>
        <a:noFill/>
      </xdr:spPr>
    </xdr:pic>
    <xdr:clientData/>
  </xdr:twoCellAnchor>
  <xdr:twoCellAnchor editAs="oneCell">
    <xdr:from>
      <xdr:col>2</xdr:col>
      <xdr:colOff>38100</xdr:colOff>
      <xdr:row>415</xdr:row>
      <xdr:rowOff>38100</xdr:rowOff>
    </xdr:from>
    <xdr:to>
      <xdr:col>2</xdr:col>
      <xdr:colOff>546060</xdr:colOff>
      <xdr:row>415</xdr:row>
      <xdr:rowOff>546060</xdr:rowOff>
    </xdr:to>
    <xdr:pic>
      <xdr:nvPicPr>
        <xdr:cNvPr id="1326" name="Picture 302" descr=""/>
        <xdr:cNvPicPr>
          <a:picLocks noChangeAspect="1" noChangeArrowheads="1"/>
        </xdr:cNvPicPr>
      </xdr:nvPicPr>
      <xdr:blipFill>
        <a:blip r:embed="Rb4ea179cbc744cf2" cstate="print"/>
        <a:srcRect/>
        <a:stretch>
          <a:fillRect/>
        </a:stretch>
      </xdr:blipFill>
      <xdr:spPr bwMode="auto">
        <a:xfrm>
          <a:off x="0" y="0"/>
          <a:ext cx="507960" cy="507960"/>
        </a:xfrm>
        <a:prstGeom prst="rect">
          <a:avLst/>
        </a:prstGeom>
        <a:noFill/>
      </xdr:spPr>
    </xdr:pic>
    <xdr:clientData/>
  </xdr:twoCellAnchor>
  <xdr:twoCellAnchor editAs="oneCell">
    <xdr:from>
      <xdr:col>2</xdr:col>
      <xdr:colOff>38100</xdr:colOff>
      <xdr:row>417</xdr:row>
      <xdr:rowOff>38100</xdr:rowOff>
    </xdr:from>
    <xdr:to>
      <xdr:col>2</xdr:col>
      <xdr:colOff>971550</xdr:colOff>
      <xdr:row>417</xdr:row>
      <xdr:rowOff>1181100</xdr:rowOff>
    </xdr:to>
    <xdr:pic>
      <xdr:nvPicPr>
        <xdr:cNvPr id="1327" name="Picture 303" descr=""/>
        <xdr:cNvPicPr>
          <a:picLocks noChangeAspect="1" noChangeArrowheads="1"/>
        </xdr:cNvPicPr>
      </xdr:nvPicPr>
      <xdr:blipFill>
        <a:blip r:embed="Re2c462805a244b2d" cstate="print"/>
        <a:srcRect/>
        <a:stretch>
          <a:fillRect/>
        </a:stretch>
      </xdr:blipFill>
      <xdr:spPr bwMode="auto">
        <a:xfrm>
          <a:off x="0" y="0"/>
          <a:ext cx="933450" cy="1143000"/>
        </a:xfrm>
        <a:prstGeom prst="rect">
          <a:avLst/>
        </a:prstGeom>
        <a:noFill/>
      </xdr:spPr>
    </xdr:pic>
    <xdr:clientData/>
  </xdr:twoCellAnchor>
  <xdr:twoCellAnchor editAs="oneCell">
    <xdr:from>
      <xdr:col>2</xdr:col>
      <xdr:colOff>38100</xdr:colOff>
      <xdr:row>418</xdr:row>
      <xdr:rowOff>38100</xdr:rowOff>
    </xdr:from>
    <xdr:to>
      <xdr:col>2</xdr:col>
      <xdr:colOff>1143000</xdr:colOff>
      <xdr:row>418</xdr:row>
      <xdr:rowOff>1181100</xdr:rowOff>
    </xdr:to>
    <xdr:pic>
      <xdr:nvPicPr>
        <xdr:cNvPr id="1328" name="Picture 304" descr=""/>
        <xdr:cNvPicPr>
          <a:picLocks noChangeAspect="1" noChangeArrowheads="1"/>
        </xdr:cNvPicPr>
      </xdr:nvPicPr>
      <xdr:blipFill>
        <a:blip r:embed="Rff87e414f9b549a0" cstate="print"/>
        <a:srcRect/>
        <a:stretch>
          <a:fillRect/>
        </a:stretch>
      </xdr:blipFill>
      <xdr:spPr bwMode="auto">
        <a:xfrm>
          <a:off x="0" y="0"/>
          <a:ext cx="1104900" cy="1143000"/>
        </a:xfrm>
        <a:prstGeom prst="rect">
          <a:avLst/>
        </a:prstGeom>
        <a:noFill/>
      </xdr:spPr>
    </xdr:pic>
    <xdr:clientData/>
  </xdr:twoCellAnchor>
  <xdr:twoCellAnchor editAs="oneCell">
    <xdr:from>
      <xdr:col>2</xdr:col>
      <xdr:colOff>38100</xdr:colOff>
      <xdr:row>419</xdr:row>
      <xdr:rowOff>38100</xdr:rowOff>
    </xdr:from>
    <xdr:to>
      <xdr:col>2</xdr:col>
      <xdr:colOff>769620</xdr:colOff>
      <xdr:row>419</xdr:row>
      <xdr:rowOff>684276</xdr:rowOff>
    </xdr:to>
    <xdr:pic>
      <xdr:nvPicPr>
        <xdr:cNvPr id="1329" name="Picture 305" descr=""/>
        <xdr:cNvPicPr>
          <a:picLocks noChangeAspect="1" noChangeArrowheads="1"/>
        </xdr:cNvPicPr>
      </xdr:nvPicPr>
      <xdr:blipFill>
        <a:blip r:embed="Re575323516124230" cstate="print"/>
        <a:srcRect/>
        <a:stretch>
          <a:fillRect/>
        </a:stretch>
      </xdr:blipFill>
      <xdr:spPr bwMode="auto">
        <a:xfrm>
          <a:off x="0" y="0"/>
          <a:ext cx="731520" cy="646176"/>
        </a:xfrm>
        <a:prstGeom prst="rect">
          <a:avLst/>
        </a:prstGeom>
        <a:noFill/>
      </xdr:spPr>
    </xdr:pic>
    <xdr:clientData/>
  </xdr:twoCellAnchor>
  <xdr:twoCellAnchor editAs="oneCell">
    <xdr:from>
      <xdr:col>2</xdr:col>
      <xdr:colOff>38100</xdr:colOff>
      <xdr:row>420</xdr:row>
      <xdr:rowOff>38100</xdr:rowOff>
    </xdr:from>
    <xdr:to>
      <xdr:col>2</xdr:col>
      <xdr:colOff>1181100</xdr:colOff>
      <xdr:row>420</xdr:row>
      <xdr:rowOff>800100</xdr:rowOff>
    </xdr:to>
    <xdr:pic>
      <xdr:nvPicPr>
        <xdr:cNvPr id="1330" name="Picture 306" descr=""/>
        <xdr:cNvPicPr>
          <a:picLocks noChangeAspect="1" noChangeArrowheads="1"/>
        </xdr:cNvPicPr>
      </xdr:nvPicPr>
      <xdr:blipFill>
        <a:blip r:embed="R740a428249394c15" cstate="print"/>
        <a:srcRect/>
        <a:stretch>
          <a:fillRect/>
        </a:stretch>
      </xdr:blipFill>
      <xdr:spPr bwMode="auto">
        <a:xfrm>
          <a:off x="0" y="0"/>
          <a:ext cx="1143000" cy="762000"/>
        </a:xfrm>
        <a:prstGeom prst="rect">
          <a:avLst/>
        </a:prstGeom>
        <a:noFill/>
      </xdr:spPr>
    </xdr:pic>
    <xdr:clientData/>
  </xdr:twoCellAnchor>
  <xdr:twoCellAnchor editAs="oneCell">
    <xdr:from>
      <xdr:col>2</xdr:col>
      <xdr:colOff>38100</xdr:colOff>
      <xdr:row>423</xdr:row>
      <xdr:rowOff>38100</xdr:rowOff>
    </xdr:from>
    <xdr:to>
      <xdr:col>2</xdr:col>
      <xdr:colOff>739140</xdr:colOff>
      <xdr:row>423</xdr:row>
      <xdr:rowOff>769620</xdr:rowOff>
    </xdr:to>
    <xdr:pic>
      <xdr:nvPicPr>
        <xdr:cNvPr id="1331" name="Picture 307" descr=""/>
        <xdr:cNvPicPr>
          <a:picLocks noChangeAspect="1" noChangeArrowheads="1"/>
        </xdr:cNvPicPr>
      </xdr:nvPicPr>
      <xdr:blipFill>
        <a:blip r:embed="Rb43b52aebd7c4946" cstate="print"/>
        <a:srcRect/>
        <a:stretch>
          <a:fillRect/>
        </a:stretch>
      </xdr:blipFill>
      <xdr:spPr bwMode="auto">
        <a:xfrm>
          <a:off x="0" y="0"/>
          <a:ext cx="701040" cy="731520"/>
        </a:xfrm>
        <a:prstGeom prst="rect">
          <a:avLst/>
        </a:prstGeom>
        <a:noFill/>
      </xdr:spPr>
    </xdr:pic>
    <xdr:clientData/>
  </xdr:twoCellAnchor>
  <xdr:twoCellAnchor editAs="oneCell">
    <xdr:from>
      <xdr:col>2</xdr:col>
      <xdr:colOff>38100</xdr:colOff>
      <xdr:row>433</xdr:row>
      <xdr:rowOff>38100</xdr:rowOff>
    </xdr:from>
    <xdr:to>
      <xdr:col>2</xdr:col>
      <xdr:colOff>318792</xdr:colOff>
      <xdr:row>433</xdr:row>
      <xdr:rowOff>404220</xdr:rowOff>
    </xdr:to>
    <xdr:pic>
      <xdr:nvPicPr>
        <xdr:cNvPr id="1332" name="Picture 308" descr=""/>
        <xdr:cNvPicPr>
          <a:picLocks noChangeAspect="1" noChangeArrowheads="1"/>
        </xdr:cNvPicPr>
      </xdr:nvPicPr>
      <xdr:blipFill>
        <a:blip r:embed="Rbb39715f02d24d41" cstate="print"/>
        <a:srcRect/>
        <a:stretch>
          <a:fillRect/>
        </a:stretch>
      </xdr:blipFill>
      <xdr:spPr bwMode="auto">
        <a:xfrm>
          <a:off x="0" y="0"/>
          <a:ext cx="280692" cy="366120"/>
        </a:xfrm>
        <a:prstGeom prst="rect">
          <a:avLst/>
        </a:prstGeom>
        <a:noFill/>
      </xdr:spPr>
    </xdr:pic>
    <xdr:clientData/>
  </xdr:twoCellAnchor>
  <xdr:twoCellAnchor editAs="oneCell">
    <xdr:from>
      <xdr:col>2</xdr:col>
      <xdr:colOff>38100</xdr:colOff>
      <xdr:row>434</xdr:row>
      <xdr:rowOff>38100</xdr:rowOff>
    </xdr:from>
    <xdr:to>
      <xdr:col>2</xdr:col>
      <xdr:colOff>1181100</xdr:colOff>
      <xdr:row>434</xdr:row>
      <xdr:rowOff>1114425</xdr:rowOff>
    </xdr:to>
    <xdr:pic>
      <xdr:nvPicPr>
        <xdr:cNvPr id="1333" name="Picture 309" descr=""/>
        <xdr:cNvPicPr>
          <a:picLocks noChangeAspect="1" noChangeArrowheads="1"/>
        </xdr:cNvPicPr>
      </xdr:nvPicPr>
      <xdr:blipFill>
        <a:blip r:embed="R0c610218f48a455f" cstate="print"/>
        <a:srcRect/>
        <a:stretch>
          <a:fillRect/>
        </a:stretch>
      </xdr:blipFill>
      <xdr:spPr bwMode="auto">
        <a:xfrm>
          <a:off x="0" y="0"/>
          <a:ext cx="1143000" cy="1076325"/>
        </a:xfrm>
        <a:prstGeom prst="rect">
          <a:avLst/>
        </a:prstGeom>
        <a:noFill/>
      </xdr:spPr>
    </xdr:pic>
    <xdr:clientData/>
  </xdr:twoCellAnchor>
  <xdr:twoCellAnchor editAs="oneCell">
    <xdr:from>
      <xdr:col>2</xdr:col>
      <xdr:colOff>38100</xdr:colOff>
      <xdr:row>435</xdr:row>
      <xdr:rowOff>38100</xdr:rowOff>
    </xdr:from>
    <xdr:to>
      <xdr:col>2</xdr:col>
      <xdr:colOff>1181100</xdr:colOff>
      <xdr:row>435</xdr:row>
      <xdr:rowOff>1181100</xdr:rowOff>
    </xdr:to>
    <xdr:pic>
      <xdr:nvPicPr>
        <xdr:cNvPr id="1334" name="Picture 310" descr=""/>
        <xdr:cNvPicPr>
          <a:picLocks noChangeAspect="1" noChangeArrowheads="1"/>
        </xdr:cNvPicPr>
      </xdr:nvPicPr>
      <xdr:blipFill>
        <a:blip r:embed="R4aff5b7c790847fb"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436</xdr:row>
      <xdr:rowOff>38100</xdr:rowOff>
    </xdr:from>
    <xdr:to>
      <xdr:col>2</xdr:col>
      <xdr:colOff>1181100</xdr:colOff>
      <xdr:row>436</xdr:row>
      <xdr:rowOff>857250</xdr:rowOff>
    </xdr:to>
    <xdr:pic>
      <xdr:nvPicPr>
        <xdr:cNvPr id="1335" name="Picture 311" descr=""/>
        <xdr:cNvPicPr>
          <a:picLocks noChangeAspect="1" noChangeArrowheads="1"/>
        </xdr:cNvPicPr>
      </xdr:nvPicPr>
      <xdr:blipFill>
        <a:blip r:embed="R7a0717c328d241b6" cstate="print"/>
        <a:srcRect/>
        <a:stretch>
          <a:fillRect/>
        </a:stretch>
      </xdr:blipFill>
      <xdr:spPr bwMode="auto">
        <a:xfrm>
          <a:off x="0" y="0"/>
          <a:ext cx="1143000" cy="819150"/>
        </a:xfrm>
        <a:prstGeom prst="rect">
          <a:avLst/>
        </a:prstGeom>
        <a:noFill/>
      </xdr:spPr>
    </xdr:pic>
    <xdr:clientData/>
  </xdr:twoCellAnchor>
  <xdr:twoCellAnchor editAs="oneCell">
    <xdr:from>
      <xdr:col>2</xdr:col>
      <xdr:colOff>38100</xdr:colOff>
      <xdr:row>437</xdr:row>
      <xdr:rowOff>38100</xdr:rowOff>
    </xdr:from>
    <xdr:to>
      <xdr:col>2</xdr:col>
      <xdr:colOff>1181100</xdr:colOff>
      <xdr:row>437</xdr:row>
      <xdr:rowOff>1095375</xdr:rowOff>
    </xdr:to>
    <xdr:pic>
      <xdr:nvPicPr>
        <xdr:cNvPr id="1336" name="Picture 312" descr=""/>
        <xdr:cNvPicPr>
          <a:picLocks noChangeAspect="1" noChangeArrowheads="1"/>
        </xdr:cNvPicPr>
      </xdr:nvPicPr>
      <xdr:blipFill>
        <a:blip r:embed="R40eff983ffa841d6" cstate="print"/>
        <a:srcRect/>
        <a:stretch>
          <a:fillRect/>
        </a:stretch>
      </xdr:blipFill>
      <xdr:spPr bwMode="auto">
        <a:xfrm>
          <a:off x="0" y="0"/>
          <a:ext cx="1143000" cy="1057275"/>
        </a:xfrm>
        <a:prstGeom prst="rect">
          <a:avLst/>
        </a:prstGeom>
        <a:noFill/>
      </xdr:spPr>
    </xdr:pic>
    <xdr:clientData/>
  </xdr:twoCellAnchor>
  <xdr:twoCellAnchor editAs="oneCell">
    <xdr:from>
      <xdr:col>2</xdr:col>
      <xdr:colOff>38100</xdr:colOff>
      <xdr:row>438</xdr:row>
      <xdr:rowOff>38100</xdr:rowOff>
    </xdr:from>
    <xdr:to>
      <xdr:col>2</xdr:col>
      <xdr:colOff>1549400</xdr:colOff>
      <xdr:row>438</xdr:row>
      <xdr:rowOff>1562100</xdr:rowOff>
    </xdr:to>
    <xdr:pic>
      <xdr:nvPicPr>
        <xdr:cNvPr id="1337" name="Picture 313" descr=""/>
        <xdr:cNvPicPr>
          <a:picLocks noChangeAspect="1" noChangeArrowheads="1"/>
        </xdr:cNvPicPr>
      </xdr:nvPicPr>
      <xdr:blipFill>
        <a:blip r:embed="Rb113286684b441fb" cstate="print"/>
        <a:srcRect/>
        <a:stretch>
          <a:fillRect/>
        </a:stretch>
      </xdr:blipFill>
      <xdr:spPr bwMode="auto">
        <a:xfrm>
          <a:off x="0" y="0"/>
          <a:ext cx="1511300" cy="1524000"/>
        </a:xfrm>
        <a:prstGeom prst="rect">
          <a:avLst/>
        </a:prstGeom>
        <a:noFill/>
      </xdr:spPr>
    </xdr:pic>
    <xdr:clientData/>
  </xdr:twoCellAnchor>
  <xdr:twoCellAnchor editAs="oneCell">
    <xdr:from>
      <xdr:col>2</xdr:col>
      <xdr:colOff>38100</xdr:colOff>
      <xdr:row>439</xdr:row>
      <xdr:rowOff>38100</xdr:rowOff>
    </xdr:from>
    <xdr:to>
      <xdr:col>2</xdr:col>
      <xdr:colOff>1171575</xdr:colOff>
      <xdr:row>439</xdr:row>
      <xdr:rowOff>1181100</xdr:rowOff>
    </xdr:to>
    <xdr:pic>
      <xdr:nvPicPr>
        <xdr:cNvPr id="1338" name="Picture 314" descr=""/>
        <xdr:cNvPicPr>
          <a:picLocks noChangeAspect="1" noChangeArrowheads="1"/>
        </xdr:cNvPicPr>
      </xdr:nvPicPr>
      <xdr:blipFill>
        <a:blip r:embed="R65d36affe47440f9" cstate="print"/>
        <a:srcRect/>
        <a:stretch>
          <a:fillRect/>
        </a:stretch>
      </xdr:blipFill>
      <xdr:spPr bwMode="auto">
        <a:xfrm>
          <a:off x="0" y="0"/>
          <a:ext cx="1133475" cy="1143000"/>
        </a:xfrm>
        <a:prstGeom prst="rect">
          <a:avLst/>
        </a:prstGeom>
        <a:noFill/>
      </xdr:spPr>
    </xdr:pic>
    <xdr:clientData/>
  </xdr:twoCellAnchor>
  <xdr:twoCellAnchor editAs="oneCell">
    <xdr:from>
      <xdr:col>2</xdr:col>
      <xdr:colOff>38100</xdr:colOff>
      <xdr:row>444</xdr:row>
      <xdr:rowOff>38100</xdr:rowOff>
    </xdr:from>
    <xdr:to>
      <xdr:col>2</xdr:col>
      <xdr:colOff>550164</xdr:colOff>
      <xdr:row>444</xdr:row>
      <xdr:rowOff>769620</xdr:rowOff>
    </xdr:to>
    <xdr:pic>
      <xdr:nvPicPr>
        <xdr:cNvPr id="1339" name="Picture 315" descr=""/>
        <xdr:cNvPicPr>
          <a:picLocks noChangeAspect="1" noChangeArrowheads="1"/>
        </xdr:cNvPicPr>
      </xdr:nvPicPr>
      <xdr:blipFill>
        <a:blip r:embed="R3d8361c322164161" cstate="print"/>
        <a:srcRect/>
        <a:stretch>
          <a:fillRect/>
        </a:stretch>
      </xdr:blipFill>
      <xdr:spPr bwMode="auto">
        <a:xfrm>
          <a:off x="0" y="0"/>
          <a:ext cx="512064" cy="731520"/>
        </a:xfrm>
        <a:prstGeom prst="rect">
          <a:avLst/>
        </a:prstGeom>
        <a:noFill/>
      </xdr:spPr>
    </xdr:pic>
    <xdr:clientData/>
  </xdr:twoCellAnchor>
  <xdr:twoCellAnchor editAs="oneCell">
    <xdr:from>
      <xdr:col>2</xdr:col>
      <xdr:colOff>38100</xdr:colOff>
      <xdr:row>445</xdr:row>
      <xdr:rowOff>38100</xdr:rowOff>
    </xdr:from>
    <xdr:to>
      <xdr:col>2</xdr:col>
      <xdr:colOff>1580940</xdr:colOff>
      <xdr:row>445</xdr:row>
      <xdr:rowOff>1580940</xdr:rowOff>
    </xdr:to>
    <xdr:pic>
      <xdr:nvPicPr>
        <xdr:cNvPr id="1340" name="Picture 316" descr=""/>
        <xdr:cNvPicPr>
          <a:picLocks noChangeAspect="1" noChangeArrowheads="1"/>
        </xdr:cNvPicPr>
      </xdr:nvPicPr>
      <xdr:blipFill>
        <a:blip r:embed="R76d6352cdb2b4dd3" cstate="print"/>
        <a:srcRect/>
        <a:stretch>
          <a:fillRect/>
        </a:stretch>
      </xdr:blipFill>
      <xdr:spPr bwMode="auto">
        <a:xfrm>
          <a:off x="0" y="0"/>
          <a:ext cx="1542840" cy="1542840"/>
        </a:xfrm>
        <a:prstGeom prst="rect">
          <a:avLst/>
        </a:prstGeom>
        <a:noFill/>
      </xdr:spPr>
    </xdr:pic>
    <xdr:clientData/>
  </xdr:twoCellAnchor>
  <xdr:twoCellAnchor editAs="oneCell">
    <xdr:from>
      <xdr:col>2</xdr:col>
      <xdr:colOff>38100</xdr:colOff>
      <xdr:row>447</xdr:row>
      <xdr:rowOff>38100</xdr:rowOff>
    </xdr:from>
    <xdr:to>
      <xdr:col>2</xdr:col>
      <xdr:colOff>952500</xdr:colOff>
      <xdr:row>447</xdr:row>
      <xdr:rowOff>807720</xdr:rowOff>
    </xdr:to>
    <xdr:pic>
      <xdr:nvPicPr>
        <xdr:cNvPr id="1341" name="Picture 317" descr=""/>
        <xdr:cNvPicPr>
          <a:picLocks noChangeAspect="1" noChangeArrowheads="1"/>
        </xdr:cNvPicPr>
      </xdr:nvPicPr>
      <xdr:blipFill>
        <a:blip r:embed="R098eacfc67614aaa" cstate="print"/>
        <a:srcRect/>
        <a:stretch>
          <a:fillRect/>
        </a:stretch>
      </xdr:blipFill>
      <xdr:spPr bwMode="auto">
        <a:xfrm>
          <a:off x="0" y="0"/>
          <a:ext cx="914400" cy="769620"/>
        </a:xfrm>
        <a:prstGeom prst="rect">
          <a:avLst/>
        </a:prstGeom>
        <a:noFill/>
      </xdr:spPr>
    </xdr:pic>
    <xdr:clientData/>
  </xdr:twoCellAnchor>
  <xdr:twoCellAnchor editAs="oneCell">
    <xdr:from>
      <xdr:col>2</xdr:col>
      <xdr:colOff>38100</xdr:colOff>
      <xdr:row>448</xdr:row>
      <xdr:rowOff>38100</xdr:rowOff>
    </xdr:from>
    <xdr:to>
      <xdr:col>2</xdr:col>
      <xdr:colOff>1181100</xdr:colOff>
      <xdr:row>448</xdr:row>
      <xdr:rowOff>1123950</xdr:rowOff>
    </xdr:to>
    <xdr:pic>
      <xdr:nvPicPr>
        <xdr:cNvPr id="1342" name="Picture 318" descr=""/>
        <xdr:cNvPicPr>
          <a:picLocks noChangeAspect="1" noChangeArrowheads="1"/>
        </xdr:cNvPicPr>
      </xdr:nvPicPr>
      <xdr:blipFill>
        <a:blip r:embed="Rc41bce568f59476f" cstate="print"/>
        <a:srcRect/>
        <a:stretch>
          <a:fillRect/>
        </a:stretch>
      </xdr:blipFill>
      <xdr:spPr bwMode="auto">
        <a:xfrm>
          <a:off x="0" y="0"/>
          <a:ext cx="1143000" cy="1085850"/>
        </a:xfrm>
        <a:prstGeom prst="rect">
          <a:avLst/>
        </a:prstGeom>
        <a:noFill/>
      </xdr:spPr>
    </xdr:pic>
    <xdr:clientData/>
  </xdr:twoCellAnchor>
  <xdr:twoCellAnchor editAs="oneCell">
    <xdr:from>
      <xdr:col>2</xdr:col>
      <xdr:colOff>38100</xdr:colOff>
      <xdr:row>449</xdr:row>
      <xdr:rowOff>38100</xdr:rowOff>
    </xdr:from>
    <xdr:to>
      <xdr:col>2</xdr:col>
      <xdr:colOff>427536</xdr:colOff>
      <xdr:row>449</xdr:row>
      <xdr:rowOff>546060</xdr:rowOff>
    </xdr:to>
    <xdr:pic>
      <xdr:nvPicPr>
        <xdr:cNvPr id="1343" name="Picture 319" descr=""/>
        <xdr:cNvPicPr>
          <a:picLocks noChangeAspect="1" noChangeArrowheads="1"/>
        </xdr:cNvPicPr>
      </xdr:nvPicPr>
      <xdr:blipFill>
        <a:blip r:embed="Ra96d34ead80b44cc" cstate="print"/>
        <a:srcRect/>
        <a:stretch>
          <a:fillRect/>
        </a:stretch>
      </xdr:blipFill>
      <xdr:spPr bwMode="auto">
        <a:xfrm>
          <a:off x="0" y="0"/>
          <a:ext cx="389436" cy="507960"/>
        </a:xfrm>
        <a:prstGeom prst="rect">
          <a:avLst/>
        </a:prstGeom>
        <a:noFill/>
      </xdr:spPr>
    </xdr:pic>
    <xdr:clientData/>
  </xdr:twoCellAnchor>
  <xdr:twoCellAnchor editAs="oneCell">
    <xdr:from>
      <xdr:col>2</xdr:col>
      <xdr:colOff>38100</xdr:colOff>
      <xdr:row>450</xdr:row>
      <xdr:rowOff>38100</xdr:rowOff>
    </xdr:from>
    <xdr:to>
      <xdr:col>2</xdr:col>
      <xdr:colOff>1181100</xdr:colOff>
      <xdr:row>450</xdr:row>
      <xdr:rowOff>1181100</xdr:rowOff>
    </xdr:to>
    <xdr:pic>
      <xdr:nvPicPr>
        <xdr:cNvPr id="1344" name="Picture 320" descr=""/>
        <xdr:cNvPicPr>
          <a:picLocks noChangeAspect="1" noChangeArrowheads="1"/>
        </xdr:cNvPicPr>
      </xdr:nvPicPr>
      <xdr:blipFill>
        <a:blip r:embed="R3066bf058dbe447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451</xdr:row>
      <xdr:rowOff>38100</xdr:rowOff>
    </xdr:from>
    <xdr:to>
      <xdr:col>2</xdr:col>
      <xdr:colOff>769620</xdr:colOff>
      <xdr:row>451</xdr:row>
      <xdr:rowOff>769620</xdr:rowOff>
    </xdr:to>
    <xdr:pic>
      <xdr:nvPicPr>
        <xdr:cNvPr id="1345" name="Picture 321" descr=""/>
        <xdr:cNvPicPr>
          <a:picLocks noChangeAspect="1" noChangeArrowheads="1"/>
        </xdr:cNvPicPr>
      </xdr:nvPicPr>
      <xdr:blipFill>
        <a:blip r:embed="R775c0c62c5b34cc1"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452</xdr:row>
      <xdr:rowOff>38100</xdr:rowOff>
    </xdr:from>
    <xdr:to>
      <xdr:col>2</xdr:col>
      <xdr:colOff>1135380</xdr:colOff>
      <xdr:row>452</xdr:row>
      <xdr:rowOff>1135380</xdr:rowOff>
    </xdr:to>
    <xdr:pic>
      <xdr:nvPicPr>
        <xdr:cNvPr id="1346" name="Picture 322" descr=""/>
        <xdr:cNvPicPr>
          <a:picLocks noChangeAspect="1" noChangeArrowheads="1"/>
        </xdr:cNvPicPr>
      </xdr:nvPicPr>
      <xdr:blipFill>
        <a:blip r:embed="R54efa3f327ab4e3d" cstate="print"/>
        <a:srcRect/>
        <a:stretch>
          <a:fillRect/>
        </a:stretch>
      </xdr:blipFill>
      <xdr:spPr bwMode="auto">
        <a:xfrm>
          <a:off x="0" y="0"/>
          <a:ext cx="1097280" cy="1097280"/>
        </a:xfrm>
        <a:prstGeom prst="rect">
          <a:avLst/>
        </a:prstGeom>
        <a:noFill/>
      </xdr:spPr>
    </xdr:pic>
    <xdr:clientData/>
  </xdr:twoCellAnchor>
  <xdr:twoCellAnchor editAs="oneCell">
    <xdr:from>
      <xdr:col>2</xdr:col>
      <xdr:colOff>38100</xdr:colOff>
      <xdr:row>453</xdr:row>
      <xdr:rowOff>38100</xdr:rowOff>
    </xdr:from>
    <xdr:to>
      <xdr:col>2</xdr:col>
      <xdr:colOff>1181220</xdr:colOff>
      <xdr:row>453</xdr:row>
      <xdr:rowOff>1133590</xdr:rowOff>
    </xdr:to>
    <xdr:pic>
      <xdr:nvPicPr>
        <xdr:cNvPr id="1347" name="Picture 323" descr=""/>
        <xdr:cNvPicPr>
          <a:picLocks noChangeAspect="1" noChangeArrowheads="1"/>
        </xdr:cNvPicPr>
      </xdr:nvPicPr>
      <xdr:blipFill>
        <a:blip r:embed="Rc1a75b80cb0c4f75" cstate="print"/>
        <a:srcRect/>
        <a:stretch>
          <a:fillRect/>
        </a:stretch>
      </xdr:blipFill>
      <xdr:spPr bwMode="auto">
        <a:xfrm>
          <a:off x="0" y="0"/>
          <a:ext cx="1143120" cy="1095490"/>
        </a:xfrm>
        <a:prstGeom prst="rect">
          <a:avLst/>
        </a:prstGeom>
        <a:noFill/>
      </xdr:spPr>
    </xdr:pic>
    <xdr:clientData/>
  </xdr:twoCellAnchor>
  <xdr:twoCellAnchor editAs="oneCell">
    <xdr:from>
      <xdr:col>2</xdr:col>
      <xdr:colOff>38100</xdr:colOff>
      <xdr:row>454</xdr:row>
      <xdr:rowOff>38100</xdr:rowOff>
    </xdr:from>
    <xdr:to>
      <xdr:col>2</xdr:col>
      <xdr:colOff>1092200</xdr:colOff>
      <xdr:row>454</xdr:row>
      <xdr:rowOff>1562100</xdr:rowOff>
    </xdr:to>
    <xdr:pic>
      <xdr:nvPicPr>
        <xdr:cNvPr id="1348" name="Picture 324" descr=""/>
        <xdr:cNvPicPr>
          <a:picLocks noChangeAspect="1" noChangeArrowheads="1"/>
        </xdr:cNvPicPr>
      </xdr:nvPicPr>
      <xdr:blipFill>
        <a:blip r:embed="Rc0d09cb1a71042aa" cstate="print"/>
        <a:srcRect/>
        <a:stretch>
          <a:fillRect/>
        </a:stretch>
      </xdr:blipFill>
      <xdr:spPr bwMode="auto">
        <a:xfrm>
          <a:off x="0" y="0"/>
          <a:ext cx="1054100" cy="1524000"/>
        </a:xfrm>
        <a:prstGeom prst="rect">
          <a:avLst/>
        </a:prstGeom>
        <a:noFill/>
      </xdr:spPr>
    </xdr:pic>
    <xdr:clientData/>
  </xdr:twoCellAnchor>
  <xdr:twoCellAnchor editAs="oneCell">
    <xdr:from>
      <xdr:col>2</xdr:col>
      <xdr:colOff>38100</xdr:colOff>
      <xdr:row>455</xdr:row>
      <xdr:rowOff>38100</xdr:rowOff>
    </xdr:from>
    <xdr:to>
      <xdr:col>2</xdr:col>
      <xdr:colOff>1562100</xdr:colOff>
      <xdr:row>455</xdr:row>
      <xdr:rowOff>1562100</xdr:rowOff>
    </xdr:to>
    <xdr:pic>
      <xdr:nvPicPr>
        <xdr:cNvPr id="1349" name="Picture 325" descr=""/>
        <xdr:cNvPicPr>
          <a:picLocks noChangeAspect="1" noChangeArrowheads="1"/>
        </xdr:cNvPicPr>
      </xdr:nvPicPr>
      <xdr:blipFill>
        <a:blip r:embed="R4edd0b34055b4fc1"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457</xdr:row>
      <xdr:rowOff>38100</xdr:rowOff>
    </xdr:from>
    <xdr:to>
      <xdr:col>2</xdr:col>
      <xdr:colOff>1181100</xdr:colOff>
      <xdr:row>457</xdr:row>
      <xdr:rowOff>800100</xdr:rowOff>
    </xdr:to>
    <xdr:pic>
      <xdr:nvPicPr>
        <xdr:cNvPr id="1350" name="Picture 326" descr=""/>
        <xdr:cNvPicPr>
          <a:picLocks noChangeAspect="1" noChangeArrowheads="1"/>
        </xdr:cNvPicPr>
      </xdr:nvPicPr>
      <xdr:blipFill>
        <a:blip r:embed="R2c1dfd7cafab4750" cstate="print"/>
        <a:srcRect/>
        <a:stretch>
          <a:fillRect/>
        </a:stretch>
      </xdr:blipFill>
      <xdr:spPr bwMode="auto">
        <a:xfrm>
          <a:off x="0" y="0"/>
          <a:ext cx="1143000" cy="762000"/>
        </a:xfrm>
        <a:prstGeom prst="rect">
          <a:avLst/>
        </a:prstGeom>
        <a:noFill/>
      </xdr:spPr>
    </xdr:pic>
    <xdr:clientData/>
  </xdr:twoCellAnchor>
  <xdr:twoCellAnchor editAs="oneCell">
    <xdr:from>
      <xdr:col>2</xdr:col>
      <xdr:colOff>38100</xdr:colOff>
      <xdr:row>458</xdr:row>
      <xdr:rowOff>38100</xdr:rowOff>
    </xdr:from>
    <xdr:to>
      <xdr:col>2</xdr:col>
      <xdr:colOff>1181100</xdr:colOff>
      <xdr:row>458</xdr:row>
      <xdr:rowOff>381000</xdr:rowOff>
    </xdr:to>
    <xdr:pic>
      <xdr:nvPicPr>
        <xdr:cNvPr id="1351" name="Picture 327" descr=""/>
        <xdr:cNvPicPr>
          <a:picLocks noChangeAspect="1" noChangeArrowheads="1"/>
        </xdr:cNvPicPr>
      </xdr:nvPicPr>
      <xdr:blipFill>
        <a:blip r:embed="R3dbd0b423e1743fc" cstate="print"/>
        <a:srcRect/>
        <a:stretch>
          <a:fillRect/>
        </a:stretch>
      </xdr:blipFill>
      <xdr:spPr bwMode="auto">
        <a:xfrm>
          <a:off x="0" y="0"/>
          <a:ext cx="1143000" cy="342900"/>
        </a:xfrm>
        <a:prstGeom prst="rect">
          <a:avLst/>
        </a:prstGeom>
        <a:noFill/>
      </xdr:spPr>
    </xdr:pic>
    <xdr:clientData/>
  </xdr:twoCellAnchor>
  <xdr:twoCellAnchor editAs="oneCell">
    <xdr:from>
      <xdr:col>2</xdr:col>
      <xdr:colOff>38100</xdr:colOff>
      <xdr:row>459</xdr:row>
      <xdr:rowOff>38100</xdr:rowOff>
    </xdr:from>
    <xdr:to>
      <xdr:col>2</xdr:col>
      <xdr:colOff>1181100</xdr:colOff>
      <xdr:row>459</xdr:row>
      <xdr:rowOff>752475</xdr:rowOff>
    </xdr:to>
    <xdr:pic>
      <xdr:nvPicPr>
        <xdr:cNvPr id="1352" name="Picture 328" descr=""/>
        <xdr:cNvPicPr>
          <a:picLocks noChangeAspect="1" noChangeArrowheads="1"/>
        </xdr:cNvPicPr>
      </xdr:nvPicPr>
      <xdr:blipFill>
        <a:blip r:embed="R834080ee89f549ba" cstate="print"/>
        <a:srcRect/>
        <a:stretch>
          <a:fillRect/>
        </a:stretch>
      </xdr:blipFill>
      <xdr:spPr bwMode="auto">
        <a:xfrm>
          <a:off x="0" y="0"/>
          <a:ext cx="1143000" cy="714375"/>
        </a:xfrm>
        <a:prstGeom prst="rect">
          <a:avLst/>
        </a:prstGeom>
        <a:noFill/>
      </xdr:spPr>
    </xdr:pic>
    <xdr:clientData/>
  </xdr:twoCellAnchor>
  <xdr:twoCellAnchor editAs="oneCell">
    <xdr:from>
      <xdr:col>2</xdr:col>
      <xdr:colOff>38100</xdr:colOff>
      <xdr:row>460</xdr:row>
      <xdr:rowOff>38100</xdr:rowOff>
    </xdr:from>
    <xdr:to>
      <xdr:col>2</xdr:col>
      <xdr:colOff>382524</xdr:colOff>
      <xdr:row>460</xdr:row>
      <xdr:rowOff>403860</xdr:rowOff>
    </xdr:to>
    <xdr:pic>
      <xdr:nvPicPr>
        <xdr:cNvPr id="1353" name="Picture 329" descr=""/>
        <xdr:cNvPicPr>
          <a:picLocks noChangeAspect="1" noChangeArrowheads="1"/>
        </xdr:cNvPicPr>
      </xdr:nvPicPr>
      <xdr:blipFill>
        <a:blip r:embed="R17643eaf24984607" cstate="print"/>
        <a:srcRect/>
        <a:stretch>
          <a:fillRect/>
        </a:stretch>
      </xdr:blipFill>
      <xdr:spPr bwMode="auto">
        <a:xfrm>
          <a:off x="0" y="0"/>
          <a:ext cx="344424" cy="365760"/>
        </a:xfrm>
        <a:prstGeom prst="rect">
          <a:avLst/>
        </a:prstGeom>
        <a:noFill/>
      </xdr:spPr>
    </xdr:pic>
    <xdr:clientData/>
  </xdr:twoCellAnchor>
  <xdr:twoCellAnchor editAs="oneCell">
    <xdr:from>
      <xdr:col>2</xdr:col>
      <xdr:colOff>38100</xdr:colOff>
      <xdr:row>461</xdr:row>
      <xdr:rowOff>38100</xdr:rowOff>
    </xdr:from>
    <xdr:to>
      <xdr:col>2</xdr:col>
      <xdr:colOff>1562100</xdr:colOff>
      <xdr:row>461</xdr:row>
      <xdr:rowOff>1206500</xdr:rowOff>
    </xdr:to>
    <xdr:pic>
      <xdr:nvPicPr>
        <xdr:cNvPr id="1354" name="Picture 330" descr=""/>
        <xdr:cNvPicPr>
          <a:picLocks noChangeAspect="1" noChangeArrowheads="1"/>
        </xdr:cNvPicPr>
      </xdr:nvPicPr>
      <xdr:blipFill>
        <a:blip r:embed="R07c23b1e642c4554" cstate="print"/>
        <a:srcRect/>
        <a:stretch>
          <a:fillRect/>
        </a:stretch>
      </xdr:blipFill>
      <xdr:spPr bwMode="auto">
        <a:xfrm>
          <a:off x="0" y="0"/>
          <a:ext cx="1524000" cy="1168400"/>
        </a:xfrm>
        <a:prstGeom prst="rect">
          <a:avLst/>
        </a:prstGeom>
        <a:noFill/>
      </xdr:spPr>
    </xdr:pic>
    <xdr:clientData/>
  </xdr:twoCellAnchor>
  <xdr:twoCellAnchor editAs="oneCell">
    <xdr:from>
      <xdr:col>2</xdr:col>
      <xdr:colOff>38100</xdr:colOff>
      <xdr:row>463</xdr:row>
      <xdr:rowOff>38100</xdr:rowOff>
    </xdr:from>
    <xdr:to>
      <xdr:col>2</xdr:col>
      <xdr:colOff>769620</xdr:colOff>
      <xdr:row>463</xdr:row>
      <xdr:rowOff>769620</xdr:rowOff>
    </xdr:to>
    <xdr:pic>
      <xdr:nvPicPr>
        <xdr:cNvPr id="1355" name="Picture 331" descr=""/>
        <xdr:cNvPicPr>
          <a:picLocks noChangeAspect="1" noChangeArrowheads="1"/>
        </xdr:cNvPicPr>
      </xdr:nvPicPr>
      <xdr:blipFill>
        <a:blip r:embed="Rebe253b5613d49c6"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464</xdr:row>
      <xdr:rowOff>38100</xdr:rowOff>
    </xdr:from>
    <xdr:to>
      <xdr:col>2</xdr:col>
      <xdr:colOff>1562100</xdr:colOff>
      <xdr:row>464</xdr:row>
      <xdr:rowOff>1562100</xdr:rowOff>
    </xdr:to>
    <xdr:pic>
      <xdr:nvPicPr>
        <xdr:cNvPr id="1356" name="Picture 332" descr=""/>
        <xdr:cNvPicPr>
          <a:picLocks noChangeAspect="1" noChangeArrowheads="1"/>
        </xdr:cNvPicPr>
      </xdr:nvPicPr>
      <xdr:blipFill>
        <a:blip r:embed="Raf3794fc4746404d"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465</xdr:row>
      <xdr:rowOff>38100</xdr:rowOff>
    </xdr:from>
    <xdr:to>
      <xdr:col>2</xdr:col>
      <xdr:colOff>1181100</xdr:colOff>
      <xdr:row>465</xdr:row>
      <xdr:rowOff>1057275</xdr:rowOff>
    </xdr:to>
    <xdr:pic>
      <xdr:nvPicPr>
        <xdr:cNvPr id="1357" name="Picture 333" descr=""/>
        <xdr:cNvPicPr>
          <a:picLocks noChangeAspect="1" noChangeArrowheads="1"/>
        </xdr:cNvPicPr>
      </xdr:nvPicPr>
      <xdr:blipFill>
        <a:blip r:embed="R8279bfef92dd46eb" cstate="print"/>
        <a:srcRect/>
        <a:stretch>
          <a:fillRect/>
        </a:stretch>
      </xdr:blipFill>
      <xdr:spPr bwMode="auto">
        <a:xfrm>
          <a:off x="0" y="0"/>
          <a:ext cx="1143000" cy="1019175"/>
        </a:xfrm>
        <a:prstGeom prst="rect">
          <a:avLst/>
        </a:prstGeom>
        <a:noFill/>
      </xdr:spPr>
    </xdr:pic>
    <xdr:clientData/>
  </xdr:twoCellAnchor>
  <xdr:twoCellAnchor editAs="oneCell">
    <xdr:from>
      <xdr:col>2</xdr:col>
      <xdr:colOff>38100</xdr:colOff>
      <xdr:row>466</xdr:row>
      <xdr:rowOff>38100</xdr:rowOff>
    </xdr:from>
    <xdr:to>
      <xdr:col>2</xdr:col>
      <xdr:colOff>403860</xdr:colOff>
      <xdr:row>466</xdr:row>
      <xdr:rowOff>403860</xdr:rowOff>
    </xdr:to>
    <xdr:pic>
      <xdr:nvPicPr>
        <xdr:cNvPr id="1358" name="Picture 334" descr=""/>
        <xdr:cNvPicPr>
          <a:picLocks noChangeAspect="1" noChangeArrowheads="1"/>
        </xdr:cNvPicPr>
      </xdr:nvPicPr>
      <xdr:blipFill>
        <a:blip r:embed="R9e8b769e7b8b41ef"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467</xdr:row>
      <xdr:rowOff>38100</xdr:rowOff>
    </xdr:from>
    <xdr:to>
      <xdr:col>2</xdr:col>
      <xdr:colOff>1562100</xdr:colOff>
      <xdr:row>467</xdr:row>
      <xdr:rowOff>1562100</xdr:rowOff>
    </xdr:to>
    <xdr:pic>
      <xdr:nvPicPr>
        <xdr:cNvPr id="1359" name="Picture 335" descr=""/>
        <xdr:cNvPicPr>
          <a:picLocks noChangeAspect="1" noChangeArrowheads="1"/>
        </xdr:cNvPicPr>
      </xdr:nvPicPr>
      <xdr:blipFill>
        <a:blip r:embed="Ra9c9e79b95dc4d20"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468</xdr:row>
      <xdr:rowOff>38100</xdr:rowOff>
    </xdr:from>
    <xdr:to>
      <xdr:col>2</xdr:col>
      <xdr:colOff>1562100</xdr:colOff>
      <xdr:row>468</xdr:row>
      <xdr:rowOff>1524000</xdr:rowOff>
    </xdr:to>
    <xdr:pic>
      <xdr:nvPicPr>
        <xdr:cNvPr id="1360" name="Picture 336" descr=""/>
        <xdr:cNvPicPr>
          <a:picLocks noChangeAspect="1" noChangeArrowheads="1"/>
        </xdr:cNvPicPr>
      </xdr:nvPicPr>
      <xdr:blipFill>
        <a:blip r:embed="Rf56c157210394a4e" cstate="print"/>
        <a:srcRect/>
        <a:stretch>
          <a:fillRect/>
        </a:stretch>
      </xdr:blipFill>
      <xdr:spPr bwMode="auto">
        <a:xfrm>
          <a:off x="0" y="0"/>
          <a:ext cx="1524000" cy="1485900"/>
        </a:xfrm>
        <a:prstGeom prst="rect">
          <a:avLst/>
        </a:prstGeom>
        <a:noFill/>
      </xdr:spPr>
    </xdr:pic>
    <xdr:clientData/>
  </xdr:twoCellAnchor>
  <xdr:twoCellAnchor editAs="oneCell">
    <xdr:from>
      <xdr:col>2</xdr:col>
      <xdr:colOff>38100</xdr:colOff>
      <xdr:row>470</xdr:row>
      <xdr:rowOff>38100</xdr:rowOff>
    </xdr:from>
    <xdr:to>
      <xdr:col>2</xdr:col>
      <xdr:colOff>1181100</xdr:colOff>
      <xdr:row>470</xdr:row>
      <xdr:rowOff>790575</xdr:rowOff>
    </xdr:to>
    <xdr:pic>
      <xdr:nvPicPr>
        <xdr:cNvPr id="1361" name="Picture 337" descr=""/>
        <xdr:cNvPicPr>
          <a:picLocks noChangeAspect="1" noChangeArrowheads="1"/>
        </xdr:cNvPicPr>
      </xdr:nvPicPr>
      <xdr:blipFill>
        <a:blip r:embed="R391d84a00ed34998" cstate="print"/>
        <a:srcRect/>
        <a:stretch>
          <a:fillRect/>
        </a:stretch>
      </xdr:blipFill>
      <xdr:spPr bwMode="auto">
        <a:xfrm>
          <a:off x="0" y="0"/>
          <a:ext cx="1143000" cy="752475"/>
        </a:xfrm>
        <a:prstGeom prst="rect">
          <a:avLst/>
        </a:prstGeom>
        <a:noFill/>
      </xdr:spPr>
    </xdr:pic>
    <xdr:clientData/>
  </xdr:twoCellAnchor>
  <xdr:twoCellAnchor editAs="oneCell">
    <xdr:from>
      <xdr:col>2</xdr:col>
      <xdr:colOff>38100</xdr:colOff>
      <xdr:row>471</xdr:row>
      <xdr:rowOff>38100</xdr:rowOff>
    </xdr:from>
    <xdr:to>
      <xdr:col>2</xdr:col>
      <xdr:colOff>403860</xdr:colOff>
      <xdr:row>471</xdr:row>
      <xdr:rowOff>403860</xdr:rowOff>
    </xdr:to>
    <xdr:pic>
      <xdr:nvPicPr>
        <xdr:cNvPr id="1362" name="Picture 338" descr=""/>
        <xdr:cNvPicPr>
          <a:picLocks noChangeAspect="1" noChangeArrowheads="1"/>
        </xdr:cNvPicPr>
      </xdr:nvPicPr>
      <xdr:blipFill>
        <a:blip r:embed="Rf9e1c9d2f4c040f7"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472</xdr:row>
      <xdr:rowOff>38100</xdr:rowOff>
    </xdr:from>
    <xdr:to>
      <xdr:col>2</xdr:col>
      <xdr:colOff>952500</xdr:colOff>
      <xdr:row>472</xdr:row>
      <xdr:rowOff>952500</xdr:rowOff>
    </xdr:to>
    <xdr:pic>
      <xdr:nvPicPr>
        <xdr:cNvPr id="1363" name="Picture 339" descr=""/>
        <xdr:cNvPicPr>
          <a:picLocks noChangeAspect="1" noChangeArrowheads="1"/>
        </xdr:cNvPicPr>
      </xdr:nvPicPr>
      <xdr:blipFill>
        <a:blip r:embed="Re1b05aa1fb1247a3" cstate="print"/>
        <a:srcRect/>
        <a:stretch>
          <a:fillRect/>
        </a:stretch>
      </xdr:blipFill>
      <xdr:spPr bwMode="auto">
        <a:xfrm>
          <a:off x="0" y="0"/>
          <a:ext cx="914400" cy="914400"/>
        </a:xfrm>
        <a:prstGeom prst="rect">
          <a:avLst/>
        </a:prstGeom>
        <a:noFill/>
      </xdr:spPr>
    </xdr:pic>
    <xdr:clientData/>
  </xdr:twoCellAnchor>
  <xdr:twoCellAnchor editAs="oneCell">
    <xdr:from>
      <xdr:col>2</xdr:col>
      <xdr:colOff>38100</xdr:colOff>
      <xdr:row>473</xdr:row>
      <xdr:rowOff>38100</xdr:rowOff>
    </xdr:from>
    <xdr:to>
      <xdr:col>2</xdr:col>
      <xdr:colOff>1181100</xdr:colOff>
      <xdr:row>473</xdr:row>
      <xdr:rowOff>542925</xdr:rowOff>
    </xdr:to>
    <xdr:pic>
      <xdr:nvPicPr>
        <xdr:cNvPr id="1364" name="Picture 340" descr=""/>
        <xdr:cNvPicPr>
          <a:picLocks noChangeAspect="1" noChangeArrowheads="1"/>
        </xdr:cNvPicPr>
      </xdr:nvPicPr>
      <xdr:blipFill>
        <a:blip r:embed="Rf8ee688e5251462d" cstate="print"/>
        <a:srcRect/>
        <a:stretch>
          <a:fillRect/>
        </a:stretch>
      </xdr:blipFill>
      <xdr:spPr bwMode="auto">
        <a:xfrm>
          <a:off x="0" y="0"/>
          <a:ext cx="1143000" cy="504825"/>
        </a:xfrm>
        <a:prstGeom prst="rect">
          <a:avLst/>
        </a:prstGeom>
        <a:noFill/>
      </xdr:spPr>
    </xdr:pic>
    <xdr:clientData/>
  </xdr:twoCellAnchor>
  <xdr:twoCellAnchor editAs="oneCell">
    <xdr:from>
      <xdr:col>2</xdr:col>
      <xdr:colOff>38100</xdr:colOff>
      <xdr:row>477</xdr:row>
      <xdr:rowOff>38100</xdr:rowOff>
    </xdr:from>
    <xdr:to>
      <xdr:col>2</xdr:col>
      <xdr:colOff>1181100</xdr:colOff>
      <xdr:row>477</xdr:row>
      <xdr:rowOff>1181100</xdr:rowOff>
    </xdr:to>
    <xdr:pic>
      <xdr:nvPicPr>
        <xdr:cNvPr id="1365" name="Picture 341" descr=""/>
        <xdr:cNvPicPr>
          <a:picLocks noChangeAspect="1" noChangeArrowheads="1"/>
        </xdr:cNvPicPr>
      </xdr:nvPicPr>
      <xdr:blipFill>
        <a:blip r:embed="R4e3f291960974d7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478</xdr:row>
      <xdr:rowOff>38100</xdr:rowOff>
    </xdr:from>
    <xdr:to>
      <xdr:col>2</xdr:col>
      <xdr:colOff>1181100</xdr:colOff>
      <xdr:row>478</xdr:row>
      <xdr:rowOff>1181100</xdr:rowOff>
    </xdr:to>
    <xdr:pic>
      <xdr:nvPicPr>
        <xdr:cNvPr id="1366" name="Picture 342" descr=""/>
        <xdr:cNvPicPr>
          <a:picLocks noChangeAspect="1" noChangeArrowheads="1"/>
        </xdr:cNvPicPr>
      </xdr:nvPicPr>
      <xdr:blipFill>
        <a:blip r:embed="R5fd4a8052504412e"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479</xdr:row>
      <xdr:rowOff>38100</xdr:rowOff>
    </xdr:from>
    <xdr:to>
      <xdr:col>2</xdr:col>
      <xdr:colOff>1181100</xdr:colOff>
      <xdr:row>479</xdr:row>
      <xdr:rowOff>676275</xdr:rowOff>
    </xdr:to>
    <xdr:pic>
      <xdr:nvPicPr>
        <xdr:cNvPr id="1367" name="Picture 343" descr=""/>
        <xdr:cNvPicPr>
          <a:picLocks noChangeAspect="1" noChangeArrowheads="1"/>
        </xdr:cNvPicPr>
      </xdr:nvPicPr>
      <xdr:blipFill>
        <a:blip r:embed="R00b5a1125ebf46dd" cstate="print"/>
        <a:srcRect/>
        <a:stretch>
          <a:fillRect/>
        </a:stretch>
      </xdr:blipFill>
      <xdr:spPr bwMode="auto">
        <a:xfrm>
          <a:off x="0" y="0"/>
          <a:ext cx="1143000" cy="638175"/>
        </a:xfrm>
        <a:prstGeom prst="rect">
          <a:avLst/>
        </a:prstGeom>
        <a:noFill/>
      </xdr:spPr>
    </xdr:pic>
    <xdr:clientData/>
  </xdr:twoCellAnchor>
  <xdr:twoCellAnchor editAs="oneCell">
    <xdr:from>
      <xdr:col>2</xdr:col>
      <xdr:colOff>38100</xdr:colOff>
      <xdr:row>480</xdr:row>
      <xdr:rowOff>38100</xdr:rowOff>
    </xdr:from>
    <xdr:to>
      <xdr:col>2</xdr:col>
      <xdr:colOff>1181100</xdr:colOff>
      <xdr:row>480</xdr:row>
      <xdr:rowOff>904875</xdr:rowOff>
    </xdr:to>
    <xdr:pic>
      <xdr:nvPicPr>
        <xdr:cNvPr id="1368" name="Picture 344" descr=""/>
        <xdr:cNvPicPr>
          <a:picLocks noChangeAspect="1" noChangeArrowheads="1"/>
        </xdr:cNvPicPr>
      </xdr:nvPicPr>
      <xdr:blipFill>
        <a:blip r:embed="Rd83b5b9e34d94f3a" cstate="print"/>
        <a:srcRect/>
        <a:stretch>
          <a:fillRect/>
        </a:stretch>
      </xdr:blipFill>
      <xdr:spPr bwMode="auto">
        <a:xfrm>
          <a:off x="0" y="0"/>
          <a:ext cx="1143000" cy="866775"/>
        </a:xfrm>
        <a:prstGeom prst="rect">
          <a:avLst/>
        </a:prstGeom>
        <a:noFill/>
      </xdr:spPr>
    </xdr:pic>
    <xdr:clientData/>
  </xdr:twoCellAnchor>
  <xdr:twoCellAnchor editAs="oneCell">
    <xdr:from>
      <xdr:col>2</xdr:col>
      <xdr:colOff>38100</xdr:colOff>
      <xdr:row>481</xdr:row>
      <xdr:rowOff>38100</xdr:rowOff>
    </xdr:from>
    <xdr:to>
      <xdr:col>2</xdr:col>
      <xdr:colOff>1181100</xdr:colOff>
      <xdr:row>481</xdr:row>
      <xdr:rowOff>1181100</xdr:rowOff>
    </xdr:to>
    <xdr:pic>
      <xdr:nvPicPr>
        <xdr:cNvPr id="1369" name="Picture 345" descr=""/>
        <xdr:cNvPicPr>
          <a:picLocks noChangeAspect="1" noChangeArrowheads="1"/>
        </xdr:cNvPicPr>
      </xdr:nvPicPr>
      <xdr:blipFill>
        <a:blip r:embed="R7152e335c0cc4df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482</xdr:row>
      <xdr:rowOff>38100</xdr:rowOff>
    </xdr:from>
    <xdr:to>
      <xdr:col>2</xdr:col>
      <xdr:colOff>403860</xdr:colOff>
      <xdr:row>482</xdr:row>
      <xdr:rowOff>403860</xdr:rowOff>
    </xdr:to>
    <xdr:pic>
      <xdr:nvPicPr>
        <xdr:cNvPr id="1370" name="Picture 346" descr=""/>
        <xdr:cNvPicPr>
          <a:picLocks noChangeAspect="1" noChangeArrowheads="1"/>
        </xdr:cNvPicPr>
      </xdr:nvPicPr>
      <xdr:blipFill>
        <a:blip r:embed="R0f8e2fd182524bef"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484</xdr:row>
      <xdr:rowOff>38100</xdr:rowOff>
    </xdr:from>
    <xdr:to>
      <xdr:col>2</xdr:col>
      <xdr:colOff>769620</xdr:colOff>
      <xdr:row>484</xdr:row>
      <xdr:rowOff>769620</xdr:rowOff>
    </xdr:to>
    <xdr:pic>
      <xdr:nvPicPr>
        <xdr:cNvPr id="1371" name="Picture 347" descr=""/>
        <xdr:cNvPicPr>
          <a:picLocks noChangeAspect="1" noChangeArrowheads="1"/>
        </xdr:cNvPicPr>
      </xdr:nvPicPr>
      <xdr:blipFill>
        <a:blip r:embed="Rbde498bbd98d40e7"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485</xdr:row>
      <xdr:rowOff>38100</xdr:rowOff>
    </xdr:from>
    <xdr:to>
      <xdr:col>2</xdr:col>
      <xdr:colOff>1181100</xdr:colOff>
      <xdr:row>485</xdr:row>
      <xdr:rowOff>1181100</xdr:rowOff>
    </xdr:to>
    <xdr:pic>
      <xdr:nvPicPr>
        <xdr:cNvPr id="1372" name="Picture 348" descr=""/>
        <xdr:cNvPicPr>
          <a:picLocks noChangeAspect="1" noChangeArrowheads="1"/>
        </xdr:cNvPicPr>
      </xdr:nvPicPr>
      <xdr:blipFill>
        <a:blip r:embed="Ra817104a49f84c0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486</xdr:row>
      <xdr:rowOff>38100</xdr:rowOff>
    </xdr:from>
    <xdr:to>
      <xdr:col>2</xdr:col>
      <xdr:colOff>1181100</xdr:colOff>
      <xdr:row>486</xdr:row>
      <xdr:rowOff>1181100</xdr:rowOff>
    </xdr:to>
    <xdr:pic>
      <xdr:nvPicPr>
        <xdr:cNvPr id="1373" name="Picture 349" descr=""/>
        <xdr:cNvPicPr>
          <a:picLocks noChangeAspect="1" noChangeArrowheads="1"/>
        </xdr:cNvPicPr>
      </xdr:nvPicPr>
      <xdr:blipFill>
        <a:blip r:embed="R1fbc23eb1dfd40ea"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487</xdr:row>
      <xdr:rowOff>38100</xdr:rowOff>
    </xdr:from>
    <xdr:to>
      <xdr:col>2</xdr:col>
      <xdr:colOff>1181100</xdr:colOff>
      <xdr:row>487</xdr:row>
      <xdr:rowOff>1181100</xdr:rowOff>
    </xdr:to>
    <xdr:pic>
      <xdr:nvPicPr>
        <xdr:cNvPr id="1374" name="Picture 350" descr=""/>
        <xdr:cNvPicPr>
          <a:picLocks noChangeAspect="1" noChangeArrowheads="1"/>
        </xdr:cNvPicPr>
      </xdr:nvPicPr>
      <xdr:blipFill>
        <a:blip r:embed="R4d488d41adc14a5e"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488</xdr:row>
      <xdr:rowOff>38100</xdr:rowOff>
    </xdr:from>
    <xdr:to>
      <xdr:col>2</xdr:col>
      <xdr:colOff>769620</xdr:colOff>
      <xdr:row>488</xdr:row>
      <xdr:rowOff>769620</xdr:rowOff>
    </xdr:to>
    <xdr:pic>
      <xdr:nvPicPr>
        <xdr:cNvPr id="1375" name="Picture 351" descr=""/>
        <xdr:cNvPicPr>
          <a:picLocks noChangeAspect="1" noChangeArrowheads="1"/>
        </xdr:cNvPicPr>
      </xdr:nvPicPr>
      <xdr:blipFill>
        <a:blip r:embed="R4eff0375ae954816"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489</xdr:row>
      <xdr:rowOff>38100</xdr:rowOff>
    </xdr:from>
    <xdr:to>
      <xdr:col>2</xdr:col>
      <xdr:colOff>1181100</xdr:colOff>
      <xdr:row>489</xdr:row>
      <xdr:rowOff>1181100</xdr:rowOff>
    </xdr:to>
    <xdr:pic>
      <xdr:nvPicPr>
        <xdr:cNvPr id="1376" name="Picture 352" descr=""/>
        <xdr:cNvPicPr>
          <a:picLocks noChangeAspect="1" noChangeArrowheads="1"/>
        </xdr:cNvPicPr>
      </xdr:nvPicPr>
      <xdr:blipFill>
        <a:blip r:embed="R8486dc0f644c405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492</xdr:row>
      <xdr:rowOff>38100</xdr:rowOff>
    </xdr:from>
    <xdr:to>
      <xdr:col>2</xdr:col>
      <xdr:colOff>403860</xdr:colOff>
      <xdr:row>492</xdr:row>
      <xdr:rowOff>138684</xdr:rowOff>
    </xdr:to>
    <xdr:pic>
      <xdr:nvPicPr>
        <xdr:cNvPr id="1377" name="Picture 353" descr=""/>
        <xdr:cNvPicPr>
          <a:picLocks noChangeAspect="1" noChangeArrowheads="1"/>
        </xdr:cNvPicPr>
      </xdr:nvPicPr>
      <xdr:blipFill>
        <a:blip r:embed="Rfe4f00de30e64142" cstate="print"/>
        <a:srcRect/>
        <a:stretch>
          <a:fillRect/>
        </a:stretch>
      </xdr:blipFill>
      <xdr:spPr bwMode="auto">
        <a:xfrm>
          <a:off x="0" y="0"/>
          <a:ext cx="365760" cy="100584"/>
        </a:xfrm>
        <a:prstGeom prst="rect">
          <a:avLst/>
        </a:prstGeom>
        <a:noFill/>
      </xdr:spPr>
    </xdr:pic>
    <xdr:clientData/>
  </xdr:twoCellAnchor>
  <xdr:twoCellAnchor editAs="oneCell">
    <xdr:from>
      <xdr:col>2</xdr:col>
      <xdr:colOff>38100</xdr:colOff>
      <xdr:row>493</xdr:row>
      <xdr:rowOff>38100</xdr:rowOff>
    </xdr:from>
    <xdr:to>
      <xdr:col>2</xdr:col>
      <xdr:colOff>822960</xdr:colOff>
      <xdr:row>493</xdr:row>
      <xdr:rowOff>952500</xdr:rowOff>
    </xdr:to>
    <xdr:pic>
      <xdr:nvPicPr>
        <xdr:cNvPr id="1378" name="Picture 354" descr=""/>
        <xdr:cNvPicPr>
          <a:picLocks noChangeAspect="1" noChangeArrowheads="1"/>
        </xdr:cNvPicPr>
      </xdr:nvPicPr>
      <xdr:blipFill>
        <a:blip r:embed="R9b4727438ff34a00" cstate="print"/>
        <a:srcRect/>
        <a:stretch>
          <a:fillRect/>
        </a:stretch>
      </xdr:blipFill>
      <xdr:spPr bwMode="auto">
        <a:xfrm>
          <a:off x="0" y="0"/>
          <a:ext cx="784860" cy="914400"/>
        </a:xfrm>
        <a:prstGeom prst="rect">
          <a:avLst/>
        </a:prstGeom>
        <a:noFill/>
      </xdr:spPr>
    </xdr:pic>
    <xdr:clientData/>
  </xdr:twoCellAnchor>
  <xdr:twoCellAnchor editAs="oneCell">
    <xdr:from>
      <xdr:col>2</xdr:col>
      <xdr:colOff>38100</xdr:colOff>
      <xdr:row>494</xdr:row>
      <xdr:rowOff>38100</xdr:rowOff>
    </xdr:from>
    <xdr:to>
      <xdr:col>2</xdr:col>
      <xdr:colOff>1181100</xdr:colOff>
      <xdr:row>494</xdr:row>
      <xdr:rowOff>600075</xdr:rowOff>
    </xdr:to>
    <xdr:pic>
      <xdr:nvPicPr>
        <xdr:cNvPr id="1379" name="Picture 355" descr=""/>
        <xdr:cNvPicPr>
          <a:picLocks noChangeAspect="1" noChangeArrowheads="1"/>
        </xdr:cNvPicPr>
      </xdr:nvPicPr>
      <xdr:blipFill>
        <a:blip r:embed="Re47ec68a43fa41f8" cstate="print"/>
        <a:srcRect/>
        <a:stretch>
          <a:fillRect/>
        </a:stretch>
      </xdr:blipFill>
      <xdr:spPr bwMode="auto">
        <a:xfrm>
          <a:off x="0" y="0"/>
          <a:ext cx="1143000" cy="561975"/>
        </a:xfrm>
        <a:prstGeom prst="rect">
          <a:avLst/>
        </a:prstGeom>
        <a:noFill/>
      </xdr:spPr>
    </xdr:pic>
    <xdr:clientData/>
  </xdr:twoCellAnchor>
  <xdr:twoCellAnchor editAs="oneCell">
    <xdr:from>
      <xdr:col>2</xdr:col>
      <xdr:colOff>38100</xdr:colOff>
      <xdr:row>495</xdr:row>
      <xdr:rowOff>38100</xdr:rowOff>
    </xdr:from>
    <xdr:to>
      <xdr:col>2</xdr:col>
      <xdr:colOff>781050</xdr:colOff>
      <xdr:row>495</xdr:row>
      <xdr:rowOff>800100</xdr:rowOff>
    </xdr:to>
    <xdr:pic>
      <xdr:nvPicPr>
        <xdr:cNvPr id="1380" name="Picture 356" descr=""/>
        <xdr:cNvPicPr>
          <a:picLocks noChangeAspect="1" noChangeArrowheads="1"/>
        </xdr:cNvPicPr>
      </xdr:nvPicPr>
      <xdr:blipFill>
        <a:blip r:embed="Rce483784e41b4245" cstate="print"/>
        <a:srcRect/>
        <a:stretch>
          <a:fillRect/>
        </a:stretch>
      </xdr:blipFill>
      <xdr:spPr bwMode="auto">
        <a:xfrm>
          <a:off x="0" y="0"/>
          <a:ext cx="742950" cy="762000"/>
        </a:xfrm>
        <a:prstGeom prst="rect">
          <a:avLst/>
        </a:prstGeom>
        <a:noFill/>
      </xdr:spPr>
    </xdr:pic>
    <xdr:clientData/>
  </xdr:twoCellAnchor>
  <xdr:twoCellAnchor editAs="oneCell">
    <xdr:from>
      <xdr:col>2</xdr:col>
      <xdr:colOff>38100</xdr:colOff>
      <xdr:row>496</xdr:row>
      <xdr:rowOff>38100</xdr:rowOff>
    </xdr:from>
    <xdr:to>
      <xdr:col>2</xdr:col>
      <xdr:colOff>403860</xdr:colOff>
      <xdr:row>496</xdr:row>
      <xdr:rowOff>330708</xdr:rowOff>
    </xdr:to>
    <xdr:pic>
      <xdr:nvPicPr>
        <xdr:cNvPr id="1381" name="Picture 357" descr=""/>
        <xdr:cNvPicPr>
          <a:picLocks noChangeAspect="1" noChangeArrowheads="1"/>
        </xdr:cNvPicPr>
      </xdr:nvPicPr>
      <xdr:blipFill>
        <a:blip r:embed="R193bf5bec869435e" cstate="print"/>
        <a:srcRect/>
        <a:stretch>
          <a:fillRect/>
        </a:stretch>
      </xdr:blipFill>
      <xdr:spPr bwMode="auto">
        <a:xfrm>
          <a:off x="0" y="0"/>
          <a:ext cx="365760" cy="292608"/>
        </a:xfrm>
        <a:prstGeom prst="rect">
          <a:avLst/>
        </a:prstGeom>
        <a:noFill/>
      </xdr:spPr>
    </xdr:pic>
    <xdr:clientData/>
  </xdr:twoCellAnchor>
  <xdr:twoCellAnchor editAs="oneCell">
    <xdr:from>
      <xdr:col>2</xdr:col>
      <xdr:colOff>38100</xdr:colOff>
      <xdr:row>498</xdr:row>
      <xdr:rowOff>38100</xdr:rowOff>
    </xdr:from>
    <xdr:to>
      <xdr:col>2</xdr:col>
      <xdr:colOff>403860</xdr:colOff>
      <xdr:row>498</xdr:row>
      <xdr:rowOff>403860</xdr:rowOff>
    </xdr:to>
    <xdr:pic>
      <xdr:nvPicPr>
        <xdr:cNvPr id="1382" name="Picture 358" descr=""/>
        <xdr:cNvPicPr>
          <a:picLocks noChangeAspect="1" noChangeArrowheads="1"/>
        </xdr:cNvPicPr>
      </xdr:nvPicPr>
      <xdr:blipFill>
        <a:blip r:embed="R2571034ad7c84dac"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499</xdr:row>
      <xdr:rowOff>38100</xdr:rowOff>
    </xdr:from>
    <xdr:to>
      <xdr:col>2</xdr:col>
      <xdr:colOff>1181100</xdr:colOff>
      <xdr:row>499</xdr:row>
      <xdr:rowOff>1181100</xdr:rowOff>
    </xdr:to>
    <xdr:pic>
      <xdr:nvPicPr>
        <xdr:cNvPr id="1383" name="Picture 359" descr=""/>
        <xdr:cNvPicPr>
          <a:picLocks noChangeAspect="1" noChangeArrowheads="1"/>
        </xdr:cNvPicPr>
      </xdr:nvPicPr>
      <xdr:blipFill>
        <a:blip r:embed="R6c9822d3c28744e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501</xdr:row>
      <xdr:rowOff>38100</xdr:rowOff>
    </xdr:from>
    <xdr:to>
      <xdr:col>2</xdr:col>
      <xdr:colOff>1181100</xdr:colOff>
      <xdr:row>501</xdr:row>
      <xdr:rowOff>1181100</xdr:rowOff>
    </xdr:to>
    <xdr:pic>
      <xdr:nvPicPr>
        <xdr:cNvPr id="1384" name="Picture 360" descr=""/>
        <xdr:cNvPicPr>
          <a:picLocks noChangeAspect="1" noChangeArrowheads="1"/>
        </xdr:cNvPicPr>
      </xdr:nvPicPr>
      <xdr:blipFill>
        <a:blip r:embed="Rcb4bd6c0746147a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502</xdr:row>
      <xdr:rowOff>38100</xdr:rowOff>
    </xdr:from>
    <xdr:to>
      <xdr:col>2</xdr:col>
      <xdr:colOff>1123950</xdr:colOff>
      <xdr:row>502</xdr:row>
      <xdr:rowOff>1181100</xdr:rowOff>
    </xdr:to>
    <xdr:pic>
      <xdr:nvPicPr>
        <xdr:cNvPr id="1385" name="Picture 361" descr=""/>
        <xdr:cNvPicPr>
          <a:picLocks noChangeAspect="1" noChangeArrowheads="1"/>
        </xdr:cNvPicPr>
      </xdr:nvPicPr>
      <xdr:blipFill>
        <a:blip r:embed="R7da9bfc0429143d4" cstate="print"/>
        <a:srcRect/>
        <a:stretch>
          <a:fillRect/>
        </a:stretch>
      </xdr:blipFill>
      <xdr:spPr bwMode="auto">
        <a:xfrm>
          <a:off x="0" y="0"/>
          <a:ext cx="1085850" cy="1143000"/>
        </a:xfrm>
        <a:prstGeom prst="rect">
          <a:avLst/>
        </a:prstGeom>
        <a:noFill/>
      </xdr:spPr>
    </xdr:pic>
    <xdr:clientData/>
  </xdr:twoCellAnchor>
  <xdr:twoCellAnchor editAs="oneCell">
    <xdr:from>
      <xdr:col>2</xdr:col>
      <xdr:colOff>38100</xdr:colOff>
      <xdr:row>503</xdr:row>
      <xdr:rowOff>38100</xdr:rowOff>
    </xdr:from>
    <xdr:to>
      <xdr:col>2</xdr:col>
      <xdr:colOff>769620</xdr:colOff>
      <xdr:row>503</xdr:row>
      <xdr:rowOff>373380</xdr:rowOff>
    </xdr:to>
    <xdr:pic>
      <xdr:nvPicPr>
        <xdr:cNvPr id="1386" name="Picture 362" descr=""/>
        <xdr:cNvPicPr>
          <a:picLocks noChangeAspect="1" noChangeArrowheads="1"/>
        </xdr:cNvPicPr>
      </xdr:nvPicPr>
      <xdr:blipFill>
        <a:blip r:embed="Rcda1c8483dcd4353" cstate="print"/>
        <a:srcRect/>
        <a:stretch>
          <a:fillRect/>
        </a:stretch>
      </xdr:blipFill>
      <xdr:spPr bwMode="auto">
        <a:xfrm>
          <a:off x="0" y="0"/>
          <a:ext cx="731520" cy="335280"/>
        </a:xfrm>
        <a:prstGeom prst="rect">
          <a:avLst/>
        </a:prstGeom>
        <a:noFill/>
      </xdr:spPr>
    </xdr:pic>
    <xdr:clientData/>
  </xdr:twoCellAnchor>
  <xdr:twoCellAnchor editAs="oneCell">
    <xdr:from>
      <xdr:col>2</xdr:col>
      <xdr:colOff>38100</xdr:colOff>
      <xdr:row>505</xdr:row>
      <xdr:rowOff>38100</xdr:rowOff>
    </xdr:from>
    <xdr:to>
      <xdr:col>2</xdr:col>
      <xdr:colOff>546060</xdr:colOff>
      <xdr:row>505</xdr:row>
      <xdr:rowOff>537594</xdr:rowOff>
    </xdr:to>
    <xdr:pic>
      <xdr:nvPicPr>
        <xdr:cNvPr id="1387" name="Picture 363" descr=""/>
        <xdr:cNvPicPr>
          <a:picLocks noChangeAspect="1" noChangeArrowheads="1"/>
        </xdr:cNvPicPr>
      </xdr:nvPicPr>
      <xdr:blipFill>
        <a:blip r:embed="Ra1b811df47a641d6" cstate="print"/>
        <a:srcRect/>
        <a:stretch>
          <a:fillRect/>
        </a:stretch>
      </xdr:blipFill>
      <xdr:spPr bwMode="auto">
        <a:xfrm>
          <a:off x="0" y="0"/>
          <a:ext cx="507960" cy="499494"/>
        </a:xfrm>
        <a:prstGeom prst="rect">
          <a:avLst/>
        </a:prstGeom>
        <a:noFill/>
      </xdr:spPr>
    </xdr:pic>
    <xdr:clientData/>
  </xdr:twoCellAnchor>
  <xdr:twoCellAnchor editAs="oneCell">
    <xdr:from>
      <xdr:col>2</xdr:col>
      <xdr:colOff>38100</xdr:colOff>
      <xdr:row>508</xdr:row>
      <xdr:rowOff>38100</xdr:rowOff>
    </xdr:from>
    <xdr:to>
      <xdr:col>2</xdr:col>
      <xdr:colOff>1181100</xdr:colOff>
      <xdr:row>508</xdr:row>
      <xdr:rowOff>619125</xdr:rowOff>
    </xdr:to>
    <xdr:pic>
      <xdr:nvPicPr>
        <xdr:cNvPr id="1388" name="Picture 364" descr=""/>
        <xdr:cNvPicPr>
          <a:picLocks noChangeAspect="1" noChangeArrowheads="1"/>
        </xdr:cNvPicPr>
      </xdr:nvPicPr>
      <xdr:blipFill>
        <a:blip r:embed="R5c3797daa52f404e" cstate="print"/>
        <a:srcRect/>
        <a:stretch>
          <a:fillRect/>
        </a:stretch>
      </xdr:blipFill>
      <xdr:spPr bwMode="auto">
        <a:xfrm>
          <a:off x="0" y="0"/>
          <a:ext cx="1143000" cy="581025"/>
        </a:xfrm>
        <a:prstGeom prst="rect">
          <a:avLst/>
        </a:prstGeom>
        <a:noFill/>
      </xdr:spPr>
    </xdr:pic>
    <xdr:clientData/>
  </xdr:twoCellAnchor>
  <xdr:twoCellAnchor editAs="oneCell">
    <xdr:from>
      <xdr:col>2</xdr:col>
      <xdr:colOff>38100</xdr:colOff>
      <xdr:row>510</xdr:row>
      <xdr:rowOff>38100</xdr:rowOff>
    </xdr:from>
    <xdr:to>
      <xdr:col>2</xdr:col>
      <xdr:colOff>1181100</xdr:colOff>
      <xdr:row>510</xdr:row>
      <xdr:rowOff>1181100</xdr:rowOff>
    </xdr:to>
    <xdr:pic>
      <xdr:nvPicPr>
        <xdr:cNvPr id="1389" name="Picture 365" descr=""/>
        <xdr:cNvPicPr>
          <a:picLocks noChangeAspect="1" noChangeArrowheads="1"/>
        </xdr:cNvPicPr>
      </xdr:nvPicPr>
      <xdr:blipFill>
        <a:blip r:embed="R4f711e2ef37145d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511</xdr:row>
      <xdr:rowOff>38100</xdr:rowOff>
    </xdr:from>
    <xdr:to>
      <xdr:col>2</xdr:col>
      <xdr:colOff>403860</xdr:colOff>
      <xdr:row>511</xdr:row>
      <xdr:rowOff>391668</xdr:rowOff>
    </xdr:to>
    <xdr:pic>
      <xdr:nvPicPr>
        <xdr:cNvPr id="1390" name="Picture 366" descr=""/>
        <xdr:cNvPicPr>
          <a:picLocks noChangeAspect="1" noChangeArrowheads="1"/>
        </xdr:cNvPicPr>
      </xdr:nvPicPr>
      <xdr:blipFill>
        <a:blip r:embed="Rb83593e0dec2427c" cstate="print"/>
        <a:srcRect/>
        <a:stretch>
          <a:fillRect/>
        </a:stretch>
      </xdr:blipFill>
      <xdr:spPr bwMode="auto">
        <a:xfrm>
          <a:off x="0" y="0"/>
          <a:ext cx="365760" cy="353568"/>
        </a:xfrm>
        <a:prstGeom prst="rect">
          <a:avLst/>
        </a:prstGeom>
        <a:noFill/>
      </xdr:spPr>
    </xdr:pic>
    <xdr:clientData/>
  </xdr:twoCellAnchor>
  <xdr:twoCellAnchor editAs="oneCell">
    <xdr:from>
      <xdr:col>2</xdr:col>
      <xdr:colOff>38100</xdr:colOff>
      <xdr:row>513</xdr:row>
      <xdr:rowOff>38100</xdr:rowOff>
    </xdr:from>
    <xdr:to>
      <xdr:col>2</xdr:col>
      <xdr:colOff>1181100</xdr:colOff>
      <xdr:row>513</xdr:row>
      <xdr:rowOff>609600</xdr:rowOff>
    </xdr:to>
    <xdr:pic>
      <xdr:nvPicPr>
        <xdr:cNvPr id="1391" name="Picture 367" descr=""/>
        <xdr:cNvPicPr>
          <a:picLocks noChangeAspect="1" noChangeArrowheads="1"/>
        </xdr:cNvPicPr>
      </xdr:nvPicPr>
      <xdr:blipFill>
        <a:blip r:embed="R535c7750a8164bd3"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514</xdr:row>
      <xdr:rowOff>38100</xdr:rowOff>
    </xdr:from>
    <xdr:to>
      <xdr:col>2</xdr:col>
      <xdr:colOff>924018</xdr:colOff>
      <xdr:row>514</xdr:row>
      <xdr:rowOff>1181220</xdr:rowOff>
    </xdr:to>
    <xdr:pic>
      <xdr:nvPicPr>
        <xdr:cNvPr id="1392" name="Picture 368" descr=""/>
        <xdr:cNvPicPr>
          <a:picLocks noChangeAspect="1" noChangeArrowheads="1"/>
        </xdr:cNvPicPr>
      </xdr:nvPicPr>
      <xdr:blipFill>
        <a:blip r:embed="Rb955ee9b8ae14a44" cstate="print"/>
        <a:srcRect/>
        <a:stretch>
          <a:fillRect/>
        </a:stretch>
      </xdr:blipFill>
      <xdr:spPr bwMode="auto">
        <a:xfrm>
          <a:off x="0" y="0"/>
          <a:ext cx="885918" cy="1143120"/>
        </a:xfrm>
        <a:prstGeom prst="rect">
          <a:avLst/>
        </a:prstGeom>
        <a:noFill/>
      </xdr:spPr>
    </xdr:pic>
    <xdr:clientData/>
  </xdr:twoCellAnchor>
  <xdr:twoCellAnchor editAs="oneCell">
    <xdr:from>
      <xdr:col>2</xdr:col>
      <xdr:colOff>38100</xdr:colOff>
      <xdr:row>515</xdr:row>
      <xdr:rowOff>38100</xdr:rowOff>
    </xdr:from>
    <xdr:to>
      <xdr:col>2</xdr:col>
      <xdr:colOff>1181100</xdr:colOff>
      <xdr:row>515</xdr:row>
      <xdr:rowOff>1143000</xdr:rowOff>
    </xdr:to>
    <xdr:pic>
      <xdr:nvPicPr>
        <xdr:cNvPr id="1393" name="Picture 369" descr=""/>
        <xdr:cNvPicPr>
          <a:picLocks noChangeAspect="1" noChangeArrowheads="1"/>
        </xdr:cNvPicPr>
      </xdr:nvPicPr>
      <xdr:blipFill>
        <a:blip r:embed="R0a4449469e294181" cstate="print"/>
        <a:srcRect/>
        <a:stretch>
          <a:fillRect/>
        </a:stretch>
      </xdr:blipFill>
      <xdr:spPr bwMode="auto">
        <a:xfrm>
          <a:off x="0" y="0"/>
          <a:ext cx="1143000" cy="1104900"/>
        </a:xfrm>
        <a:prstGeom prst="rect">
          <a:avLst/>
        </a:prstGeom>
        <a:noFill/>
      </xdr:spPr>
    </xdr:pic>
    <xdr:clientData/>
  </xdr:twoCellAnchor>
  <xdr:twoCellAnchor editAs="oneCell">
    <xdr:from>
      <xdr:col>2</xdr:col>
      <xdr:colOff>38100</xdr:colOff>
      <xdr:row>518</xdr:row>
      <xdr:rowOff>38100</xdr:rowOff>
    </xdr:from>
    <xdr:to>
      <xdr:col>2</xdr:col>
      <xdr:colOff>1181100</xdr:colOff>
      <xdr:row>518</xdr:row>
      <xdr:rowOff>1181100</xdr:rowOff>
    </xdr:to>
    <xdr:pic>
      <xdr:nvPicPr>
        <xdr:cNvPr id="1394" name="Picture 370" descr=""/>
        <xdr:cNvPicPr>
          <a:picLocks noChangeAspect="1" noChangeArrowheads="1"/>
        </xdr:cNvPicPr>
      </xdr:nvPicPr>
      <xdr:blipFill>
        <a:blip r:embed="Rc42bf30de7dc4f0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519</xdr:row>
      <xdr:rowOff>38100</xdr:rowOff>
    </xdr:from>
    <xdr:to>
      <xdr:col>2</xdr:col>
      <xdr:colOff>1152525</xdr:colOff>
      <xdr:row>519</xdr:row>
      <xdr:rowOff>1181100</xdr:rowOff>
    </xdr:to>
    <xdr:pic>
      <xdr:nvPicPr>
        <xdr:cNvPr id="1395" name="Picture 371" descr=""/>
        <xdr:cNvPicPr>
          <a:picLocks noChangeAspect="1" noChangeArrowheads="1"/>
        </xdr:cNvPicPr>
      </xdr:nvPicPr>
      <xdr:blipFill>
        <a:blip r:embed="R4f16543c1c39486b" cstate="print"/>
        <a:srcRect/>
        <a:stretch>
          <a:fillRect/>
        </a:stretch>
      </xdr:blipFill>
      <xdr:spPr bwMode="auto">
        <a:xfrm>
          <a:off x="0" y="0"/>
          <a:ext cx="1114425" cy="1143000"/>
        </a:xfrm>
        <a:prstGeom prst="rect">
          <a:avLst/>
        </a:prstGeom>
        <a:noFill/>
      </xdr:spPr>
    </xdr:pic>
    <xdr:clientData/>
  </xdr:twoCellAnchor>
  <xdr:twoCellAnchor editAs="oneCell">
    <xdr:from>
      <xdr:col>2</xdr:col>
      <xdr:colOff>38100</xdr:colOff>
      <xdr:row>520</xdr:row>
      <xdr:rowOff>38100</xdr:rowOff>
    </xdr:from>
    <xdr:to>
      <xdr:col>2</xdr:col>
      <xdr:colOff>1562100</xdr:colOff>
      <xdr:row>520</xdr:row>
      <xdr:rowOff>1562100</xdr:rowOff>
    </xdr:to>
    <xdr:pic>
      <xdr:nvPicPr>
        <xdr:cNvPr id="1396" name="Picture 372" descr=""/>
        <xdr:cNvPicPr>
          <a:picLocks noChangeAspect="1" noChangeArrowheads="1"/>
        </xdr:cNvPicPr>
      </xdr:nvPicPr>
      <xdr:blipFill>
        <a:blip r:embed="R08efb3b7fa6546cd"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521</xdr:row>
      <xdr:rowOff>38100</xdr:rowOff>
    </xdr:from>
    <xdr:to>
      <xdr:col>2</xdr:col>
      <xdr:colOff>1181100</xdr:colOff>
      <xdr:row>521</xdr:row>
      <xdr:rowOff>476250</xdr:rowOff>
    </xdr:to>
    <xdr:pic>
      <xdr:nvPicPr>
        <xdr:cNvPr id="1397" name="Picture 373" descr=""/>
        <xdr:cNvPicPr>
          <a:picLocks noChangeAspect="1" noChangeArrowheads="1"/>
        </xdr:cNvPicPr>
      </xdr:nvPicPr>
      <xdr:blipFill>
        <a:blip r:embed="R26d0e66921bd4178" cstate="print"/>
        <a:srcRect/>
        <a:stretch>
          <a:fillRect/>
        </a:stretch>
      </xdr:blipFill>
      <xdr:spPr bwMode="auto">
        <a:xfrm>
          <a:off x="0" y="0"/>
          <a:ext cx="1143000" cy="438150"/>
        </a:xfrm>
        <a:prstGeom prst="rect">
          <a:avLst/>
        </a:prstGeom>
        <a:noFill/>
      </xdr:spPr>
    </xdr:pic>
    <xdr:clientData/>
  </xdr:twoCellAnchor>
  <xdr:twoCellAnchor editAs="oneCell">
    <xdr:from>
      <xdr:col>2</xdr:col>
      <xdr:colOff>38100</xdr:colOff>
      <xdr:row>524</xdr:row>
      <xdr:rowOff>38100</xdr:rowOff>
    </xdr:from>
    <xdr:to>
      <xdr:col>2</xdr:col>
      <xdr:colOff>1181100</xdr:colOff>
      <xdr:row>524</xdr:row>
      <xdr:rowOff>1181100</xdr:rowOff>
    </xdr:to>
    <xdr:pic>
      <xdr:nvPicPr>
        <xdr:cNvPr id="1398" name="Picture 374" descr=""/>
        <xdr:cNvPicPr>
          <a:picLocks noChangeAspect="1" noChangeArrowheads="1"/>
        </xdr:cNvPicPr>
      </xdr:nvPicPr>
      <xdr:blipFill>
        <a:blip r:embed="R91326e8a59db468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526</xdr:row>
      <xdr:rowOff>38100</xdr:rowOff>
    </xdr:from>
    <xdr:to>
      <xdr:col>2</xdr:col>
      <xdr:colOff>800100</xdr:colOff>
      <xdr:row>526</xdr:row>
      <xdr:rowOff>800100</xdr:rowOff>
    </xdr:to>
    <xdr:pic>
      <xdr:nvPicPr>
        <xdr:cNvPr id="1399" name="Picture 375" descr=""/>
        <xdr:cNvPicPr>
          <a:picLocks noChangeAspect="1" noChangeArrowheads="1"/>
        </xdr:cNvPicPr>
      </xdr:nvPicPr>
      <xdr:blipFill>
        <a:blip r:embed="Raa37f1f7e6a1486e" cstate="print"/>
        <a:srcRect/>
        <a:stretch>
          <a:fillRect/>
        </a:stretch>
      </xdr:blipFill>
      <xdr:spPr bwMode="auto">
        <a:xfrm>
          <a:off x="0" y="0"/>
          <a:ext cx="762000" cy="762000"/>
        </a:xfrm>
        <a:prstGeom prst="rect">
          <a:avLst/>
        </a:prstGeom>
        <a:noFill/>
      </xdr:spPr>
    </xdr:pic>
    <xdr:clientData/>
  </xdr:twoCellAnchor>
  <xdr:twoCellAnchor editAs="oneCell">
    <xdr:from>
      <xdr:col>2</xdr:col>
      <xdr:colOff>38100</xdr:colOff>
      <xdr:row>528</xdr:row>
      <xdr:rowOff>38100</xdr:rowOff>
    </xdr:from>
    <xdr:to>
      <xdr:col>2</xdr:col>
      <xdr:colOff>361188</xdr:colOff>
      <xdr:row>528</xdr:row>
      <xdr:rowOff>403860</xdr:rowOff>
    </xdr:to>
    <xdr:pic>
      <xdr:nvPicPr>
        <xdr:cNvPr id="1400" name="Picture 376" descr=""/>
        <xdr:cNvPicPr>
          <a:picLocks noChangeAspect="1" noChangeArrowheads="1"/>
        </xdr:cNvPicPr>
      </xdr:nvPicPr>
      <xdr:blipFill>
        <a:blip r:embed="R841ad0719b464ba9" cstate="print"/>
        <a:srcRect/>
        <a:stretch>
          <a:fillRect/>
        </a:stretch>
      </xdr:blipFill>
      <xdr:spPr bwMode="auto">
        <a:xfrm>
          <a:off x="0" y="0"/>
          <a:ext cx="323088" cy="365760"/>
        </a:xfrm>
        <a:prstGeom prst="rect">
          <a:avLst/>
        </a:prstGeom>
        <a:noFill/>
      </xdr:spPr>
    </xdr:pic>
    <xdr:clientData/>
  </xdr:twoCellAnchor>
  <xdr:twoCellAnchor editAs="oneCell">
    <xdr:from>
      <xdr:col>2</xdr:col>
      <xdr:colOff>38100</xdr:colOff>
      <xdr:row>529</xdr:row>
      <xdr:rowOff>38100</xdr:rowOff>
    </xdr:from>
    <xdr:to>
      <xdr:col>2</xdr:col>
      <xdr:colOff>1562100</xdr:colOff>
      <xdr:row>529</xdr:row>
      <xdr:rowOff>1562100</xdr:rowOff>
    </xdr:to>
    <xdr:pic>
      <xdr:nvPicPr>
        <xdr:cNvPr id="1401" name="Picture 377" descr=""/>
        <xdr:cNvPicPr>
          <a:picLocks noChangeAspect="1" noChangeArrowheads="1"/>
        </xdr:cNvPicPr>
      </xdr:nvPicPr>
      <xdr:blipFill>
        <a:blip r:embed="R249c6373d0494095"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530</xdr:row>
      <xdr:rowOff>38100</xdr:rowOff>
    </xdr:from>
    <xdr:to>
      <xdr:col>2</xdr:col>
      <xdr:colOff>1562100</xdr:colOff>
      <xdr:row>530</xdr:row>
      <xdr:rowOff>1562100</xdr:rowOff>
    </xdr:to>
    <xdr:pic>
      <xdr:nvPicPr>
        <xdr:cNvPr id="1402" name="Picture 378" descr=""/>
        <xdr:cNvPicPr>
          <a:picLocks noChangeAspect="1" noChangeArrowheads="1"/>
        </xdr:cNvPicPr>
      </xdr:nvPicPr>
      <xdr:blipFill>
        <a:blip r:embed="R3f9d08c6cd0740fa"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531</xdr:row>
      <xdr:rowOff>38100</xdr:rowOff>
    </xdr:from>
    <xdr:to>
      <xdr:col>2</xdr:col>
      <xdr:colOff>800100</xdr:colOff>
      <xdr:row>531</xdr:row>
      <xdr:rowOff>800100</xdr:rowOff>
    </xdr:to>
    <xdr:pic>
      <xdr:nvPicPr>
        <xdr:cNvPr id="1403" name="Picture 379" descr=""/>
        <xdr:cNvPicPr>
          <a:picLocks noChangeAspect="1" noChangeArrowheads="1"/>
        </xdr:cNvPicPr>
      </xdr:nvPicPr>
      <xdr:blipFill>
        <a:blip r:embed="R1cb2454b2a1e4861" cstate="print"/>
        <a:srcRect/>
        <a:stretch>
          <a:fillRect/>
        </a:stretch>
      </xdr:blipFill>
      <xdr:spPr bwMode="auto">
        <a:xfrm>
          <a:off x="0" y="0"/>
          <a:ext cx="762000" cy="762000"/>
        </a:xfrm>
        <a:prstGeom prst="rect">
          <a:avLst/>
        </a:prstGeom>
        <a:noFill/>
      </xdr:spPr>
    </xdr:pic>
    <xdr:clientData/>
  </xdr:twoCellAnchor>
  <xdr:twoCellAnchor editAs="oneCell">
    <xdr:from>
      <xdr:col>2</xdr:col>
      <xdr:colOff>38100</xdr:colOff>
      <xdr:row>532</xdr:row>
      <xdr:rowOff>38100</xdr:rowOff>
    </xdr:from>
    <xdr:to>
      <xdr:col>2</xdr:col>
      <xdr:colOff>1181100</xdr:colOff>
      <xdr:row>532</xdr:row>
      <xdr:rowOff>1181100</xdr:rowOff>
    </xdr:to>
    <xdr:pic>
      <xdr:nvPicPr>
        <xdr:cNvPr id="1404" name="Picture 380" descr=""/>
        <xdr:cNvPicPr>
          <a:picLocks noChangeAspect="1" noChangeArrowheads="1"/>
        </xdr:cNvPicPr>
      </xdr:nvPicPr>
      <xdr:blipFill>
        <a:blip r:embed="Rfe3661b24966413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533</xdr:row>
      <xdr:rowOff>38100</xdr:rowOff>
    </xdr:from>
    <xdr:to>
      <xdr:col>2</xdr:col>
      <xdr:colOff>1181100</xdr:colOff>
      <xdr:row>533</xdr:row>
      <xdr:rowOff>1152525</xdr:rowOff>
    </xdr:to>
    <xdr:pic>
      <xdr:nvPicPr>
        <xdr:cNvPr id="1405" name="Picture 381" descr=""/>
        <xdr:cNvPicPr>
          <a:picLocks noChangeAspect="1" noChangeArrowheads="1"/>
        </xdr:cNvPicPr>
      </xdr:nvPicPr>
      <xdr:blipFill>
        <a:blip r:embed="R4db7df6b5c7d4d4b" cstate="print"/>
        <a:srcRect/>
        <a:stretch>
          <a:fillRect/>
        </a:stretch>
      </xdr:blipFill>
      <xdr:spPr bwMode="auto">
        <a:xfrm>
          <a:off x="0" y="0"/>
          <a:ext cx="1143000" cy="1114425"/>
        </a:xfrm>
        <a:prstGeom prst="rect">
          <a:avLst/>
        </a:prstGeom>
        <a:noFill/>
      </xdr:spPr>
    </xdr:pic>
    <xdr:clientData/>
  </xdr:twoCellAnchor>
  <xdr:twoCellAnchor editAs="oneCell">
    <xdr:from>
      <xdr:col>2</xdr:col>
      <xdr:colOff>38100</xdr:colOff>
      <xdr:row>534</xdr:row>
      <xdr:rowOff>38100</xdr:rowOff>
    </xdr:from>
    <xdr:to>
      <xdr:col>2</xdr:col>
      <xdr:colOff>1181100</xdr:colOff>
      <xdr:row>534</xdr:row>
      <xdr:rowOff>1181100</xdr:rowOff>
    </xdr:to>
    <xdr:pic>
      <xdr:nvPicPr>
        <xdr:cNvPr id="1406" name="Picture 382" descr=""/>
        <xdr:cNvPicPr>
          <a:picLocks noChangeAspect="1" noChangeArrowheads="1"/>
        </xdr:cNvPicPr>
      </xdr:nvPicPr>
      <xdr:blipFill>
        <a:blip r:embed="Rf453dc5a5a33465b"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535</xdr:row>
      <xdr:rowOff>38100</xdr:rowOff>
    </xdr:from>
    <xdr:to>
      <xdr:col>2</xdr:col>
      <xdr:colOff>596900</xdr:colOff>
      <xdr:row>535</xdr:row>
      <xdr:rowOff>1562100</xdr:rowOff>
    </xdr:to>
    <xdr:pic>
      <xdr:nvPicPr>
        <xdr:cNvPr id="1407" name="Picture 383" descr=""/>
        <xdr:cNvPicPr>
          <a:picLocks noChangeAspect="1" noChangeArrowheads="1"/>
        </xdr:cNvPicPr>
      </xdr:nvPicPr>
      <xdr:blipFill>
        <a:blip r:embed="Rfccd87aa88f14357" cstate="print"/>
        <a:srcRect/>
        <a:stretch>
          <a:fillRect/>
        </a:stretch>
      </xdr:blipFill>
      <xdr:spPr bwMode="auto">
        <a:xfrm>
          <a:off x="0" y="0"/>
          <a:ext cx="558800" cy="1524000"/>
        </a:xfrm>
        <a:prstGeom prst="rect">
          <a:avLst/>
        </a:prstGeom>
        <a:noFill/>
      </xdr:spPr>
    </xdr:pic>
    <xdr:clientData/>
  </xdr:twoCellAnchor>
  <xdr:twoCellAnchor editAs="oneCell">
    <xdr:from>
      <xdr:col>2</xdr:col>
      <xdr:colOff>38100</xdr:colOff>
      <xdr:row>536</xdr:row>
      <xdr:rowOff>38100</xdr:rowOff>
    </xdr:from>
    <xdr:to>
      <xdr:col>2</xdr:col>
      <xdr:colOff>1181220</xdr:colOff>
      <xdr:row>536</xdr:row>
      <xdr:rowOff>695394</xdr:rowOff>
    </xdr:to>
    <xdr:pic>
      <xdr:nvPicPr>
        <xdr:cNvPr id="1408" name="Picture 384" descr=""/>
        <xdr:cNvPicPr>
          <a:picLocks noChangeAspect="1" noChangeArrowheads="1"/>
        </xdr:cNvPicPr>
      </xdr:nvPicPr>
      <xdr:blipFill>
        <a:blip r:embed="R3086603ef2dd40eb" cstate="print"/>
        <a:srcRect/>
        <a:stretch>
          <a:fillRect/>
        </a:stretch>
      </xdr:blipFill>
      <xdr:spPr bwMode="auto">
        <a:xfrm>
          <a:off x="0" y="0"/>
          <a:ext cx="1143120" cy="657294"/>
        </a:xfrm>
        <a:prstGeom prst="rect">
          <a:avLst/>
        </a:prstGeom>
        <a:noFill/>
      </xdr:spPr>
    </xdr:pic>
    <xdr:clientData/>
  </xdr:twoCellAnchor>
  <xdr:twoCellAnchor editAs="oneCell">
    <xdr:from>
      <xdr:col>2</xdr:col>
      <xdr:colOff>38100</xdr:colOff>
      <xdr:row>537</xdr:row>
      <xdr:rowOff>38100</xdr:rowOff>
    </xdr:from>
    <xdr:to>
      <xdr:col>2</xdr:col>
      <xdr:colOff>1562100</xdr:colOff>
      <xdr:row>537</xdr:row>
      <xdr:rowOff>1498600</xdr:rowOff>
    </xdr:to>
    <xdr:pic>
      <xdr:nvPicPr>
        <xdr:cNvPr id="1409" name="Picture 385" descr=""/>
        <xdr:cNvPicPr>
          <a:picLocks noChangeAspect="1" noChangeArrowheads="1"/>
        </xdr:cNvPicPr>
      </xdr:nvPicPr>
      <xdr:blipFill>
        <a:blip r:embed="R5f33184d03d84f49" cstate="print"/>
        <a:srcRect/>
        <a:stretch>
          <a:fillRect/>
        </a:stretch>
      </xdr:blipFill>
      <xdr:spPr bwMode="auto">
        <a:xfrm>
          <a:off x="0" y="0"/>
          <a:ext cx="1524000" cy="1460500"/>
        </a:xfrm>
        <a:prstGeom prst="rect">
          <a:avLst/>
        </a:prstGeom>
        <a:noFill/>
      </xdr:spPr>
    </xdr:pic>
    <xdr:clientData/>
  </xdr:twoCellAnchor>
  <xdr:twoCellAnchor editAs="oneCell">
    <xdr:from>
      <xdr:col>2</xdr:col>
      <xdr:colOff>38100</xdr:colOff>
      <xdr:row>539</xdr:row>
      <xdr:rowOff>38100</xdr:rowOff>
    </xdr:from>
    <xdr:to>
      <xdr:col>2</xdr:col>
      <xdr:colOff>952500</xdr:colOff>
      <xdr:row>539</xdr:row>
      <xdr:rowOff>556260</xdr:rowOff>
    </xdr:to>
    <xdr:pic>
      <xdr:nvPicPr>
        <xdr:cNvPr id="1410" name="Picture 386" descr=""/>
        <xdr:cNvPicPr>
          <a:picLocks noChangeAspect="1" noChangeArrowheads="1"/>
        </xdr:cNvPicPr>
      </xdr:nvPicPr>
      <xdr:blipFill>
        <a:blip r:embed="Rf0ffc3ac772a4ab6" cstate="print"/>
        <a:srcRect/>
        <a:stretch>
          <a:fillRect/>
        </a:stretch>
      </xdr:blipFill>
      <xdr:spPr bwMode="auto">
        <a:xfrm>
          <a:off x="0" y="0"/>
          <a:ext cx="914400" cy="518160"/>
        </a:xfrm>
        <a:prstGeom prst="rect">
          <a:avLst/>
        </a:prstGeom>
        <a:noFill/>
      </xdr:spPr>
    </xdr:pic>
    <xdr:clientData/>
  </xdr:twoCellAnchor>
  <xdr:twoCellAnchor editAs="oneCell">
    <xdr:from>
      <xdr:col>2</xdr:col>
      <xdr:colOff>38100</xdr:colOff>
      <xdr:row>541</xdr:row>
      <xdr:rowOff>38100</xdr:rowOff>
    </xdr:from>
    <xdr:to>
      <xdr:col>2</xdr:col>
      <xdr:colOff>1181100</xdr:colOff>
      <xdr:row>541</xdr:row>
      <xdr:rowOff>1181100</xdr:rowOff>
    </xdr:to>
    <xdr:pic>
      <xdr:nvPicPr>
        <xdr:cNvPr id="1411" name="Picture 387" descr=""/>
        <xdr:cNvPicPr>
          <a:picLocks noChangeAspect="1" noChangeArrowheads="1"/>
        </xdr:cNvPicPr>
      </xdr:nvPicPr>
      <xdr:blipFill>
        <a:blip r:embed="Rd1f20ce7db9e407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542</xdr:row>
      <xdr:rowOff>38100</xdr:rowOff>
    </xdr:from>
    <xdr:to>
      <xdr:col>2</xdr:col>
      <xdr:colOff>1181100</xdr:colOff>
      <xdr:row>542</xdr:row>
      <xdr:rowOff>723900</xdr:rowOff>
    </xdr:to>
    <xdr:pic>
      <xdr:nvPicPr>
        <xdr:cNvPr id="1412" name="Picture 388" descr=""/>
        <xdr:cNvPicPr>
          <a:picLocks noChangeAspect="1" noChangeArrowheads="1"/>
        </xdr:cNvPicPr>
      </xdr:nvPicPr>
      <xdr:blipFill>
        <a:blip r:embed="Rc7cf91c24f8e4867" cstate="print"/>
        <a:srcRect/>
        <a:stretch>
          <a:fillRect/>
        </a:stretch>
      </xdr:blipFill>
      <xdr:spPr bwMode="auto">
        <a:xfrm>
          <a:off x="0" y="0"/>
          <a:ext cx="1143000" cy="685800"/>
        </a:xfrm>
        <a:prstGeom prst="rect">
          <a:avLst/>
        </a:prstGeom>
        <a:noFill/>
      </xdr:spPr>
    </xdr:pic>
    <xdr:clientData/>
  </xdr:twoCellAnchor>
  <xdr:twoCellAnchor editAs="oneCell">
    <xdr:from>
      <xdr:col>2</xdr:col>
      <xdr:colOff>38100</xdr:colOff>
      <xdr:row>543</xdr:row>
      <xdr:rowOff>38100</xdr:rowOff>
    </xdr:from>
    <xdr:to>
      <xdr:col>2</xdr:col>
      <xdr:colOff>403860</xdr:colOff>
      <xdr:row>543</xdr:row>
      <xdr:rowOff>403860</xdr:rowOff>
    </xdr:to>
    <xdr:pic>
      <xdr:nvPicPr>
        <xdr:cNvPr id="1413" name="Picture 389" descr=""/>
        <xdr:cNvPicPr>
          <a:picLocks noChangeAspect="1" noChangeArrowheads="1"/>
        </xdr:cNvPicPr>
      </xdr:nvPicPr>
      <xdr:blipFill>
        <a:blip r:embed="R957ba20a29ea47e8"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544</xdr:row>
      <xdr:rowOff>38100</xdr:rowOff>
    </xdr:from>
    <xdr:to>
      <xdr:col>2</xdr:col>
      <xdr:colOff>1181100</xdr:colOff>
      <xdr:row>544</xdr:row>
      <xdr:rowOff>638175</xdr:rowOff>
    </xdr:to>
    <xdr:pic>
      <xdr:nvPicPr>
        <xdr:cNvPr id="1414" name="Picture 390" descr=""/>
        <xdr:cNvPicPr>
          <a:picLocks noChangeAspect="1" noChangeArrowheads="1"/>
        </xdr:cNvPicPr>
      </xdr:nvPicPr>
      <xdr:blipFill>
        <a:blip r:embed="Rd30d4ff1f51748cd" cstate="print"/>
        <a:srcRect/>
        <a:stretch>
          <a:fillRect/>
        </a:stretch>
      </xdr:blipFill>
      <xdr:spPr bwMode="auto">
        <a:xfrm>
          <a:off x="0" y="0"/>
          <a:ext cx="1143000" cy="600075"/>
        </a:xfrm>
        <a:prstGeom prst="rect">
          <a:avLst/>
        </a:prstGeom>
        <a:noFill/>
      </xdr:spPr>
    </xdr:pic>
    <xdr:clientData/>
  </xdr:twoCellAnchor>
  <xdr:twoCellAnchor editAs="oneCell">
    <xdr:from>
      <xdr:col>2</xdr:col>
      <xdr:colOff>38100</xdr:colOff>
      <xdr:row>548</xdr:row>
      <xdr:rowOff>38100</xdr:rowOff>
    </xdr:from>
    <xdr:to>
      <xdr:col>2</xdr:col>
      <xdr:colOff>1181100</xdr:colOff>
      <xdr:row>548</xdr:row>
      <xdr:rowOff>628650</xdr:rowOff>
    </xdr:to>
    <xdr:pic>
      <xdr:nvPicPr>
        <xdr:cNvPr id="1415" name="Picture 391" descr=""/>
        <xdr:cNvPicPr>
          <a:picLocks noChangeAspect="1" noChangeArrowheads="1"/>
        </xdr:cNvPicPr>
      </xdr:nvPicPr>
      <xdr:blipFill>
        <a:blip r:embed="Rd19efd09525d48e0" cstate="print"/>
        <a:srcRect/>
        <a:stretch>
          <a:fillRect/>
        </a:stretch>
      </xdr:blipFill>
      <xdr:spPr bwMode="auto">
        <a:xfrm>
          <a:off x="0" y="0"/>
          <a:ext cx="1143000" cy="590550"/>
        </a:xfrm>
        <a:prstGeom prst="rect">
          <a:avLst/>
        </a:prstGeom>
        <a:noFill/>
      </xdr:spPr>
    </xdr:pic>
    <xdr:clientData/>
  </xdr:twoCellAnchor>
  <xdr:twoCellAnchor editAs="oneCell">
    <xdr:from>
      <xdr:col>2</xdr:col>
      <xdr:colOff>38100</xdr:colOff>
      <xdr:row>550</xdr:row>
      <xdr:rowOff>38100</xdr:rowOff>
    </xdr:from>
    <xdr:to>
      <xdr:col>2</xdr:col>
      <xdr:colOff>1171575</xdr:colOff>
      <xdr:row>550</xdr:row>
      <xdr:rowOff>1181100</xdr:rowOff>
    </xdr:to>
    <xdr:pic>
      <xdr:nvPicPr>
        <xdr:cNvPr id="1416" name="Picture 392" descr=""/>
        <xdr:cNvPicPr>
          <a:picLocks noChangeAspect="1" noChangeArrowheads="1"/>
        </xdr:cNvPicPr>
      </xdr:nvPicPr>
      <xdr:blipFill>
        <a:blip r:embed="R0eed192dfcf64e25" cstate="print"/>
        <a:srcRect/>
        <a:stretch>
          <a:fillRect/>
        </a:stretch>
      </xdr:blipFill>
      <xdr:spPr bwMode="auto">
        <a:xfrm>
          <a:off x="0" y="0"/>
          <a:ext cx="1133475" cy="1143000"/>
        </a:xfrm>
        <a:prstGeom prst="rect">
          <a:avLst/>
        </a:prstGeom>
        <a:noFill/>
      </xdr:spPr>
    </xdr:pic>
    <xdr:clientData/>
  </xdr:twoCellAnchor>
  <xdr:twoCellAnchor editAs="oneCell">
    <xdr:from>
      <xdr:col>2</xdr:col>
      <xdr:colOff>38100</xdr:colOff>
      <xdr:row>551</xdr:row>
      <xdr:rowOff>38100</xdr:rowOff>
    </xdr:from>
    <xdr:to>
      <xdr:col>2</xdr:col>
      <xdr:colOff>1181100</xdr:colOff>
      <xdr:row>551</xdr:row>
      <xdr:rowOff>695325</xdr:rowOff>
    </xdr:to>
    <xdr:pic>
      <xdr:nvPicPr>
        <xdr:cNvPr id="1417" name="Picture 393" descr=""/>
        <xdr:cNvPicPr>
          <a:picLocks noChangeAspect="1" noChangeArrowheads="1"/>
        </xdr:cNvPicPr>
      </xdr:nvPicPr>
      <xdr:blipFill>
        <a:blip r:embed="Rf255e035efec4c7e" cstate="print"/>
        <a:srcRect/>
        <a:stretch>
          <a:fillRect/>
        </a:stretch>
      </xdr:blipFill>
      <xdr:spPr bwMode="auto">
        <a:xfrm>
          <a:off x="0" y="0"/>
          <a:ext cx="1143000" cy="657225"/>
        </a:xfrm>
        <a:prstGeom prst="rect">
          <a:avLst/>
        </a:prstGeom>
        <a:noFill/>
      </xdr:spPr>
    </xdr:pic>
    <xdr:clientData/>
  </xdr:twoCellAnchor>
  <xdr:twoCellAnchor editAs="oneCell">
    <xdr:from>
      <xdr:col>2</xdr:col>
      <xdr:colOff>38100</xdr:colOff>
      <xdr:row>552</xdr:row>
      <xdr:rowOff>38100</xdr:rowOff>
    </xdr:from>
    <xdr:to>
      <xdr:col>2</xdr:col>
      <xdr:colOff>403860</xdr:colOff>
      <xdr:row>552</xdr:row>
      <xdr:rowOff>163068</xdr:rowOff>
    </xdr:to>
    <xdr:pic>
      <xdr:nvPicPr>
        <xdr:cNvPr id="1418" name="Picture 394" descr=""/>
        <xdr:cNvPicPr>
          <a:picLocks noChangeAspect="1" noChangeArrowheads="1"/>
        </xdr:cNvPicPr>
      </xdr:nvPicPr>
      <xdr:blipFill>
        <a:blip r:embed="R3d6f53d83fe64958" cstate="print"/>
        <a:srcRect/>
        <a:stretch>
          <a:fillRect/>
        </a:stretch>
      </xdr:blipFill>
      <xdr:spPr bwMode="auto">
        <a:xfrm>
          <a:off x="0" y="0"/>
          <a:ext cx="365760" cy="124968"/>
        </a:xfrm>
        <a:prstGeom prst="rect">
          <a:avLst/>
        </a:prstGeom>
        <a:noFill/>
      </xdr:spPr>
    </xdr:pic>
    <xdr:clientData/>
  </xdr:twoCellAnchor>
  <xdr:twoCellAnchor editAs="oneCell">
    <xdr:from>
      <xdr:col>2</xdr:col>
      <xdr:colOff>38100</xdr:colOff>
      <xdr:row>553</xdr:row>
      <xdr:rowOff>38100</xdr:rowOff>
    </xdr:from>
    <xdr:to>
      <xdr:col>2</xdr:col>
      <xdr:colOff>1205700</xdr:colOff>
      <xdr:row>553</xdr:row>
      <xdr:rowOff>1205700</xdr:rowOff>
    </xdr:to>
    <xdr:pic>
      <xdr:nvPicPr>
        <xdr:cNvPr id="1419" name="Picture 395" descr=""/>
        <xdr:cNvPicPr>
          <a:picLocks noChangeAspect="1" noChangeArrowheads="1"/>
        </xdr:cNvPicPr>
      </xdr:nvPicPr>
      <xdr:blipFill>
        <a:blip r:embed="R41eda0a93d114398" cstate="print"/>
        <a:srcRect/>
        <a:stretch>
          <a:fillRect/>
        </a:stretch>
      </xdr:blipFill>
      <xdr:spPr bwMode="auto">
        <a:xfrm>
          <a:off x="0" y="0"/>
          <a:ext cx="1167600" cy="1167600"/>
        </a:xfrm>
        <a:prstGeom prst="rect">
          <a:avLst/>
        </a:prstGeom>
        <a:noFill/>
      </xdr:spPr>
    </xdr:pic>
    <xdr:clientData/>
  </xdr:twoCellAnchor>
  <xdr:twoCellAnchor editAs="oneCell">
    <xdr:from>
      <xdr:col>2</xdr:col>
      <xdr:colOff>38100</xdr:colOff>
      <xdr:row>554</xdr:row>
      <xdr:rowOff>38100</xdr:rowOff>
    </xdr:from>
    <xdr:to>
      <xdr:col>2</xdr:col>
      <xdr:colOff>1104900</xdr:colOff>
      <xdr:row>554</xdr:row>
      <xdr:rowOff>1181100</xdr:rowOff>
    </xdr:to>
    <xdr:pic>
      <xdr:nvPicPr>
        <xdr:cNvPr id="1420" name="Picture 396" descr=""/>
        <xdr:cNvPicPr>
          <a:picLocks noChangeAspect="1" noChangeArrowheads="1"/>
        </xdr:cNvPicPr>
      </xdr:nvPicPr>
      <xdr:blipFill>
        <a:blip r:embed="Rf82ec058d1304fcc" cstate="print"/>
        <a:srcRect/>
        <a:stretch>
          <a:fillRect/>
        </a:stretch>
      </xdr:blipFill>
      <xdr:spPr bwMode="auto">
        <a:xfrm>
          <a:off x="0" y="0"/>
          <a:ext cx="1066800" cy="1143000"/>
        </a:xfrm>
        <a:prstGeom prst="rect">
          <a:avLst/>
        </a:prstGeom>
        <a:noFill/>
      </xdr:spPr>
    </xdr:pic>
    <xdr:clientData/>
  </xdr:twoCellAnchor>
  <xdr:twoCellAnchor editAs="oneCell">
    <xdr:from>
      <xdr:col>2</xdr:col>
      <xdr:colOff>38100</xdr:colOff>
      <xdr:row>555</xdr:row>
      <xdr:rowOff>38100</xdr:rowOff>
    </xdr:from>
    <xdr:to>
      <xdr:col>2</xdr:col>
      <xdr:colOff>1181100</xdr:colOff>
      <xdr:row>555</xdr:row>
      <xdr:rowOff>866775</xdr:rowOff>
    </xdr:to>
    <xdr:pic>
      <xdr:nvPicPr>
        <xdr:cNvPr id="1421" name="Picture 397" descr=""/>
        <xdr:cNvPicPr>
          <a:picLocks noChangeAspect="1" noChangeArrowheads="1"/>
        </xdr:cNvPicPr>
      </xdr:nvPicPr>
      <xdr:blipFill>
        <a:blip r:embed="R661ab6bce3714fa2" cstate="print"/>
        <a:srcRect/>
        <a:stretch>
          <a:fillRect/>
        </a:stretch>
      </xdr:blipFill>
      <xdr:spPr bwMode="auto">
        <a:xfrm>
          <a:off x="0" y="0"/>
          <a:ext cx="1143000" cy="828675"/>
        </a:xfrm>
        <a:prstGeom prst="rect">
          <a:avLst/>
        </a:prstGeom>
        <a:noFill/>
      </xdr:spPr>
    </xdr:pic>
    <xdr:clientData/>
  </xdr:twoCellAnchor>
  <xdr:twoCellAnchor editAs="oneCell">
    <xdr:from>
      <xdr:col>2</xdr:col>
      <xdr:colOff>38100</xdr:colOff>
      <xdr:row>557</xdr:row>
      <xdr:rowOff>38100</xdr:rowOff>
    </xdr:from>
    <xdr:to>
      <xdr:col>2</xdr:col>
      <xdr:colOff>1181100</xdr:colOff>
      <xdr:row>557</xdr:row>
      <xdr:rowOff>600075</xdr:rowOff>
    </xdr:to>
    <xdr:pic>
      <xdr:nvPicPr>
        <xdr:cNvPr id="1422" name="Picture 398" descr=""/>
        <xdr:cNvPicPr>
          <a:picLocks noChangeAspect="1" noChangeArrowheads="1"/>
        </xdr:cNvPicPr>
      </xdr:nvPicPr>
      <xdr:blipFill>
        <a:blip r:embed="R257216dda87e486b" cstate="print"/>
        <a:srcRect/>
        <a:stretch>
          <a:fillRect/>
        </a:stretch>
      </xdr:blipFill>
      <xdr:spPr bwMode="auto">
        <a:xfrm>
          <a:off x="0" y="0"/>
          <a:ext cx="1143000" cy="561975"/>
        </a:xfrm>
        <a:prstGeom prst="rect">
          <a:avLst/>
        </a:prstGeom>
        <a:noFill/>
      </xdr:spPr>
    </xdr:pic>
    <xdr:clientData/>
  </xdr:twoCellAnchor>
  <xdr:twoCellAnchor editAs="oneCell">
    <xdr:from>
      <xdr:col>2</xdr:col>
      <xdr:colOff>38100</xdr:colOff>
      <xdr:row>558</xdr:row>
      <xdr:rowOff>38100</xdr:rowOff>
    </xdr:from>
    <xdr:to>
      <xdr:col>2</xdr:col>
      <xdr:colOff>1181100</xdr:colOff>
      <xdr:row>558</xdr:row>
      <xdr:rowOff>752475</xdr:rowOff>
    </xdr:to>
    <xdr:pic>
      <xdr:nvPicPr>
        <xdr:cNvPr id="1423" name="Picture 399" descr=""/>
        <xdr:cNvPicPr>
          <a:picLocks noChangeAspect="1" noChangeArrowheads="1"/>
        </xdr:cNvPicPr>
      </xdr:nvPicPr>
      <xdr:blipFill>
        <a:blip r:embed="R1a38f126b8944902" cstate="print"/>
        <a:srcRect/>
        <a:stretch>
          <a:fillRect/>
        </a:stretch>
      </xdr:blipFill>
      <xdr:spPr bwMode="auto">
        <a:xfrm>
          <a:off x="0" y="0"/>
          <a:ext cx="1143000" cy="714375"/>
        </a:xfrm>
        <a:prstGeom prst="rect">
          <a:avLst/>
        </a:prstGeom>
        <a:noFill/>
      </xdr:spPr>
    </xdr:pic>
    <xdr:clientData/>
  </xdr:twoCellAnchor>
  <xdr:twoCellAnchor editAs="oneCell">
    <xdr:from>
      <xdr:col>2</xdr:col>
      <xdr:colOff>38100</xdr:colOff>
      <xdr:row>559</xdr:row>
      <xdr:rowOff>38100</xdr:rowOff>
    </xdr:from>
    <xdr:to>
      <xdr:col>2</xdr:col>
      <xdr:colOff>1181100</xdr:colOff>
      <xdr:row>559</xdr:row>
      <xdr:rowOff>647700</xdr:rowOff>
    </xdr:to>
    <xdr:pic>
      <xdr:nvPicPr>
        <xdr:cNvPr id="1424" name="Picture 400" descr=""/>
        <xdr:cNvPicPr>
          <a:picLocks noChangeAspect="1" noChangeArrowheads="1"/>
        </xdr:cNvPicPr>
      </xdr:nvPicPr>
      <xdr:blipFill>
        <a:blip r:embed="R3c8f8119a0144a7e" cstate="print"/>
        <a:srcRect/>
        <a:stretch>
          <a:fillRect/>
        </a:stretch>
      </xdr:blipFill>
      <xdr:spPr bwMode="auto">
        <a:xfrm>
          <a:off x="0" y="0"/>
          <a:ext cx="1143000" cy="609600"/>
        </a:xfrm>
        <a:prstGeom prst="rect">
          <a:avLst/>
        </a:prstGeom>
        <a:noFill/>
      </xdr:spPr>
    </xdr:pic>
    <xdr:clientData/>
  </xdr:twoCellAnchor>
  <xdr:twoCellAnchor editAs="oneCell">
    <xdr:from>
      <xdr:col>2</xdr:col>
      <xdr:colOff>38100</xdr:colOff>
      <xdr:row>560</xdr:row>
      <xdr:rowOff>38100</xdr:rowOff>
    </xdr:from>
    <xdr:to>
      <xdr:col>2</xdr:col>
      <xdr:colOff>1181100</xdr:colOff>
      <xdr:row>560</xdr:row>
      <xdr:rowOff>666750</xdr:rowOff>
    </xdr:to>
    <xdr:pic>
      <xdr:nvPicPr>
        <xdr:cNvPr id="1425" name="Picture 401" descr=""/>
        <xdr:cNvPicPr>
          <a:picLocks noChangeAspect="1" noChangeArrowheads="1"/>
        </xdr:cNvPicPr>
      </xdr:nvPicPr>
      <xdr:blipFill>
        <a:blip r:embed="R39ca2c4c9b81431d" cstate="print"/>
        <a:srcRect/>
        <a:stretch>
          <a:fillRect/>
        </a:stretch>
      </xdr:blipFill>
      <xdr:spPr bwMode="auto">
        <a:xfrm>
          <a:off x="0" y="0"/>
          <a:ext cx="1143000" cy="628650"/>
        </a:xfrm>
        <a:prstGeom prst="rect">
          <a:avLst/>
        </a:prstGeom>
        <a:noFill/>
      </xdr:spPr>
    </xdr:pic>
    <xdr:clientData/>
  </xdr:twoCellAnchor>
  <xdr:twoCellAnchor editAs="oneCell">
    <xdr:from>
      <xdr:col>2</xdr:col>
      <xdr:colOff>38100</xdr:colOff>
      <xdr:row>561</xdr:row>
      <xdr:rowOff>38100</xdr:rowOff>
    </xdr:from>
    <xdr:to>
      <xdr:col>2</xdr:col>
      <xdr:colOff>1181100</xdr:colOff>
      <xdr:row>561</xdr:row>
      <xdr:rowOff>685800</xdr:rowOff>
    </xdr:to>
    <xdr:pic>
      <xdr:nvPicPr>
        <xdr:cNvPr id="1426" name="Picture 402" descr=""/>
        <xdr:cNvPicPr>
          <a:picLocks noChangeAspect="1" noChangeArrowheads="1"/>
        </xdr:cNvPicPr>
      </xdr:nvPicPr>
      <xdr:blipFill>
        <a:blip r:embed="R19c53927915848f4" cstate="print"/>
        <a:srcRect/>
        <a:stretch>
          <a:fillRect/>
        </a:stretch>
      </xdr:blipFill>
      <xdr:spPr bwMode="auto">
        <a:xfrm>
          <a:off x="0" y="0"/>
          <a:ext cx="1143000" cy="647700"/>
        </a:xfrm>
        <a:prstGeom prst="rect">
          <a:avLst/>
        </a:prstGeom>
        <a:noFill/>
      </xdr:spPr>
    </xdr:pic>
    <xdr:clientData/>
  </xdr:twoCellAnchor>
  <xdr:twoCellAnchor editAs="oneCell">
    <xdr:from>
      <xdr:col>2</xdr:col>
      <xdr:colOff>38100</xdr:colOff>
      <xdr:row>562</xdr:row>
      <xdr:rowOff>38100</xdr:rowOff>
    </xdr:from>
    <xdr:to>
      <xdr:col>2</xdr:col>
      <xdr:colOff>1181100</xdr:colOff>
      <xdr:row>562</xdr:row>
      <xdr:rowOff>1181100</xdr:rowOff>
    </xdr:to>
    <xdr:pic>
      <xdr:nvPicPr>
        <xdr:cNvPr id="1427" name="Picture 403" descr=""/>
        <xdr:cNvPicPr>
          <a:picLocks noChangeAspect="1" noChangeArrowheads="1"/>
        </xdr:cNvPicPr>
      </xdr:nvPicPr>
      <xdr:blipFill>
        <a:blip r:embed="Ra43e680cc70a4f7c"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563</xdr:row>
      <xdr:rowOff>38100</xdr:rowOff>
    </xdr:from>
    <xdr:to>
      <xdr:col>2</xdr:col>
      <xdr:colOff>1181100</xdr:colOff>
      <xdr:row>563</xdr:row>
      <xdr:rowOff>714375</xdr:rowOff>
    </xdr:to>
    <xdr:pic>
      <xdr:nvPicPr>
        <xdr:cNvPr id="1428" name="Picture 404" descr=""/>
        <xdr:cNvPicPr>
          <a:picLocks noChangeAspect="1" noChangeArrowheads="1"/>
        </xdr:cNvPicPr>
      </xdr:nvPicPr>
      <xdr:blipFill>
        <a:blip r:embed="R59dd1e60d1154d5a" cstate="print"/>
        <a:srcRect/>
        <a:stretch>
          <a:fillRect/>
        </a:stretch>
      </xdr:blipFill>
      <xdr:spPr bwMode="auto">
        <a:xfrm>
          <a:off x="0" y="0"/>
          <a:ext cx="1143000" cy="676275"/>
        </a:xfrm>
        <a:prstGeom prst="rect">
          <a:avLst/>
        </a:prstGeom>
        <a:noFill/>
      </xdr:spPr>
    </xdr:pic>
    <xdr:clientData/>
  </xdr:twoCellAnchor>
  <xdr:twoCellAnchor editAs="oneCell">
    <xdr:from>
      <xdr:col>2</xdr:col>
      <xdr:colOff>38100</xdr:colOff>
      <xdr:row>564</xdr:row>
      <xdr:rowOff>38100</xdr:rowOff>
    </xdr:from>
    <xdr:to>
      <xdr:col>2</xdr:col>
      <xdr:colOff>1181100</xdr:colOff>
      <xdr:row>564</xdr:row>
      <xdr:rowOff>419100</xdr:rowOff>
    </xdr:to>
    <xdr:pic>
      <xdr:nvPicPr>
        <xdr:cNvPr id="1429" name="Picture 405" descr=""/>
        <xdr:cNvPicPr>
          <a:picLocks noChangeAspect="1" noChangeArrowheads="1"/>
        </xdr:cNvPicPr>
      </xdr:nvPicPr>
      <xdr:blipFill>
        <a:blip r:embed="R78d8a409c7b04e02" cstate="print"/>
        <a:srcRect/>
        <a:stretch>
          <a:fillRect/>
        </a:stretch>
      </xdr:blipFill>
      <xdr:spPr bwMode="auto">
        <a:xfrm>
          <a:off x="0" y="0"/>
          <a:ext cx="1143000" cy="381000"/>
        </a:xfrm>
        <a:prstGeom prst="rect">
          <a:avLst/>
        </a:prstGeom>
        <a:noFill/>
      </xdr:spPr>
    </xdr:pic>
    <xdr:clientData/>
  </xdr:twoCellAnchor>
  <xdr:twoCellAnchor editAs="oneCell">
    <xdr:from>
      <xdr:col>2</xdr:col>
      <xdr:colOff>38100</xdr:colOff>
      <xdr:row>565</xdr:row>
      <xdr:rowOff>38100</xdr:rowOff>
    </xdr:from>
    <xdr:to>
      <xdr:col>2</xdr:col>
      <xdr:colOff>952500</xdr:colOff>
      <xdr:row>565</xdr:row>
      <xdr:rowOff>830580</xdr:rowOff>
    </xdr:to>
    <xdr:pic>
      <xdr:nvPicPr>
        <xdr:cNvPr id="1430" name="Picture 406" descr=""/>
        <xdr:cNvPicPr>
          <a:picLocks noChangeAspect="1" noChangeArrowheads="1"/>
        </xdr:cNvPicPr>
      </xdr:nvPicPr>
      <xdr:blipFill>
        <a:blip r:embed="Rf61e83c9c1ae481d" cstate="print"/>
        <a:srcRect/>
        <a:stretch>
          <a:fillRect/>
        </a:stretch>
      </xdr:blipFill>
      <xdr:spPr bwMode="auto">
        <a:xfrm>
          <a:off x="0" y="0"/>
          <a:ext cx="914400" cy="792480"/>
        </a:xfrm>
        <a:prstGeom prst="rect">
          <a:avLst/>
        </a:prstGeom>
        <a:noFill/>
      </xdr:spPr>
    </xdr:pic>
    <xdr:clientData/>
  </xdr:twoCellAnchor>
  <xdr:twoCellAnchor editAs="oneCell">
    <xdr:from>
      <xdr:col>2</xdr:col>
      <xdr:colOff>38100</xdr:colOff>
      <xdr:row>568</xdr:row>
      <xdr:rowOff>38100</xdr:rowOff>
    </xdr:from>
    <xdr:to>
      <xdr:col>2</xdr:col>
      <xdr:colOff>1181100</xdr:colOff>
      <xdr:row>568</xdr:row>
      <xdr:rowOff>1181100</xdr:rowOff>
    </xdr:to>
    <xdr:pic>
      <xdr:nvPicPr>
        <xdr:cNvPr id="1431" name="Picture 407" descr=""/>
        <xdr:cNvPicPr>
          <a:picLocks noChangeAspect="1" noChangeArrowheads="1"/>
        </xdr:cNvPicPr>
      </xdr:nvPicPr>
      <xdr:blipFill>
        <a:blip r:embed="R2fe386edb3d1463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571</xdr:row>
      <xdr:rowOff>38100</xdr:rowOff>
    </xdr:from>
    <xdr:to>
      <xdr:col>2</xdr:col>
      <xdr:colOff>1562100</xdr:colOff>
      <xdr:row>571</xdr:row>
      <xdr:rowOff>901700</xdr:rowOff>
    </xdr:to>
    <xdr:pic>
      <xdr:nvPicPr>
        <xdr:cNvPr id="1432" name="Picture 408" descr=""/>
        <xdr:cNvPicPr>
          <a:picLocks noChangeAspect="1" noChangeArrowheads="1"/>
        </xdr:cNvPicPr>
      </xdr:nvPicPr>
      <xdr:blipFill>
        <a:blip r:embed="Rbfa44ee9a4a64e22" cstate="print"/>
        <a:srcRect/>
        <a:stretch>
          <a:fillRect/>
        </a:stretch>
      </xdr:blipFill>
      <xdr:spPr bwMode="auto">
        <a:xfrm>
          <a:off x="0" y="0"/>
          <a:ext cx="1524000" cy="863600"/>
        </a:xfrm>
        <a:prstGeom prst="rect">
          <a:avLst/>
        </a:prstGeom>
        <a:noFill/>
      </xdr:spPr>
    </xdr:pic>
    <xdr:clientData/>
  </xdr:twoCellAnchor>
  <xdr:twoCellAnchor editAs="oneCell">
    <xdr:from>
      <xdr:col>2</xdr:col>
      <xdr:colOff>38100</xdr:colOff>
      <xdr:row>572</xdr:row>
      <xdr:rowOff>38100</xdr:rowOff>
    </xdr:from>
    <xdr:to>
      <xdr:col>2</xdr:col>
      <xdr:colOff>1562100</xdr:colOff>
      <xdr:row>572</xdr:row>
      <xdr:rowOff>520700</xdr:rowOff>
    </xdr:to>
    <xdr:pic>
      <xdr:nvPicPr>
        <xdr:cNvPr id="1433" name="Picture 409" descr=""/>
        <xdr:cNvPicPr>
          <a:picLocks noChangeAspect="1" noChangeArrowheads="1"/>
        </xdr:cNvPicPr>
      </xdr:nvPicPr>
      <xdr:blipFill>
        <a:blip r:embed="Red1cecfa07704276" cstate="print"/>
        <a:srcRect/>
        <a:stretch>
          <a:fillRect/>
        </a:stretch>
      </xdr:blipFill>
      <xdr:spPr bwMode="auto">
        <a:xfrm>
          <a:off x="0" y="0"/>
          <a:ext cx="1524000" cy="482600"/>
        </a:xfrm>
        <a:prstGeom prst="rect">
          <a:avLst/>
        </a:prstGeom>
        <a:noFill/>
      </xdr:spPr>
    </xdr:pic>
    <xdr:clientData/>
  </xdr:twoCellAnchor>
  <xdr:twoCellAnchor editAs="oneCell">
    <xdr:from>
      <xdr:col>2</xdr:col>
      <xdr:colOff>38100</xdr:colOff>
      <xdr:row>573</xdr:row>
      <xdr:rowOff>38100</xdr:rowOff>
    </xdr:from>
    <xdr:to>
      <xdr:col>2</xdr:col>
      <xdr:colOff>1562100</xdr:colOff>
      <xdr:row>573</xdr:row>
      <xdr:rowOff>1562100</xdr:rowOff>
    </xdr:to>
    <xdr:pic>
      <xdr:nvPicPr>
        <xdr:cNvPr id="1434" name="Picture 410" descr=""/>
        <xdr:cNvPicPr>
          <a:picLocks noChangeAspect="1" noChangeArrowheads="1"/>
        </xdr:cNvPicPr>
      </xdr:nvPicPr>
      <xdr:blipFill>
        <a:blip r:embed="R235955c6e4314abc"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574</xdr:row>
      <xdr:rowOff>38100</xdr:rowOff>
    </xdr:from>
    <xdr:to>
      <xdr:col>2</xdr:col>
      <xdr:colOff>1562100</xdr:colOff>
      <xdr:row>574</xdr:row>
      <xdr:rowOff>1562100</xdr:rowOff>
    </xdr:to>
    <xdr:pic>
      <xdr:nvPicPr>
        <xdr:cNvPr id="1435" name="Picture 411" descr=""/>
        <xdr:cNvPicPr>
          <a:picLocks noChangeAspect="1" noChangeArrowheads="1"/>
        </xdr:cNvPicPr>
      </xdr:nvPicPr>
      <xdr:blipFill>
        <a:blip r:embed="Radd503832b294a32"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575</xdr:row>
      <xdr:rowOff>38100</xdr:rowOff>
    </xdr:from>
    <xdr:to>
      <xdr:col>2</xdr:col>
      <xdr:colOff>1205700</xdr:colOff>
      <xdr:row>575</xdr:row>
      <xdr:rowOff>573250</xdr:rowOff>
    </xdr:to>
    <xdr:pic>
      <xdr:nvPicPr>
        <xdr:cNvPr id="1436" name="Picture 412" descr=""/>
        <xdr:cNvPicPr>
          <a:picLocks noChangeAspect="1" noChangeArrowheads="1"/>
        </xdr:cNvPicPr>
      </xdr:nvPicPr>
      <xdr:blipFill>
        <a:blip r:embed="R51611572e75d422c" cstate="print"/>
        <a:srcRect/>
        <a:stretch>
          <a:fillRect/>
        </a:stretch>
      </xdr:blipFill>
      <xdr:spPr bwMode="auto">
        <a:xfrm>
          <a:off x="0" y="0"/>
          <a:ext cx="1167600" cy="535150"/>
        </a:xfrm>
        <a:prstGeom prst="rect">
          <a:avLst/>
        </a:prstGeom>
        <a:noFill/>
      </xdr:spPr>
    </xdr:pic>
    <xdr:clientData/>
  </xdr:twoCellAnchor>
  <xdr:twoCellAnchor editAs="oneCell">
    <xdr:from>
      <xdr:col>2</xdr:col>
      <xdr:colOff>38100</xdr:colOff>
      <xdr:row>576</xdr:row>
      <xdr:rowOff>38100</xdr:rowOff>
    </xdr:from>
    <xdr:to>
      <xdr:col>2</xdr:col>
      <xdr:colOff>1181100</xdr:colOff>
      <xdr:row>576</xdr:row>
      <xdr:rowOff>1181100</xdr:rowOff>
    </xdr:to>
    <xdr:pic>
      <xdr:nvPicPr>
        <xdr:cNvPr id="1437" name="Picture 413" descr=""/>
        <xdr:cNvPicPr>
          <a:picLocks noChangeAspect="1" noChangeArrowheads="1"/>
        </xdr:cNvPicPr>
      </xdr:nvPicPr>
      <xdr:blipFill>
        <a:blip r:embed="Re5b510518c59418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577</xdr:row>
      <xdr:rowOff>38100</xdr:rowOff>
    </xdr:from>
    <xdr:to>
      <xdr:col>2</xdr:col>
      <xdr:colOff>1181100</xdr:colOff>
      <xdr:row>577</xdr:row>
      <xdr:rowOff>447675</xdr:rowOff>
    </xdr:to>
    <xdr:pic>
      <xdr:nvPicPr>
        <xdr:cNvPr id="1438" name="Picture 414" descr=""/>
        <xdr:cNvPicPr>
          <a:picLocks noChangeAspect="1" noChangeArrowheads="1"/>
        </xdr:cNvPicPr>
      </xdr:nvPicPr>
      <xdr:blipFill>
        <a:blip r:embed="R45607185a51d4f76" cstate="print"/>
        <a:srcRect/>
        <a:stretch>
          <a:fillRect/>
        </a:stretch>
      </xdr:blipFill>
      <xdr:spPr bwMode="auto">
        <a:xfrm>
          <a:off x="0" y="0"/>
          <a:ext cx="1143000" cy="409575"/>
        </a:xfrm>
        <a:prstGeom prst="rect">
          <a:avLst/>
        </a:prstGeom>
        <a:noFill/>
      </xdr:spPr>
    </xdr:pic>
    <xdr:clientData/>
  </xdr:twoCellAnchor>
  <xdr:twoCellAnchor editAs="oneCell">
    <xdr:from>
      <xdr:col>2</xdr:col>
      <xdr:colOff>38100</xdr:colOff>
      <xdr:row>578</xdr:row>
      <xdr:rowOff>38100</xdr:rowOff>
    </xdr:from>
    <xdr:to>
      <xdr:col>2</xdr:col>
      <xdr:colOff>1181100</xdr:colOff>
      <xdr:row>578</xdr:row>
      <xdr:rowOff>1019175</xdr:rowOff>
    </xdr:to>
    <xdr:pic>
      <xdr:nvPicPr>
        <xdr:cNvPr id="1439" name="Picture 415" descr=""/>
        <xdr:cNvPicPr>
          <a:picLocks noChangeAspect="1" noChangeArrowheads="1"/>
        </xdr:cNvPicPr>
      </xdr:nvPicPr>
      <xdr:blipFill>
        <a:blip r:embed="Rf1ab19d85bbe47ea" cstate="print"/>
        <a:srcRect/>
        <a:stretch>
          <a:fillRect/>
        </a:stretch>
      </xdr:blipFill>
      <xdr:spPr bwMode="auto">
        <a:xfrm>
          <a:off x="0" y="0"/>
          <a:ext cx="1143000" cy="981075"/>
        </a:xfrm>
        <a:prstGeom prst="rect">
          <a:avLst/>
        </a:prstGeom>
        <a:noFill/>
      </xdr:spPr>
    </xdr:pic>
    <xdr:clientData/>
  </xdr:twoCellAnchor>
  <xdr:twoCellAnchor editAs="oneCell">
    <xdr:from>
      <xdr:col>2</xdr:col>
      <xdr:colOff>38100</xdr:colOff>
      <xdr:row>579</xdr:row>
      <xdr:rowOff>38100</xdr:rowOff>
    </xdr:from>
    <xdr:to>
      <xdr:col>2</xdr:col>
      <xdr:colOff>1181100</xdr:colOff>
      <xdr:row>579</xdr:row>
      <xdr:rowOff>828675</xdr:rowOff>
    </xdr:to>
    <xdr:pic>
      <xdr:nvPicPr>
        <xdr:cNvPr id="1440" name="Picture 416" descr=""/>
        <xdr:cNvPicPr>
          <a:picLocks noChangeAspect="1" noChangeArrowheads="1"/>
        </xdr:cNvPicPr>
      </xdr:nvPicPr>
      <xdr:blipFill>
        <a:blip r:embed="R4dfc58baa67447ea" cstate="print"/>
        <a:srcRect/>
        <a:stretch>
          <a:fillRect/>
        </a:stretch>
      </xdr:blipFill>
      <xdr:spPr bwMode="auto">
        <a:xfrm>
          <a:off x="0" y="0"/>
          <a:ext cx="1143000" cy="790575"/>
        </a:xfrm>
        <a:prstGeom prst="rect">
          <a:avLst/>
        </a:prstGeom>
        <a:noFill/>
      </xdr:spPr>
    </xdr:pic>
    <xdr:clientData/>
  </xdr:twoCellAnchor>
  <xdr:twoCellAnchor editAs="oneCell">
    <xdr:from>
      <xdr:col>2</xdr:col>
      <xdr:colOff>38100</xdr:colOff>
      <xdr:row>580</xdr:row>
      <xdr:rowOff>38100</xdr:rowOff>
    </xdr:from>
    <xdr:to>
      <xdr:col>2</xdr:col>
      <xdr:colOff>321843</xdr:colOff>
      <xdr:row>580</xdr:row>
      <xdr:rowOff>404220</xdr:rowOff>
    </xdr:to>
    <xdr:pic>
      <xdr:nvPicPr>
        <xdr:cNvPr id="1441" name="Picture 417" descr=""/>
        <xdr:cNvPicPr>
          <a:picLocks noChangeAspect="1" noChangeArrowheads="1"/>
        </xdr:cNvPicPr>
      </xdr:nvPicPr>
      <xdr:blipFill>
        <a:blip r:embed="Ra5165b6177004b37" cstate="print"/>
        <a:srcRect/>
        <a:stretch>
          <a:fillRect/>
        </a:stretch>
      </xdr:blipFill>
      <xdr:spPr bwMode="auto">
        <a:xfrm>
          <a:off x="0" y="0"/>
          <a:ext cx="283743" cy="366120"/>
        </a:xfrm>
        <a:prstGeom prst="rect">
          <a:avLst/>
        </a:prstGeom>
        <a:noFill/>
      </xdr:spPr>
    </xdr:pic>
    <xdr:clientData/>
  </xdr:twoCellAnchor>
  <xdr:twoCellAnchor editAs="oneCell">
    <xdr:from>
      <xdr:col>2</xdr:col>
      <xdr:colOff>38100</xdr:colOff>
      <xdr:row>581</xdr:row>
      <xdr:rowOff>38100</xdr:rowOff>
    </xdr:from>
    <xdr:to>
      <xdr:col>2</xdr:col>
      <xdr:colOff>1181100</xdr:colOff>
      <xdr:row>581</xdr:row>
      <xdr:rowOff>457200</xdr:rowOff>
    </xdr:to>
    <xdr:pic>
      <xdr:nvPicPr>
        <xdr:cNvPr id="1442" name="Picture 418" descr=""/>
        <xdr:cNvPicPr>
          <a:picLocks noChangeAspect="1" noChangeArrowheads="1"/>
        </xdr:cNvPicPr>
      </xdr:nvPicPr>
      <xdr:blipFill>
        <a:blip r:embed="R8c98810c0d8c4daf" cstate="print"/>
        <a:srcRect/>
        <a:stretch>
          <a:fillRect/>
        </a:stretch>
      </xdr:blipFill>
      <xdr:spPr bwMode="auto">
        <a:xfrm>
          <a:off x="0" y="0"/>
          <a:ext cx="1143000" cy="419100"/>
        </a:xfrm>
        <a:prstGeom prst="rect">
          <a:avLst/>
        </a:prstGeom>
        <a:noFill/>
      </xdr:spPr>
    </xdr:pic>
    <xdr:clientData/>
  </xdr:twoCellAnchor>
  <xdr:twoCellAnchor editAs="oneCell">
    <xdr:from>
      <xdr:col>2</xdr:col>
      <xdr:colOff>38100</xdr:colOff>
      <xdr:row>582</xdr:row>
      <xdr:rowOff>38100</xdr:rowOff>
    </xdr:from>
    <xdr:to>
      <xdr:col>2</xdr:col>
      <xdr:colOff>1181100</xdr:colOff>
      <xdr:row>582</xdr:row>
      <xdr:rowOff>381000</xdr:rowOff>
    </xdr:to>
    <xdr:pic>
      <xdr:nvPicPr>
        <xdr:cNvPr id="1443" name="Picture 419" descr=""/>
        <xdr:cNvPicPr>
          <a:picLocks noChangeAspect="1" noChangeArrowheads="1"/>
        </xdr:cNvPicPr>
      </xdr:nvPicPr>
      <xdr:blipFill>
        <a:blip r:embed="Rf8883de40f034b01" cstate="print"/>
        <a:srcRect/>
        <a:stretch>
          <a:fillRect/>
        </a:stretch>
      </xdr:blipFill>
      <xdr:spPr bwMode="auto">
        <a:xfrm>
          <a:off x="0" y="0"/>
          <a:ext cx="1143000" cy="342900"/>
        </a:xfrm>
        <a:prstGeom prst="rect">
          <a:avLst/>
        </a:prstGeom>
        <a:noFill/>
      </xdr:spPr>
    </xdr:pic>
    <xdr:clientData/>
  </xdr:twoCellAnchor>
  <xdr:twoCellAnchor editAs="oneCell">
    <xdr:from>
      <xdr:col>2</xdr:col>
      <xdr:colOff>38100</xdr:colOff>
      <xdr:row>583</xdr:row>
      <xdr:rowOff>38100</xdr:rowOff>
    </xdr:from>
    <xdr:to>
      <xdr:col>2</xdr:col>
      <xdr:colOff>1181100</xdr:colOff>
      <xdr:row>583</xdr:row>
      <xdr:rowOff>1076325</xdr:rowOff>
    </xdr:to>
    <xdr:pic>
      <xdr:nvPicPr>
        <xdr:cNvPr id="1444" name="Picture 420" descr=""/>
        <xdr:cNvPicPr>
          <a:picLocks noChangeAspect="1" noChangeArrowheads="1"/>
        </xdr:cNvPicPr>
      </xdr:nvPicPr>
      <xdr:blipFill>
        <a:blip r:embed="R8a8995cb2a404300" cstate="print"/>
        <a:srcRect/>
        <a:stretch>
          <a:fillRect/>
        </a:stretch>
      </xdr:blipFill>
      <xdr:spPr bwMode="auto">
        <a:xfrm>
          <a:off x="0" y="0"/>
          <a:ext cx="1143000" cy="1038225"/>
        </a:xfrm>
        <a:prstGeom prst="rect">
          <a:avLst/>
        </a:prstGeom>
        <a:noFill/>
      </xdr:spPr>
    </xdr:pic>
    <xdr:clientData/>
  </xdr:twoCellAnchor>
  <xdr:twoCellAnchor editAs="oneCell">
    <xdr:from>
      <xdr:col>2</xdr:col>
      <xdr:colOff>38100</xdr:colOff>
      <xdr:row>585</xdr:row>
      <xdr:rowOff>38100</xdr:rowOff>
    </xdr:from>
    <xdr:to>
      <xdr:col>2</xdr:col>
      <xdr:colOff>1562100</xdr:colOff>
      <xdr:row>585</xdr:row>
      <xdr:rowOff>1562100</xdr:rowOff>
    </xdr:to>
    <xdr:pic>
      <xdr:nvPicPr>
        <xdr:cNvPr id="1445" name="Picture 421" descr=""/>
        <xdr:cNvPicPr>
          <a:picLocks noChangeAspect="1" noChangeArrowheads="1"/>
        </xdr:cNvPicPr>
      </xdr:nvPicPr>
      <xdr:blipFill>
        <a:blip r:embed="R80e96c7a800f42ff"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586</xdr:row>
      <xdr:rowOff>38100</xdr:rowOff>
    </xdr:from>
    <xdr:to>
      <xdr:col>2</xdr:col>
      <xdr:colOff>1181100</xdr:colOff>
      <xdr:row>586</xdr:row>
      <xdr:rowOff>1181100</xdr:rowOff>
    </xdr:to>
    <xdr:pic>
      <xdr:nvPicPr>
        <xdr:cNvPr id="1446" name="Picture 422" descr=""/>
        <xdr:cNvPicPr>
          <a:picLocks noChangeAspect="1" noChangeArrowheads="1"/>
        </xdr:cNvPicPr>
      </xdr:nvPicPr>
      <xdr:blipFill>
        <a:blip r:embed="Rde6c48fdbda24d7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588</xdr:row>
      <xdr:rowOff>38100</xdr:rowOff>
    </xdr:from>
    <xdr:to>
      <xdr:col>2</xdr:col>
      <xdr:colOff>1181100</xdr:colOff>
      <xdr:row>588</xdr:row>
      <xdr:rowOff>914400</xdr:rowOff>
    </xdr:to>
    <xdr:pic>
      <xdr:nvPicPr>
        <xdr:cNvPr id="1447" name="Picture 423" descr=""/>
        <xdr:cNvPicPr>
          <a:picLocks noChangeAspect="1" noChangeArrowheads="1"/>
        </xdr:cNvPicPr>
      </xdr:nvPicPr>
      <xdr:blipFill>
        <a:blip r:embed="Ra7fd268a789f42ab" cstate="print"/>
        <a:srcRect/>
        <a:stretch>
          <a:fillRect/>
        </a:stretch>
      </xdr:blipFill>
      <xdr:spPr bwMode="auto">
        <a:xfrm>
          <a:off x="0" y="0"/>
          <a:ext cx="1143000" cy="876300"/>
        </a:xfrm>
        <a:prstGeom prst="rect">
          <a:avLst/>
        </a:prstGeom>
        <a:noFill/>
      </xdr:spPr>
    </xdr:pic>
    <xdr:clientData/>
  </xdr:twoCellAnchor>
  <xdr:twoCellAnchor editAs="oneCell">
    <xdr:from>
      <xdr:col>2</xdr:col>
      <xdr:colOff>38100</xdr:colOff>
      <xdr:row>589</xdr:row>
      <xdr:rowOff>38100</xdr:rowOff>
    </xdr:from>
    <xdr:to>
      <xdr:col>2</xdr:col>
      <xdr:colOff>1181100</xdr:colOff>
      <xdr:row>589</xdr:row>
      <xdr:rowOff>581025</xdr:rowOff>
    </xdr:to>
    <xdr:pic>
      <xdr:nvPicPr>
        <xdr:cNvPr id="1448" name="Picture 424" descr=""/>
        <xdr:cNvPicPr>
          <a:picLocks noChangeAspect="1" noChangeArrowheads="1"/>
        </xdr:cNvPicPr>
      </xdr:nvPicPr>
      <xdr:blipFill>
        <a:blip r:embed="R7dd649441f0e49e5" cstate="print"/>
        <a:srcRect/>
        <a:stretch>
          <a:fillRect/>
        </a:stretch>
      </xdr:blipFill>
      <xdr:spPr bwMode="auto">
        <a:xfrm>
          <a:off x="0" y="0"/>
          <a:ext cx="1143000" cy="542925"/>
        </a:xfrm>
        <a:prstGeom prst="rect">
          <a:avLst/>
        </a:prstGeom>
        <a:noFill/>
      </xdr:spPr>
    </xdr:pic>
    <xdr:clientData/>
  </xdr:twoCellAnchor>
  <xdr:twoCellAnchor editAs="oneCell">
    <xdr:from>
      <xdr:col>2</xdr:col>
      <xdr:colOff>38100</xdr:colOff>
      <xdr:row>590</xdr:row>
      <xdr:rowOff>38100</xdr:rowOff>
    </xdr:from>
    <xdr:to>
      <xdr:col>2</xdr:col>
      <xdr:colOff>403860</xdr:colOff>
      <xdr:row>590</xdr:row>
      <xdr:rowOff>236220</xdr:rowOff>
    </xdr:to>
    <xdr:pic>
      <xdr:nvPicPr>
        <xdr:cNvPr id="1449" name="Picture 425" descr=""/>
        <xdr:cNvPicPr>
          <a:picLocks noChangeAspect="1" noChangeArrowheads="1"/>
        </xdr:cNvPicPr>
      </xdr:nvPicPr>
      <xdr:blipFill>
        <a:blip r:embed="R32b3f61154fc46ea" cstate="print"/>
        <a:srcRect/>
        <a:stretch>
          <a:fillRect/>
        </a:stretch>
      </xdr:blipFill>
      <xdr:spPr bwMode="auto">
        <a:xfrm>
          <a:off x="0" y="0"/>
          <a:ext cx="365760" cy="198120"/>
        </a:xfrm>
        <a:prstGeom prst="rect">
          <a:avLst/>
        </a:prstGeom>
        <a:noFill/>
      </xdr:spPr>
    </xdr:pic>
    <xdr:clientData/>
  </xdr:twoCellAnchor>
  <xdr:twoCellAnchor editAs="oneCell">
    <xdr:from>
      <xdr:col>2</xdr:col>
      <xdr:colOff>38100</xdr:colOff>
      <xdr:row>591</xdr:row>
      <xdr:rowOff>38100</xdr:rowOff>
    </xdr:from>
    <xdr:to>
      <xdr:col>2</xdr:col>
      <xdr:colOff>1181100</xdr:colOff>
      <xdr:row>591</xdr:row>
      <xdr:rowOff>885825</xdr:rowOff>
    </xdr:to>
    <xdr:pic>
      <xdr:nvPicPr>
        <xdr:cNvPr id="1450" name="Picture 426" descr=""/>
        <xdr:cNvPicPr>
          <a:picLocks noChangeAspect="1" noChangeArrowheads="1"/>
        </xdr:cNvPicPr>
      </xdr:nvPicPr>
      <xdr:blipFill>
        <a:blip r:embed="R74941473530a4203" cstate="print"/>
        <a:srcRect/>
        <a:stretch>
          <a:fillRect/>
        </a:stretch>
      </xdr:blipFill>
      <xdr:spPr bwMode="auto">
        <a:xfrm>
          <a:off x="0" y="0"/>
          <a:ext cx="1143000" cy="847725"/>
        </a:xfrm>
        <a:prstGeom prst="rect">
          <a:avLst/>
        </a:prstGeom>
        <a:noFill/>
      </xdr:spPr>
    </xdr:pic>
    <xdr:clientData/>
  </xdr:twoCellAnchor>
  <xdr:twoCellAnchor editAs="oneCell">
    <xdr:from>
      <xdr:col>2</xdr:col>
      <xdr:colOff>38100</xdr:colOff>
      <xdr:row>592</xdr:row>
      <xdr:rowOff>38100</xdr:rowOff>
    </xdr:from>
    <xdr:to>
      <xdr:col>2</xdr:col>
      <xdr:colOff>1181100</xdr:colOff>
      <xdr:row>592</xdr:row>
      <xdr:rowOff>800100</xdr:rowOff>
    </xdr:to>
    <xdr:pic>
      <xdr:nvPicPr>
        <xdr:cNvPr id="1451" name="Picture 427" descr=""/>
        <xdr:cNvPicPr>
          <a:picLocks noChangeAspect="1" noChangeArrowheads="1"/>
        </xdr:cNvPicPr>
      </xdr:nvPicPr>
      <xdr:blipFill>
        <a:blip r:embed="R619615e37e624c0f" cstate="print"/>
        <a:srcRect/>
        <a:stretch>
          <a:fillRect/>
        </a:stretch>
      </xdr:blipFill>
      <xdr:spPr bwMode="auto">
        <a:xfrm>
          <a:off x="0" y="0"/>
          <a:ext cx="1143000" cy="762000"/>
        </a:xfrm>
        <a:prstGeom prst="rect">
          <a:avLst/>
        </a:prstGeom>
        <a:noFill/>
      </xdr:spPr>
    </xdr:pic>
    <xdr:clientData/>
  </xdr:twoCellAnchor>
  <xdr:twoCellAnchor editAs="oneCell">
    <xdr:from>
      <xdr:col>2</xdr:col>
      <xdr:colOff>38100</xdr:colOff>
      <xdr:row>593</xdr:row>
      <xdr:rowOff>38100</xdr:rowOff>
    </xdr:from>
    <xdr:to>
      <xdr:col>2</xdr:col>
      <xdr:colOff>800100</xdr:colOff>
      <xdr:row>593</xdr:row>
      <xdr:rowOff>717550</xdr:rowOff>
    </xdr:to>
    <xdr:pic>
      <xdr:nvPicPr>
        <xdr:cNvPr id="1452" name="Picture 428" descr=""/>
        <xdr:cNvPicPr>
          <a:picLocks noChangeAspect="1" noChangeArrowheads="1"/>
        </xdr:cNvPicPr>
      </xdr:nvPicPr>
      <xdr:blipFill>
        <a:blip r:embed="R4648bf9b694f482b" cstate="print"/>
        <a:srcRect/>
        <a:stretch>
          <a:fillRect/>
        </a:stretch>
      </xdr:blipFill>
      <xdr:spPr bwMode="auto">
        <a:xfrm>
          <a:off x="0" y="0"/>
          <a:ext cx="762000" cy="679450"/>
        </a:xfrm>
        <a:prstGeom prst="rect">
          <a:avLst/>
        </a:prstGeom>
        <a:noFill/>
      </xdr:spPr>
    </xdr:pic>
    <xdr:clientData/>
  </xdr:twoCellAnchor>
  <xdr:twoCellAnchor editAs="oneCell">
    <xdr:from>
      <xdr:col>2</xdr:col>
      <xdr:colOff>38100</xdr:colOff>
      <xdr:row>594</xdr:row>
      <xdr:rowOff>38100</xdr:rowOff>
    </xdr:from>
    <xdr:to>
      <xdr:col>2</xdr:col>
      <xdr:colOff>1181100</xdr:colOff>
      <xdr:row>594</xdr:row>
      <xdr:rowOff>647700</xdr:rowOff>
    </xdr:to>
    <xdr:pic>
      <xdr:nvPicPr>
        <xdr:cNvPr id="1453" name="Picture 429" descr=""/>
        <xdr:cNvPicPr>
          <a:picLocks noChangeAspect="1" noChangeArrowheads="1"/>
        </xdr:cNvPicPr>
      </xdr:nvPicPr>
      <xdr:blipFill>
        <a:blip r:embed="R22ce45396c5a4ecb" cstate="print"/>
        <a:srcRect/>
        <a:stretch>
          <a:fillRect/>
        </a:stretch>
      </xdr:blipFill>
      <xdr:spPr bwMode="auto">
        <a:xfrm>
          <a:off x="0" y="0"/>
          <a:ext cx="1143000" cy="609600"/>
        </a:xfrm>
        <a:prstGeom prst="rect">
          <a:avLst/>
        </a:prstGeom>
        <a:noFill/>
      </xdr:spPr>
    </xdr:pic>
    <xdr:clientData/>
  </xdr:twoCellAnchor>
  <xdr:twoCellAnchor editAs="oneCell">
    <xdr:from>
      <xdr:col>2</xdr:col>
      <xdr:colOff>38100</xdr:colOff>
      <xdr:row>596</xdr:row>
      <xdr:rowOff>38100</xdr:rowOff>
    </xdr:from>
    <xdr:to>
      <xdr:col>2</xdr:col>
      <xdr:colOff>1181100</xdr:colOff>
      <xdr:row>596</xdr:row>
      <xdr:rowOff>1181100</xdr:rowOff>
    </xdr:to>
    <xdr:pic>
      <xdr:nvPicPr>
        <xdr:cNvPr id="1454" name="Picture 430" descr=""/>
        <xdr:cNvPicPr>
          <a:picLocks noChangeAspect="1" noChangeArrowheads="1"/>
        </xdr:cNvPicPr>
      </xdr:nvPicPr>
      <xdr:blipFill>
        <a:blip r:embed="R575bea506433477e"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597</xdr:row>
      <xdr:rowOff>38100</xdr:rowOff>
    </xdr:from>
    <xdr:to>
      <xdr:col>2</xdr:col>
      <xdr:colOff>556260</xdr:colOff>
      <xdr:row>597</xdr:row>
      <xdr:rowOff>769620</xdr:rowOff>
    </xdr:to>
    <xdr:pic>
      <xdr:nvPicPr>
        <xdr:cNvPr id="1455" name="Picture 431" descr=""/>
        <xdr:cNvPicPr>
          <a:picLocks noChangeAspect="1" noChangeArrowheads="1"/>
        </xdr:cNvPicPr>
      </xdr:nvPicPr>
      <xdr:blipFill>
        <a:blip r:embed="R2714c2ea2df44668" cstate="print"/>
        <a:srcRect/>
        <a:stretch>
          <a:fillRect/>
        </a:stretch>
      </xdr:blipFill>
      <xdr:spPr bwMode="auto">
        <a:xfrm>
          <a:off x="0" y="0"/>
          <a:ext cx="518160" cy="731520"/>
        </a:xfrm>
        <a:prstGeom prst="rect">
          <a:avLst/>
        </a:prstGeom>
        <a:noFill/>
      </xdr:spPr>
    </xdr:pic>
    <xdr:clientData/>
  </xdr:twoCellAnchor>
  <xdr:twoCellAnchor editAs="oneCell">
    <xdr:from>
      <xdr:col>2</xdr:col>
      <xdr:colOff>38100</xdr:colOff>
      <xdr:row>599</xdr:row>
      <xdr:rowOff>38100</xdr:rowOff>
    </xdr:from>
    <xdr:to>
      <xdr:col>2</xdr:col>
      <xdr:colOff>1580940</xdr:colOff>
      <xdr:row>599</xdr:row>
      <xdr:rowOff>500952</xdr:rowOff>
    </xdr:to>
    <xdr:pic>
      <xdr:nvPicPr>
        <xdr:cNvPr id="1456" name="Picture 432" descr=""/>
        <xdr:cNvPicPr>
          <a:picLocks noChangeAspect="1" noChangeArrowheads="1"/>
        </xdr:cNvPicPr>
      </xdr:nvPicPr>
      <xdr:blipFill>
        <a:blip r:embed="Ra97a137b25864a22" cstate="print"/>
        <a:srcRect/>
        <a:stretch>
          <a:fillRect/>
        </a:stretch>
      </xdr:blipFill>
      <xdr:spPr bwMode="auto">
        <a:xfrm>
          <a:off x="0" y="0"/>
          <a:ext cx="1542840" cy="462852"/>
        </a:xfrm>
        <a:prstGeom prst="rect">
          <a:avLst/>
        </a:prstGeom>
        <a:noFill/>
      </xdr:spPr>
    </xdr:pic>
    <xdr:clientData/>
  </xdr:twoCellAnchor>
  <xdr:twoCellAnchor editAs="oneCell">
    <xdr:from>
      <xdr:col>2</xdr:col>
      <xdr:colOff>38100</xdr:colOff>
      <xdr:row>600</xdr:row>
      <xdr:rowOff>38100</xdr:rowOff>
    </xdr:from>
    <xdr:to>
      <xdr:col>2</xdr:col>
      <xdr:colOff>1181100</xdr:colOff>
      <xdr:row>600</xdr:row>
      <xdr:rowOff>523875</xdr:rowOff>
    </xdr:to>
    <xdr:pic>
      <xdr:nvPicPr>
        <xdr:cNvPr id="1457" name="Picture 433" descr=""/>
        <xdr:cNvPicPr>
          <a:picLocks noChangeAspect="1" noChangeArrowheads="1"/>
        </xdr:cNvPicPr>
      </xdr:nvPicPr>
      <xdr:blipFill>
        <a:blip r:embed="R2fb76dddda314117" cstate="print"/>
        <a:srcRect/>
        <a:stretch>
          <a:fillRect/>
        </a:stretch>
      </xdr:blipFill>
      <xdr:spPr bwMode="auto">
        <a:xfrm>
          <a:off x="0" y="0"/>
          <a:ext cx="1143000" cy="485775"/>
        </a:xfrm>
        <a:prstGeom prst="rect">
          <a:avLst/>
        </a:prstGeom>
        <a:noFill/>
      </xdr:spPr>
    </xdr:pic>
    <xdr:clientData/>
  </xdr:twoCellAnchor>
  <xdr:twoCellAnchor editAs="oneCell">
    <xdr:from>
      <xdr:col>2</xdr:col>
      <xdr:colOff>38100</xdr:colOff>
      <xdr:row>601</xdr:row>
      <xdr:rowOff>38100</xdr:rowOff>
    </xdr:from>
    <xdr:to>
      <xdr:col>2</xdr:col>
      <xdr:colOff>742950</xdr:colOff>
      <xdr:row>601</xdr:row>
      <xdr:rowOff>1181100</xdr:rowOff>
    </xdr:to>
    <xdr:pic>
      <xdr:nvPicPr>
        <xdr:cNvPr id="1458" name="Picture 434" descr=""/>
        <xdr:cNvPicPr>
          <a:picLocks noChangeAspect="1" noChangeArrowheads="1"/>
        </xdr:cNvPicPr>
      </xdr:nvPicPr>
      <xdr:blipFill>
        <a:blip r:embed="Rb58512ccabb04b6c" cstate="print"/>
        <a:srcRect/>
        <a:stretch>
          <a:fillRect/>
        </a:stretch>
      </xdr:blipFill>
      <xdr:spPr bwMode="auto">
        <a:xfrm>
          <a:off x="0" y="0"/>
          <a:ext cx="704850" cy="1143000"/>
        </a:xfrm>
        <a:prstGeom prst="rect">
          <a:avLst/>
        </a:prstGeom>
        <a:noFill/>
      </xdr:spPr>
    </xdr:pic>
    <xdr:clientData/>
  </xdr:twoCellAnchor>
  <xdr:twoCellAnchor editAs="oneCell">
    <xdr:from>
      <xdr:col>2</xdr:col>
      <xdr:colOff>38100</xdr:colOff>
      <xdr:row>602</xdr:row>
      <xdr:rowOff>38100</xdr:rowOff>
    </xdr:from>
    <xdr:to>
      <xdr:col>2</xdr:col>
      <xdr:colOff>1181100</xdr:colOff>
      <xdr:row>602</xdr:row>
      <xdr:rowOff>1181100</xdr:rowOff>
    </xdr:to>
    <xdr:pic>
      <xdr:nvPicPr>
        <xdr:cNvPr id="1459" name="Picture 435" descr=""/>
        <xdr:cNvPicPr>
          <a:picLocks noChangeAspect="1" noChangeArrowheads="1"/>
        </xdr:cNvPicPr>
      </xdr:nvPicPr>
      <xdr:blipFill>
        <a:blip r:embed="Rf269184684b4447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603</xdr:row>
      <xdr:rowOff>38100</xdr:rowOff>
    </xdr:from>
    <xdr:to>
      <xdr:col>2</xdr:col>
      <xdr:colOff>1181100</xdr:colOff>
      <xdr:row>603</xdr:row>
      <xdr:rowOff>1181100</xdr:rowOff>
    </xdr:to>
    <xdr:pic>
      <xdr:nvPicPr>
        <xdr:cNvPr id="1460" name="Picture 436" descr=""/>
        <xdr:cNvPicPr>
          <a:picLocks noChangeAspect="1" noChangeArrowheads="1"/>
        </xdr:cNvPicPr>
      </xdr:nvPicPr>
      <xdr:blipFill>
        <a:blip r:embed="R7c9049e7c990469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604</xdr:row>
      <xdr:rowOff>38100</xdr:rowOff>
    </xdr:from>
    <xdr:to>
      <xdr:col>2</xdr:col>
      <xdr:colOff>901700</xdr:colOff>
      <xdr:row>604</xdr:row>
      <xdr:rowOff>1562100</xdr:rowOff>
    </xdr:to>
    <xdr:pic>
      <xdr:nvPicPr>
        <xdr:cNvPr id="1461" name="Picture 437" descr=""/>
        <xdr:cNvPicPr>
          <a:picLocks noChangeAspect="1" noChangeArrowheads="1"/>
        </xdr:cNvPicPr>
      </xdr:nvPicPr>
      <xdr:blipFill>
        <a:blip r:embed="Ra647532c6b4d4751" cstate="print"/>
        <a:srcRect/>
        <a:stretch>
          <a:fillRect/>
        </a:stretch>
      </xdr:blipFill>
      <xdr:spPr bwMode="auto">
        <a:xfrm>
          <a:off x="0" y="0"/>
          <a:ext cx="863600" cy="1524000"/>
        </a:xfrm>
        <a:prstGeom prst="rect">
          <a:avLst/>
        </a:prstGeom>
        <a:noFill/>
      </xdr:spPr>
    </xdr:pic>
    <xdr:clientData/>
  </xdr:twoCellAnchor>
  <xdr:twoCellAnchor editAs="oneCell">
    <xdr:from>
      <xdr:col>2</xdr:col>
      <xdr:colOff>38100</xdr:colOff>
      <xdr:row>605</xdr:row>
      <xdr:rowOff>38100</xdr:rowOff>
    </xdr:from>
    <xdr:to>
      <xdr:col>2</xdr:col>
      <xdr:colOff>109766100</xdr:colOff>
      <xdr:row>605</xdr:row>
      <xdr:rowOff>109766100</xdr:rowOff>
    </xdr:to>
    <xdr:pic>
      <xdr:nvPicPr>
        <xdr:cNvPr id="1462" name="Picture 438" descr=""/>
        <xdr:cNvPicPr>
          <a:picLocks noChangeAspect="1" noChangeArrowheads="1"/>
        </xdr:cNvPicPr>
      </xdr:nvPicPr>
      <xdr:blipFill>
        <a:blip r:embed="Rdcc9c400e2ef42fc" cstate="print"/>
        <a:srcRect/>
        <a:stretch>
          <a:fillRect/>
        </a:stretch>
      </xdr:blipFill>
      <xdr:spPr bwMode="auto">
        <a:xfrm>
          <a:off x="0" y="0"/>
          <a:ext cx="109728000" cy="109728000"/>
        </a:xfrm>
        <a:prstGeom prst="rect">
          <a:avLst/>
        </a:prstGeom>
        <a:noFill/>
      </xdr:spPr>
    </xdr:pic>
    <xdr:clientData/>
  </xdr:twoCellAnchor>
  <xdr:twoCellAnchor editAs="oneCell">
    <xdr:from>
      <xdr:col>2</xdr:col>
      <xdr:colOff>38100</xdr:colOff>
      <xdr:row>607</xdr:row>
      <xdr:rowOff>38100</xdr:rowOff>
    </xdr:from>
    <xdr:to>
      <xdr:col>2</xdr:col>
      <xdr:colOff>770340</xdr:colOff>
      <xdr:row>607</xdr:row>
      <xdr:rowOff>459138</xdr:rowOff>
    </xdr:to>
    <xdr:pic>
      <xdr:nvPicPr>
        <xdr:cNvPr id="1463" name="Picture 439" descr=""/>
        <xdr:cNvPicPr>
          <a:picLocks noChangeAspect="1" noChangeArrowheads="1"/>
        </xdr:cNvPicPr>
      </xdr:nvPicPr>
      <xdr:blipFill>
        <a:blip r:embed="R53df471c7e60472f" cstate="print"/>
        <a:srcRect/>
        <a:stretch>
          <a:fillRect/>
        </a:stretch>
      </xdr:blipFill>
      <xdr:spPr bwMode="auto">
        <a:xfrm>
          <a:off x="0" y="0"/>
          <a:ext cx="732240" cy="421038"/>
        </a:xfrm>
        <a:prstGeom prst="rect">
          <a:avLst/>
        </a:prstGeom>
        <a:noFill/>
      </xdr:spPr>
    </xdr:pic>
    <xdr:clientData/>
  </xdr:twoCellAnchor>
  <xdr:twoCellAnchor editAs="oneCell">
    <xdr:from>
      <xdr:col>2</xdr:col>
      <xdr:colOff>38100</xdr:colOff>
      <xdr:row>609</xdr:row>
      <xdr:rowOff>38100</xdr:rowOff>
    </xdr:from>
    <xdr:to>
      <xdr:col>2</xdr:col>
      <xdr:colOff>769620</xdr:colOff>
      <xdr:row>609</xdr:row>
      <xdr:rowOff>348996</xdr:rowOff>
    </xdr:to>
    <xdr:pic>
      <xdr:nvPicPr>
        <xdr:cNvPr id="1464" name="Picture 440" descr=""/>
        <xdr:cNvPicPr>
          <a:picLocks noChangeAspect="1" noChangeArrowheads="1"/>
        </xdr:cNvPicPr>
      </xdr:nvPicPr>
      <xdr:blipFill>
        <a:blip r:embed="R65bdca89c82f41de" cstate="print"/>
        <a:srcRect/>
        <a:stretch>
          <a:fillRect/>
        </a:stretch>
      </xdr:blipFill>
      <xdr:spPr bwMode="auto">
        <a:xfrm>
          <a:off x="0" y="0"/>
          <a:ext cx="731520" cy="310896"/>
        </a:xfrm>
        <a:prstGeom prst="rect">
          <a:avLst/>
        </a:prstGeom>
        <a:noFill/>
      </xdr:spPr>
    </xdr:pic>
    <xdr:clientData/>
  </xdr:twoCellAnchor>
  <xdr:twoCellAnchor editAs="oneCell">
    <xdr:from>
      <xdr:col>2</xdr:col>
      <xdr:colOff>38100</xdr:colOff>
      <xdr:row>610</xdr:row>
      <xdr:rowOff>38100</xdr:rowOff>
    </xdr:from>
    <xdr:to>
      <xdr:col>2</xdr:col>
      <xdr:colOff>1019175</xdr:colOff>
      <xdr:row>610</xdr:row>
      <xdr:rowOff>1181100</xdr:rowOff>
    </xdr:to>
    <xdr:pic>
      <xdr:nvPicPr>
        <xdr:cNvPr id="1465" name="Picture 441" descr=""/>
        <xdr:cNvPicPr>
          <a:picLocks noChangeAspect="1" noChangeArrowheads="1"/>
        </xdr:cNvPicPr>
      </xdr:nvPicPr>
      <xdr:blipFill>
        <a:blip r:embed="R6a4e361285aa4f39" cstate="print"/>
        <a:srcRect/>
        <a:stretch>
          <a:fillRect/>
        </a:stretch>
      </xdr:blipFill>
      <xdr:spPr bwMode="auto">
        <a:xfrm>
          <a:off x="0" y="0"/>
          <a:ext cx="981075" cy="1143000"/>
        </a:xfrm>
        <a:prstGeom prst="rect">
          <a:avLst/>
        </a:prstGeom>
        <a:noFill/>
      </xdr:spPr>
    </xdr:pic>
    <xdr:clientData/>
  </xdr:twoCellAnchor>
  <xdr:twoCellAnchor editAs="oneCell">
    <xdr:from>
      <xdr:col>2</xdr:col>
      <xdr:colOff>38100</xdr:colOff>
      <xdr:row>612</xdr:row>
      <xdr:rowOff>38100</xdr:rowOff>
    </xdr:from>
    <xdr:to>
      <xdr:col>2</xdr:col>
      <xdr:colOff>495300</xdr:colOff>
      <xdr:row>612</xdr:row>
      <xdr:rowOff>285750</xdr:rowOff>
    </xdr:to>
    <xdr:pic>
      <xdr:nvPicPr>
        <xdr:cNvPr id="1466" name="Picture 442" descr=""/>
        <xdr:cNvPicPr>
          <a:picLocks noChangeAspect="1" noChangeArrowheads="1"/>
        </xdr:cNvPicPr>
      </xdr:nvPicPr>
      <xdr:blipFill>
        <a:blip r:embed="R337530720cc246c2" cstate="print"/>
        <a:srcRect/>
        <a:stretch>
          <a:fillRect/>
        </a:stretch>
      </xdr:blipFill>
      <xdr:spPr bwMode="auto">
        <a:xfrm>
          <a:off x="0" y="0"/>
          <a:ext cx="457200" cy="247650"/>
        </a:xfrm>
        <a:prstGeom prst="rect">
          <a:avLst/>
        </a:prstGeom>
        <a:noFill/>
      </xdr:spPr>
    </xdr:pic>
    <xdr:clientData/>
  </xdr:twoCellAnchor>
  <xdr:twoCellAnchor editAs="oneCell">
    <xdr:from>
      <xdr:col>2</xdr:col>
      <xdr:colOff>38100</xdr:colOff>
      <xdr:row>613</xdr:row>
      <xdr:rowOff>38100</xdr:rowOff>
    </xdr:from>
    <xdr:to>
      <xdr:col>2</xdr:col>
      <xdr:colOff>370620</xdr:colOff>
      <xdr:row>613</xdr:row>
      <xdr:rowOff>370620</xdr:rowOff>
    </xdr:to>
    <xdr:pic>
      <xdr:nvPicPr>
        <xdr:cNvPr id="1467" name="Picture 443" descr=""/>
        <xdr:cNvPicPr>
          <a:picLocks noChangeAspect="1" noChangeArrowheads="1"/>
        </xdr:cNvPicPr>
      </xdr:nvPicPr>
      <xdr:blipFill>
        <a:blip r:embed="R55d98c1be0254ee2" cstate="print"/>
        <a:srcRect/>
        <a:stretch>
          <a:fillRect/>
        </a:stretch>
      </xdr:blipFill>
      <xdr:spPr bwMode="auto">
        <a:xfrm>
          <a:off x="0" y="0"/>
          <a:ext cx="332520" cy="332520"/>
        </a:xfrm>
        <a:prstGeom prst="rect">
          <a:avLst/>
        </a:prstGeom>
        <a:noFill/>
      </xdr:spPr>
    </xdr:pic>
    <xdr:clientData/>
  </xdr:twoCellAnchor>
  <xdr:twoCellAnchor editAs="oneCell">
    <xdr:from>
      <xdr:col>2</xdr:col>
      <xdr:colOff>38100</xdr:colOff>
      <xdr:row>614</xdr:row>
      <xdr:rowOff>38100</xdr:rowOff>
    </xdr:from>
    <xdr:to>
      <xdr:col>2</xdr:col>
      <xdr:colOff>1181100</xdr:colOff>
      <xdr:row>614</xdr:row>
      <xdr:rowOff>1009650</xdr:rowOff>
    </xdr:to>
    <xdr:pic>
      <xdr:nvPicPr>
        <xdr:cNvPr id="1468" name="Picture 444" descr=""/>
        <xdr:cNvPicPr>
          <a:picLocks noChangeAspect="1" noChangeArrowheads="1"/>
        </xdr:cNvPicPr>
      </xdr:nvPicPr>
      <xdr:blipFill>
        <a:blip r:embed="R5bfbd839b3d54673" cstate="print"/>
        <a:srcRect/>
        <a:stretch>
          <a:fillRect/>
        </a:stretch>
      </xdr:blipFill>
      <xdr:spPr bwMode="auto">
        <a:xfrm>
          <a:off x="0" y="0"/>
          <a:ext cx="1143000" cy="971550"/>
        </a:xfrm>
        <a:prstGeom prst="rect">
          <a:avLst/>
        </a:prstGeom>
        <a:noFill/>
      </xdr:spPr>
    </xdr:pic>
    <xdr:clientData/>
  </xdr:twoCellAnchor>
  <xdr:twoCellAnchor editAs="oneCell">
    <xdr:from>
      <xdr:col>2</xdr:col>
      <xdr:colOff>38100</xdr:colOff>
      <xdr:row>615</xdr:row>
      <xdr:rowOff>38100</xdr:rowOff>
    </xdr:from>
    <xdr:to>
      <xdr:col>2</xdr:col>
      <xdr:colOff>403860</xdr:colOff>
      <xdr:row>615</xdr:row>
      <xdr:rowOff>403860</xdr:rowOff>
    </xdr:to>
    <xdr:pic>
      <xdr:nvPicPr>
        <xdr:cNvPr id="1469" name="Picture 445" descr=""/>
        <xdr:cNvPicPr>
          <a:picLocks noChangeAspect="1" noChangeArrowheads="1"/>
        </xdr:cNvPicPr>
      </xdr:nvPicPr>
      <xdr:blipFill>
        <a:blip r:embed="R47fba856cec742af"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616</xdr:row>
      <xdr:rowOff>38100</xdr:rowOff>
    </xdr:from>
    <xdr:to>
      <xdr:col>2</xdr:col>
      <xdr:colOff>536820</xdr:colOff>
      <xdr:row>616</xdr:row>
      <xdr:rowOff>536820</xdr:rowOff>
    </xdr:to>
    <xdr:pic>
      <xdr:nvPicPr>
        <xdr:cNvPr id="1470" name="Picture 446" descr=""/>
        <xdr:cNvPicPr>
          <a:picLocks noChangeAspect="1" noChangeArrowheads="1"/>
        </xdr:cNvPicPr>
      </xdr:nvPicPr>
      <xdr:blipFill>
        <a:blip r:embed="R3536f4af38df4d51" cstate="print"/>
        <a:srcRect/>
        <a:stretch>
          <a:fillRect/>
        </a:stretch>
      </xdr:blipFill>
      <xdr:spPr bwMode="auto">
        <a:xfrm>
          <a:off x="0" y="0"/>
          <a:ext cx="498720" cy="498720"/>
        </a:xfrm>
        <a:prstGeom prst="rect">
          <a:avLst/>
        </a:prstGeom>
        <a:noFill/>
      </xdr:spPr>
    </xdr:pic>
    <xdr:clientData/>
  </xdr:twoCellAnchor>
  <xdr:twoCellAnchor editAs="oneCell">
    <xdr:from>
      <xdr:col>2</xdr:col>
      <xdr:colOff>38100</xdr:colOff>
      <xdr:row>617</xdr:row>
      <xdr:rowOff>38100</xdr:rowOff>
    </xdr:from>
    <xdr:to>
      <xdr:col>2</xdr:col>
      <xdr:colOff>1181100</xdr:colOff>
      <xdr:row>617</xdr:row>
      <xdr:rowOff>1181100</xdr:rowOff>
    </xdr:to>
    <xdr:pic>
      <xdr:nvPicPr>
        <xdr:cNvPr id="1471" name="Picture 447" descr=""/>
        <xdr:cNvPicPr>
          <a:picLocks noChangeAspect="1" noChangeArrowheads="1"/>
        </xdr:cNvPicPr>
      </xdr:nvPicPr>
      <xdr:blipFill>
        <a:blip r:embed="R9f0b5f0545c94824"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618</xdr:row>
      <xdr:rowOff>38100</xdr:rowOff>
    </xdr:from>
    <xdr:to>
      <xdr:col>2</xdr:col>
      <xdr:colOff>952500</xdr:colOff>
      <xdr:row>618</xdr:row>
      <xdr:rowOff>662940</xdr:rowOff>
    </xdr:to>
    <xdr:pic>
      <xdr:nvPicPr>
        <xdr:cNvPr id="1472" name="Picture 448" descr=""/>
        <xdr:cNvPicPr>
          <a:picLocks noChangeAspect="1" noChangeArrowheads="1"/>
        </xdr:cNvPicPr>
      </xdr:nvPicPr>
      <xdr:blipFill>
        <a:blip r:embed="R911e0b5f7b954661" cstate="print"/>
        <a:srcRect/>
        <a:stretch>
          <a:fillRect/>
        </a:stretch>
      </xdr:blipFill>
      <xdr:spPr bwMode="auto">
        <a:xfrm>
          <a:off x="0" y="0"/>
          <a:ext cx="914400" cy="624840"/>
        </a:xfrm>
        <a:prstGeom prst="rect">
          <a:avLst/>
        </a:prstGeom>
        <a:noFill/>
      </xdr:spPr>
    </xdr:pic>
    <xdr:clientData/>
  </xdr:twoCellAnchor>
  <xdr:twoCellAnchor editAs="oneCell">
    <xdr:from>
      <xdr:col>2</xdr:col>
      <xdr:colOff>38100</xdr:colOff>
      <xdr:row>619</xdr:row>
      <xdr:rowOff>38100</xdr:rowOff>
    </xdr:from>
    <xdr:to>
      <xdr:col>2</xdr:col>
      <xdr:colOff>952500</xdr:colOff>
      <xdr:row>619</xdr:row>
      <xdr:rowOff>586740</xdr:rowOff>
    </xdr:to>
    <xdr:pic>
      <xdr:nvPicPr>
        <xdr:cNvPr id="1473" name="Picture 449" descr=""/>
        <xdr:cNvPicPr>
          <a:picLocks noChangeAspect="1" noChangeArrowheads="1"/>
        </xdr:cNvPicPr>
      </xdr:nvPicPr>
      <xdr:blipFill>
        <a:blip r:embed="Rccd498ceba9e4935" cstate="print"/>
        <a:srcRect/>
        <a:stretch>
          <a:fillRect/>
        </a:stretch>
      </xdr:blipFill>
      <xdr:spPr bwMode="auto">
        <a:xfrm>
          <a:off x="0" y="0"/>
          <a:ext cx="914400" cy="548640"/>
        </a:xfrm>
        <a:prstGeom prst="rect">
          <a:avLst/>
        </a:prstGeom>
        <a:noFill/>
      </xdr:spPr>
    </xdr:pic>
    <xdr:clientData/>
  </xdr:twoCellAnchor>
  <xdr:twoCellAnchor editAs="oneCell">
    <xdr:from>
      <xdr:col>2</xdr:col>
      <xdr:colOff>38100</xdr:colOff>
      <xdr:row>620</xdr:row>
      <xdr:rowOff>38100</xdr:rowOff>
    </xdr:from>
    <xdr:to>
      <xdr:col>2</xdr:col>
      <xdr:colOff>1181100</xdr:colOff>
      <xdr:row>620</xdr:row>
      <xdr:rowOff>1181100</xdr:rowOff>
    </xdr:to>
    <xdr:pic>
      <xdr:nvPicPr>
        <xdr:cNvPr id="1474" name="Picture 450" descr=""/>
        <xdr:cNvPicPr>
          <a:picLocks noChangeAspect="1" noChangeArrowheads="1"/>
        </xdr:cNvPicPr>
      </xdr:nvPicPr>
      <xdr:blipFill>
        <a:blip r:embed="R1957e382d71d4e9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621</xdr:row>
      <xdr:rowOff>38100</xdr:rowOff>
    </xdr:from>
    <xdr:to>
      <xdr:col>2</xdr:col>
      <xdr:colOff>1181100</xdr:colOff>
      <xdr:row>621</xdr:row>
      <xdr:rowOff>1143000</xdr:rowOff>
    </xdr:to>
    <xdr:pic>
      <xdr:nvPicPr>
        <xdr:cNvPr id="1475" name="Picture 451" descr=""/>
        <xdr:cNvPicPr>
          <a:picLocks noChangeAspect="1" noChangeArrowheads="1"/>
        </xdr:cNvPicPr>
      </xdr:nvPicPr>
      <xdr:blipFill>
        <a:blip r:embed="R78e52c4518e44bd3" cstate="print"/>
        <a:srcRect/>
        <a:stretch>
          <a:fillRect/>
        </a:stretch>
      </xdr:blipFill>
      <xdr:spPr bwMode="auto">
        <a:xfrm>
          <a:off x="0" y="0"/>
          <a:ext cx="1143000" cy="1104900"/>
        </a:xfrm>
        <a:prstGeom prst="rect">
          <a:avLst/>
        </a:prstGeom>
        <a:noFill/>
      </xdr:spPr>
    </xdr:pic>
    <xdr:clientData/>
  </xdr:twoCellAnchor>
  <xdr:twoCellAnchor editAs="oneCell">
    <xdr:from>
      <xdr:col>2</xdr:col>
      <xdr:colOff>38100</xdr:colOff>
      <xdr:row>622</xdr:row>
      <xdr:rowOff>38100</xdr:rowOff>
    </xdr:from>
    <xdr:to>
      <xdr:col>2</xdr:col>
      <xdr:colOff>1181100</xdr:colOff>
      <xdr:row>622</xdr:row>
      <xdr:rowOff>1181100</xdr:rowOff>
    </xdr:to>
    <xdr:pic>
      <xdr:nvPicPr>
        <xdr:cNvPr id="1476" name="Picture 452" descr=""/>
        <xdr:cNvPicPr>
          <a:picLocks noChangeAspect="1" noChangeArrowheads="1"/>
        </xdr:cNvPicPr>
      </xdr:nvPicPr>
      <xdr:blipFill>
        <a:blip r:embed="R16b6ba8a5f59439d"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623</xdr:row>
      <xdr:rowOff>38100</xdr:rowOff>
    </xdr:from>
    <xdr:to>
      <xdr:col>2</xdr:col>
      <xdr:colOff>1181100</xdr:colOff>
      <xdr:row>623</xdr:row>
      <xdr:rowOff>1181100</xdr:rowOff>
    </xdr:to>
    <xdr:pic>
      <xdr:nvPicPr>
        <xdr:cNvPr id="1477" name="Picture 453" descr=""/>
        <xdr:cNvPicPr>
          <a:picLocks noChangeAspect="1" noChangeArrowheads="1"/>
        </xdr:cNvPicPr>
      </xdr:nvPicPr>
      <xdr:blipFill>
        <a:blip r:embed="R160336cf06ad4ce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626</xdr:row>
      <xdr:rowOff>38100</xdr:rowOff>
    </xdr:from>
    <xdr:to>
      <xdr:col>2</xdr:col>
      <xdr:colOff>1181100</xdr:colOff>
      <xdr:row>626</xdr:row>
      <xdr:rowOff>781050</xdr:rowOff>
    </xdr:to>
    <xdr:pic>
      <xdr:nvPicPr>
        <xdr:cNvPr id="1478" name="Picture 454" descr=""/>
        <xdr:cNvPicPr>
          <a:picLocks noChangeAspect="1" noChangeArrowheads="1"/>
        </xdr:cNvPicPr>
      </xdr:nvPicPr>
      <xdr:blipFill>
        <a:blip r:embed="R098c67e58f984692" cstate="print"/>
        <a:srcRect/>
        <a:stretch>
          <a:fillRect/>
        </a:stretch>
      </xdr:blipFill>
      <xdr:spPr bwMode="auto">
        <a:xfrm>
          <a:off x="0" y="0"/>
          <a:ext cx="1143000" cy="742950"/>
        </a:xfrm>
        <a:prstGeom prst="rect">
          <a:avLst/>
        </a:prstGeom>
        <a:noFill/>
      </xdr:spPr>
    </xdr:pic>
    <xdr:clientData/>
  </xdr:twoCellAnchor>
  <xdr:twoCellAnchor editAs="oneCell">
    <xdr:from>
      <xdr:col>2</xdr:col>
      <xdr:colOff>38100</xdr:colOff>
      <xdr:row>627</xdr:row>
      <xdr:rowOff>38100</xdr:rowOff>
    </xdr:from>
    <xdr:to>
      <xdr:col>2</xdr:col>
      <xdr:colOff>800100</xdr:colOff>
      <xdr:row>627</xdr:row>
      <xdr:rowOff>800100</xdr:rowOff>
    </xdr:to>
    <xdr:pic>
      <xdr:nvPicPr>
        <xdr:cNvPr id="1479" name="Picture 455" descr=""/>
        <xdr:cNvPicPr>
          <a:picLocks noChangeAspect="1" noChangeArrowheads="1"/>
        </xdr:cNvPicPr>
      </xdr:nvPicPr>
      <xdr:blipFill>
        <a:blip r:embed="R8d63ca02e86542ef" cstate="print"/>
        <a:srcRect/>
        <a:stretch>
          <a:fillRect/>
        </a:stretch>
      </xdr:blipFill>
      <xdr:spPr bwMode="auto">
        <a:xfrm>
          <a:off x="0" y="0"/>
          <a:ext cx="762000" cy="762000"/>
        </a:xfrm>
        <a:prstGeom prst="rect">
          <a:avLst/>
        </a:prstGeom>
        <a:noFill/>
      </xdr:spPr>
    </xdr:pic>
    <xdr:clientData/>
  </xdr:twoCellAnchor>
  <xdr:twoCellAnchor editAs="oneCell">
    <xdr:from>
      <xdr:col>2</xdr:col>
      <xdr:colOff>38100</xdr:colOff>
      <xdr:row>628</xdr:row>
      <xdr:rowOff>38100</xdr:rowOff>
    </xdr:from>
    <xdr:to>
      <xdr:col>2</xdr:col>
      <xdr:colOff>769620</xdr:colOff>
      <xdr:row>628</xdr:row>
      <xdr:rowOff>684276</xdr:rowOff>
    </xdr:to>
    <xdr:pic>
      <xdr:nvPicPr>
        <xdr:cNvPr id="1480" name="Picture 456" descr=""/>
        <xdr:cNvPicPr>
          <a:picLocks noChangeAspect="1" noChangeArrowheads="1"/>
        </xdr:cNvPicPr>
      </xdr:nvPicPr>
      <xdr:blipFill>
        <a:blip r:embed="R600008855b67430a" cstate="print"/>
        <a:srcRect/>
        <a:stretch>
          <a:fillRect/>
        </a:stretch>
      </xdr:blipFill>
      <xdr:spPr bwMode="auto">
        <a:xfrm>
          <a:off x="0" y="0"/>
          <a:ext cx="731520" cy="646176"/>
        </a:xfrm>
        <a:prstGeom prst="rect">
          <a:avLst/>
        </a:prstGeom>
        <a:noFill/>
      </xdr:spPr>
    </xdr:pic>
    <xdr:clientData/>
  </xdr:twoCellAnchor>
  <xdr:twoCellAnchor editAs="oneCell">
    <xdr:from>
      <xdr:col>2</xdr:col>
      <xdr:colOff>38100</xdr:colOff>
      <xdr:row>629</xdr:row>
      <xdr:rowOff>38100</xdr:rowOff>
    </xdr:from>
    <xdr:to>
      <xdr:col>2</xdr:col>
      <xdr:colOff>403860</xdr:colOff>
      <xdr:row>629</xdr:row>
      <xdr:rowOff>403860</xdr:rowOff>
    </xdr:to>
    <xdr:pic>
      <xdr:nvPicPr>
        <xdr:cNvPr id="1481" name="Picture 457" descr=""/>
        <xdr:cNvPicPr>
          <a:picLocks noChangeAspect="1" noChangeArrowheads="1"/>
        </xdr:cNvPicPr>
      </xdr:nvPicPr>
      <xdr:blipFill>
        <a:blip r:embed="R1db8b575bc654561"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630</xdr:row>
      <xdr:rowOff>38100</xdr:rowOff>
    </xdr:from>
    <xdr:to>
      <xdr:col>2</xdr:col>
      <xdr:colOff>1181100</xdr:colOff>
      <xdr:row>630</xdr:row>
      <xdr:rowOff>1152525</xdr:rowOff>
    </xdr:to>
    <xdr:pic>
      <xdr:nvPicPr>
        <xdr:cNvPr id="1482" name="Picture 458" descr=""/>
        <xdr:cNvPicPr>
          <a:picLocks noChangeAspect="1" noChangeArrowheads="1"/>
        </xdr:cNvPicPr>
      </xdr:nvPicPr>
      <xdr:blipFill>
        <a:blip r:embed="Re98acce3fc2d4d1a" cstate="print"/>
        <a:srcRect/>
        <a:stretch>
          <a:fillRect/>
        </a:stretch>
      </xdr:blipFill>
      <xdr:spPr bwMode="auto">
        <a:xfrm>
          <a:off x="0" y="0"/>
          <a:ext cx="1143000" cy="1114425"/>
        </a:xfrm>
        <a:prstGeom prst="rect">
          <a:avLst/>
        </a:prstGeom>
        <a:noFill/>
      </xdr:spPr>
    </xdr:pic>
    <xdr:clientData/>
  </xdr:twoCellAnchor>
  <xdr:twoCellAnchor editAs="oneCell">
    <xdr:from>
      <xdr:col>2</xdr:col>
      <xdr:colOff>38100</xdr:colOff>
      <xdr:row>631</xdr:row>
      <xdr:rowOff>38100</xdr:rowOff>
    </xdr:from>
    <xdr:to>
      <xdr:col>2</xdr:col>
      <xdr:colOff>1181100</xdr:colOff>
      <xdr:row>631</xdr:row>
      <xdr:rowOff>1181100</xdr:rowOff>
    </xdr:to>
    <xdr:pic>
      <xdr:nvPicPr>
        <xdr:cNvPr id="1483" name="Picture 459" descr=""/>
        <xdr:cNvPicPr>
          <a:picLocks noChangeAspect="1" noChangeArrowheads="1"/>
        </xdr:cNvPicPr>
      </xdr:nvPicPr>
      <xdr:blipFill>
        <a:blip r:embed="R638cf65cf3034f5d"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633</xdr:row>
      <xdr:rowOff>38100</xdr:rowOff>
    </xdr:from>
    <xdr:to>
      <xdr:col>2</xdr:col>
      <xdr:colOff>1104900</xdr:colOff>
      <xdr:row>633</xdr:row>
      <xdr:rowOff>1181100</xdr:rowOff>
    </xdr:to>
    <xdr:pic>
      <xdr:nvPicPr>
        <xdr:cNvPr id="1484" name="Picture 460" descr=""/>
        <xdr:cNvPicPr>
          <a:picLocks noChangeAspect="1" noChangeArrowheads="1"/>
        </xdr:cNvPicPr>
      </xdr:nvPicPr>
      <xdr:blipFill>
        <a:blip r:embed="Rc21c57bf4e144dbb" cstate="print"/>
        <a:srcRect/>
        <a:stretch>
          <a:fillRect/>
        </a:stretch>
      </xdr:blipFill>
      <xdr:spPr bwMode="auto">
        <a:xfrm>
          <a:off x="0" y="0"/>
          <a:ext cx="1066800" cy="1143000"/>
        </a:xfrm>
        <a:prstGeom prst="rect">
          <a:avLst/>
        </a:prstGeom>
        <a:noFill/>
      </xdr:spPr>
    </xdr:pic>
    <xdr:clientData/>
  </xdr:twoCellAnchor>
  <xdr:twoCellAnchor editAs="oneCell">
    <xdr:from>
      <xdr:col>2</xdr:col>
      <xdr:colOff>38100</xdr:colOff>
      <xdr:row>634</xdr:row>
      <xdr:rowOff>38100</xdr:rowOff>
    </xdr:from>
    <xdr:to>
      <xdr:col>2</xdr:col>
      <xdr:colOff>1181100</xdr:colOff>
      <xdr:row>634</xdr:row>
      <xdr:rowOff>1152525</xdr:rowOff>
    </xdr:to>
    <xdr:pic>
      <xdr:nvPicPr>
        <xdr:cNvPr id="1485" name="Picture 461" descr=""/>
        <xdr:cNvPicPr>
          <a:picLocks noChangeAspect="1" noChangeArrowheads="1"/>
        </xdr:cNvPicPr>
      </xdr:nvPicPr>
      <xdr:blipFill>
        <a:blip r:embed="R386476fb947a4f20" cstate="print"/>
        <a:srcRect/>
        <a:stretch>
          <a:fillRect/>
        </a:stretch>
      </xdr:blipFill>
      <xdr:spPr bwMode="auto">
        <a:xfrm>
          <a:off x="0" y="0"/>
          <a:ext cx="1143000" cy="1114425"/>
        </a:xfrm>
        <a:prstGeom prst="rect">
          <a:avLst/>
        </a:prstGeom>
        <a:noFill/>
      </xdr:spPr>
    </xdr:pic>
    <xdr:clientData/>
  </xdr:twoCellAnchor>
  <xdr:twoCellAnchor editAs="oneCell">
    <xdr:from>
      <xdr:col>2</xdr:col>
      <xdr:colOff>38100</xdr:colOff>
      <xdr:row>635</xdr:row>
      <xdr:rowOff>38100</xdr:rowOff>
    </xdr:from>
    <xdr:to>
      <xdr:col>2</xdr:col>
      <xdr:colOff>1181100</xdr:colOff>
      <xdr:row>635</xdr:row>
      <xdr:rowOff>676275</xdr:rowOff>
    </xdr:to>
    <xdr:pic>
      <xdr:nvPicPr>
        <xdr:cNvPr id="1486" name="Picture 462" descr=""/>
        <xdr:cNvPicPr>
          <a:picLocks noChangeAspect="1" noChangeArrowheads="1"/>
        </xdr:cNvPicPr>
      </xdr:nvPicPr>
      <xdr:blipFill>
        <a:blip r:embed="R8aacec7ec1234e75" cstate="print"/>
        <a:srcRect/>
        <a:stretch>
          <a:fillRect/>
        </a:stretch>
      </xdr:blipFill>
      <xdr:spPr bwMode="auto">
        <a:xfrm>
          <a:off x="0" y="0"/>
          <a:ext cx="1143000" cy="638175"/>
        </a:xfrm>
        <a:prstGeom prst="rect">
          <a:avLst/>
        </a:prstGeom>
        <a:noFill/>
      </xdr:spPr>
    </xdr:pic>
    <xdr:clientData/>
  </xdr:twoCellAnchor>
  <xdr:twoCellAnchor editAs="oneCell">
    <xdr:from>
      <xdr:col>2</xdr:col>
      <xdr:colOff>38100</xdr:colOff>
      <xdr:row>636</xdr:row>
      <xdr:rowOff>38100</xdr:rowOff>
    </xdr:from>
    <xdr:to>
      <xdr:col>2</xdr:col>
      <xdr:colOff>1181100</xdr:colOff>
      <xdr:row>636</xdr:row>
      <xdr:rowOff>866775</xdr:rowOff>
    </xdr:to>
    <xdr:pic>
      <xdr:nvPicPr>
        <xdr:cNvPr id="1487" name="Picture 463" descr=""/>
        <xdr:cNvPicPr>
          <a:picLocks noChangeAspect="1" noChangeArrowheads="1"/>
        </xdr:cNvPicPr>
      </xdr:nvPicPr>
      <xdr:blipFill>
        <a:blip r:embed="Re5c53b86aec24e88" cstate="print"/>
        <a:srcRect/>
        <a:stretch>
          <a:fillRect/>
        </a:stretch>
      </xdr:blipFill>
      <xdr:spPr bwMode="auto">
        <a:xfrm>
          <a:off x="0" y="0"/>
          <a:ext cx="1143000" cy="828675"/>
        </a:xfrm>
        <a:prstGeom prst="rect">
          <a:avLst/>
        </a:prstGeom>
        <a:noFill/>
      </xdr:spPr>
    </xdr:pic>
    <xdr:clientData/>
  </xdr:twoCellAnchor>
  <xdr:twoCellAnchor editAs="oneCell">
    <xdr:from>
      <xdr:col>2</xdr:col>
      <xdr:colOff>38100</xdr:colOff>
      <xdr:row>638</xdr:row>
      <xdr:rowOff>38100</xdr:rowOff>
    </xdr:from>
    <xdr:to>
      <xdr:col>2</xdr:col>
      <xdr:colOff>1181100</xdr:colOff>
      <xdr:row>638</xdr:row>
      <xdr:rowOff>942975</xdr:rowOff>
    </xdr:to>
    <xdr:pic>
      <xdr:nvPicPr>
        <xdr:cNvPr id="1488" name="Picture 464" descr=""/>
        <xdr:cNvPicPr>
          <a:picLocks noChangeAspect="1" noChangeArrowheads="1"/>
        </xdr:cNvPicPr>
      </xdr:nvPicPr>
      <xdr:blipFill>
        <a:blip r:embed="Re6a0bff6c0714f33" cstate="print"/>
        <a:srcRect/>
        <a:stretch>
          <a:fillRect/>
        </a:stretch>
      </xdr:blipFill>
      <xdr:spPr bwMode="auto">
        <a:xfrm>
          <a:off x="0" y="0"/>
          <a:ext cx="1143000" cy="904875"/>
        </a:xfrm>
        <a:prstGeom prst="rect">
          <a:avLst/>
        </a:prstGeom>
        <a:noFill/>
      </xdr:spPr>
    </xdr:pic>
    <xdr:clientData/>
  </xdr:twoCellAnchor>
  <xdr:twoCellAnchor editAs="oneCell">
    <xdr:from>
      <xdr:col>2</xdr:col>
      <xdr:colOff>38100</xdr:colOff>
      <xdr:row>639</xdr:row>
      <xdr:rowOff>38100</xdr:rowOff>
    </xdr:from>
    <xdr:to>
      <xdr:col>2</xdr:col>
      <xdr:colOff>769620</xdr:colOff>
      <xdr:row>639</xdr:row>
      <xdr:rowOff>458724</xdr:rowOff>
    </xdr:to>
    <xdr:pic>
      <xdr:nvPicPr>
        <xdr:cNvPr id="1489" name="Picture 465" descr=""/>
        <xdr:cNvPicPr>
          <a:picLocks noChangeAspect="1" noChangeArrowheads="1"/>
        </xdr:cNvPicPr>
      </xdr:nvPicPr>
      <xdr:blipFill>
        <a:blip r:embed="R146c8559d295416f" cstate="print"/>
        <a:srcRect/>
        <a:stretch>
          <a:fillRect/>
        </a:stretch>
      </xdr:blipFill>
      <xdr:spPr bwMode="auto">
        <a:xfrm>
          <a:off x="0" y="0"/>
          <a:ext cx="731520" cy="420624"/>
        </a:xfrm>
        <a:prstGeom prst="rect">
          <a:avLst/>
        </a:prstGeom>
        <a:noFill/>
      </xdr:spPr>
    </xdr:pic>
    <xdr:clientData/>
  </xdr:twoCellAnchor>
  <xdr:twoCellAnchor editAs="oneCell">
    <xdr:from>
      <xdr:col>2</xdr:col>
      <xdr:colOff>38100</xdr:colOff>
      <xdr:row>641</xdr:row>
      <xdr:rowOff>38100</xdr:rowOff>
    </xdr:from>
    <xdr:to>
      <xdr:col>2</xdr:col>
      <xdr:colOff>1562100</xdr:colOff>
      <xdr:row>641</xdr:row>
      <xdr:rowOff>1562100</xdr:rowOff>
    </xdr:to>
    <xdr:pic>
      <xdr:nvPicPr>
        <xdr:cNvPr id="1490" name="Picture 466" descr=""/>
        <xdr:cNvPicPr>
          <a:picLocks noChangeAspect="1" noChangeArrowheads="1"/>
        </xdr:cNvPicPr>
      </xdr:nvPicPr>
      <xdr:blipFill>
        <a:blip r:embed="R7f8399036306417f"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642</xdr:row>
      <xdr:rowOff>38100</xdr:rowOff>
    </xdr:from>
    <xdr:to>
      <xdr:col>2</xdr:col>
      <xdr:colOff>1181100</xdr:colOff>
      <xdr:row>642</xdr:row>
      <xdr:rowOff>1181100</xdr:rowOff>
    </xdr:to>
    <xdr:pic>
      <xdr:nvPicPr>
        <xdr:cNvPr id="1491" name="Picture 467" descr=""/>
        <xdr:cNvPicPr>
          <a:picLocks noChangeAspect="1" noChangeArrowheads="1"/>
        </xdr:cNvPicPr>
      </xdr:nvPicPr>
      <xdr:blipFill>
        <a:blip r:embed="R4d77d453b33b455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643</xdr:row>
      <xdr:rowOff>38100</xdr:rowOff>
    </xdr:from>
    <xdr:to>
      <xdr:col>2</xdr:col>
      <xdr:colOff>1181100</xdr:colOff>
      <xdr:row>643</xdr:row>
      <xdr:rowOff>1019175</xdr:rowOff>
    </xdr:to>
    <xdr:pic>
      <xdr:nvPicPr>
        <xdr:cNvPr id="1492" name="Picture 468" descr=""/>
        <xdr:cNvPicPr>
          <a:picLocks noChangeAspect="1" noChangeArrowheads="1"/>
        </xdr:cNvPicPr>
      </xdr:nvPicPr>
      <xdr:blipFill>
        <a:blip r:embed="Rf0e223cda92845c7" cstate="print"/>
        <a:srcRect/>
        <a:stretch>
          <a:fillRect/>
        </a:stretch>
      </xdr:blipFill>
      <xdr:spPr bwMode="auto">
        <a:xfrm>
          <a:off x="0" y="0"/>
          <a:ext cx="1143000" cy="981075"/>
        </a:xfrm>
        <a:prstGeom prst="rect">
          <a:avLst/>
        </a:prstGeom>
        <a:noFill/>
      </xdr:spPr>
    </xdr:pic>
    <xdr:clientData/>
  </xdr:twoCellAnchor>
  <xdr:twoCellAnchor editAs="oneCell">
    <xdr:from>
      <xdr:col>2</xdr:col>
      <xdr:colOff>38100</xdr:colOff>
      <xdr:row>644</xdr:row>
      <xdr:rowOff>38100</xdr:rowOff>
    </xdr:from>
    <xdr:to>
      <xdr:col>2</xdr:col>
      <xdr:colOff>769620</xdr:colOff>
      <xdr:row>644</xdr:row>
      <xdr:rowOff>605028</xdr:rowOff>
    </xdr:to>
    <xdr:pic>
      <xdr:nvPicPr>
        <xdr:cNvPr id="1493" name="Picture 469" descr=""/>
        <xdr:cNvPicPr>
          <a:picLocks noChangeAspect="1" noChangeArrowheads="1"/>
        </xdr:cNvPicPr>
      </xdr:nvPicPr>
      <xdr:blipFill>
        <a:blip r:embed="R8688b66a251544cc" cstate="print"/>
        <a:srcRect/>
        <a:stretch>
          <a:fillRect/>
        </a:stretch>
      </xdr:blipFill>
      <xdr:spPr bwMode="auto">
        <a:xfrm>
          <a:off x="0" y="0"/>
          <a:ext cx="731520" cy="566928"/>
        </a:xfrm>
        <a:prstGeom prst="rect">
          <a:avLst/>
        </a:prstGeom>
        <a:noFill/>
      </xdr:spPr>
    </xdr:pic>
    <xdr:clientData/>
  </xdr:twoCellAnchor>
  <xdr:twoCellAnchor editAs="oneCell">
    <xdr:from>
      <xdr:col>2</xdr:col>
      <xdr:colOff>38100</xdr:colOff>
      <xdr:row>645</xdr:row>
      <xdr:rowOff>38100</xdr:rowOff>
    </xdr:from>
    <xdr:to>
      <xdr:col>2</xdr:col>
      <xdr:colOff>403860</xdr:colOff>
      <xdr:row>645</xdr:row>
      <xdr:rowOff>150876</xdr:rowOff>
    </xdr:to>
    <xdr:pic>
      <xdr:nvPicPr>
        <xdr:cNvPr id="1494" name="Picture 470" descr=""/>
        <xdr:cNvPicPr>
          <a:picLocks noChangeAspect="1" noChangeArrowheads="1"/>
        </xdr:cNvPicPr>
      </xdr:nvPicPr>
      <xdr:blipFill>
        <a:blip r:embed="R75ccbcb0f0714cfc" cstate="print"/>
        <a:srcRect/>
        <a:stretch>
          <a:fillRect/>
        </a:stretch>
      </xdr:blipFill>
      <xdr:spPr bwMode="auto">
        <a:xfrm>
          <a:off x="0" y="0"/>
          <a:ext cx="365760" cy="112776"/>
        </a:xfrm>
        <a:prstGeom prst="rect">
          <a:avLst/>
        </a:prstGeom>
        <a:noFill/>
      </xdr:spPr>
    </xdr:pic>
    <xdr:clientData/>
  </xdr:twoCellAnchor>
  <xdr:twoCellAnchor editAs="oneCell">
    <xdr:from>
      <xdr:col>2</xdr:col>
      <xdr:colOff>38100</xdr:colOff>
      <xdr:row>648</xdr:row>
      <xdr:rowOff>38100</xdr:rowOff>
    </xdr:from>
    <xdr:to>
      <xdr:col>2</xdr:col>
      <xdr:colOff>1555226</xdr:colOff>
      <xdr:row>648</xdr:row>
      <xdr:rowOff>1580940</xdr:rowOff>
    </xdr:to>
    <xdr:pic>
      <xdr:nvPicPr>
        <xdr:cNvPr id="1495" name="Picture 471" descr=""/>
        <xdr:cNvPicPr>
          <a:picLocks noChangeAspect="1" noChangeArrowheads="1"/>
        </xdr:cNvPicPr>
      </xdr:nvPicPr>
      <xdr:blipFill>
        <a:blip r:embed="R7f21dc37d34c4621" cstate="print"/>
        <a:srcRect/>
        <a:stretch>
          <a:fillRect/>
        </a:stretch>
      </xdr:blipFill>
      <xdr:spPr bwMode="auto">
        <a:xfrm>
          <a:off x="0" y="0"/>
          <a:ext cx="1517126" cy="1542840"/>
        </a:xfrm>
        <a:prstGeom prst="rect">
          <a:avLst/>
        </a:prstGeom>
        <a:noFill/>
      </xdr:spPr>
    </xdr:pic>
    <xdr:clientData/>
  </xdr:twoCellAnchor>
  <xdr:twoCellAnchor editAs="oneCell">
    <xdr:from>
      <xdr:col>2</xdr:col>
      <xdr:colOff>38100</xdr:colOff>
      <xdr:row>650</xdr:row>
      <xdr:rowOff>38100</xdr:rowOff>
    </xdr:from>
    <xdr:to>
      <xdr:col>2</xdr:col>
      <xdr:colOff>1181100</xdr:colOff>
      <xdr:row>650</xdr:row>
      <xdr:rowOff>1181100</xdr:rowOff>
    </xdr:to>
    <xdr:pic>
      <xdr:nvPicPr>
        <xdr:cNvPr id="1496" name="Picture 472" descr=""/>
        <xdr:cNvPicPr>
          <a:picLocks noChangeAspect="1" noChangeArrowheads="1"/>
        </xdr:cNvPicPr>
      </xdr:nvPicPr>
      <xdr:blipFill>
        <a:blip r:embed="R7738f9d91f584efa"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651</xdr:row>
      <xdr:rowOff>38100</xdr:rowOff>
    </xdr:from>
    <xdr:to>
      <xdr:col>2</xdr:col>
      <xdr:colOff>1181100</xdr:colOff>
      <xdr:row>651</xdr:row>
      <xdr:rowOff>1181100</xdr:rowOff>
    </xdr:to>
    <xdr:pic>
      <xdr:nvPicPr>
        <xdr:cNvPr id="1497" name="Picture 473" descr=""/>
        <xdr:cNvPicPr>
          <a:picLocks noChangeAspect="1" noChangeArrowheads="1"/>
        </xdr:cNvPicPr>
      </xdr:nvPicPr>
      <xdr:blipFill>
        <a:blip r:embed="R8775e5dcf97b430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654</xdr:row>
      <xdr:rowOff>38100</xdr:rowOff>
    </xdr:from>
    <xdr:to>
      <xdr:col>2</xdr:col>
      <xdr:colOff>1181100</xdr:colOff>
      <xdr:row>654</xdr:row>
      <xdr:rowOff>1057275</xdr:rowOff>
    </xdr:to>
    <xdr:pic>
      <xdr:nvPicPr>
        <xdr:cNvPr id="1498" name="Picture 474" descr=""/>
        <xdr:cNvPicPr>
          <a:picLocks noChangeAspect="1" noChangeArrowheads="1"/>
        </xdr:cNvPicPr>
      </xdr:nvPicPr>
      <xdr:blipFill>
        <a:blip r:embed="R280e8f687b2948e0" cstate="print"/>
        <a:srcRect/>
        <a:stretch>
          <a:fillRect/>
        </a:stretch>
      </xdr:blipFill>
      <xdr:spPr bwMode="auto">
        <a:xfrm>
          <a:off x="0" y="0"/>
          <a:ext cx="1143000" cy="1019175"/>
        </a:xfrm>
        <a:prstGeom prst="rect">
          <a:avLst/>
        </a:prstGeom>
        <a:noFill/>
      </xdr:spPr>
    </xdr:pic>
    <xdr:clientData/>
  </xdr:twoCellAnchor>
  <xdr:twoCellAnchor editAs="oneCell">
    <xdr:from>
      <xdr:col>2</xdr:col>
      <xdr:colOff>38100</xdr:colOff>
      <xdr:row>655</xdr:row>
      <xdr:rowOff>38100</xdr:rowOff>
    </xdr:from>
    <xdr:to>
      <xdr:col>2</xdr:col>
      <xdr:colOff>1114425</xdr:colOff>
      <xdr:row>655</xdr:row>
      <xdr:rowOff>1181100</xdr:rowOff>
    </xdr:to>
    <xdr:pic>
      <xdr:nvPicPr>
        <xdr:cNvPr id="1499" name="Picture 475" descr=""/>
        <xdr:cNvPicPr>
          <a:picLocks noChangeAspect="1" noChangeArrowheads="1"/>
        </xdr:cNvPicPr>
      </xdr:nvPicPr>
      <xdr:blipFill>
        <a:blip r:embed="Rec21a31f2a8c41c6" cstate="print"/>
        <a:srcRect/>
        <a:stretch>
          <a:fillRect/>
        </a:stretch>
      </xdr:blipFill>
      <xdr:spPr bwMode="auto">
        <a:xfrm>
          <a:off x="0" y="0"/>
          <a:ext cx="1076325" cy="1143000"/>
        </a:xfrm>
        <a:prstGeom prst="rect">
          <a:avLst/>
        </a:prstGeom>
        <a:noFill/>
      </xdr:spPr>
    </xdr:pic>
    <xdr:clientData/>
  </xdr:twoCellAnchor>
  <xdr:twoCellAnchor editAs="oneCell">
    <xdr:from>
      <xdr:col>2</xdr:col>
      <xdr:colOff>38100</xdr:colOff>
      <xdr:row>656</xdr:row>
      <xdr:rowOff>38100</xdr:rowOff>
    </xdr:from>
    <xdr:to>
      <xdr:col>2</xdr:col>
      <xdr:colOff>1181100</xdr:colOff>
      <xdr:row>656</xdr:row>
      <xdr:rowOff>1181100</xdr:rowOff>
    </xdr:to>
    <xdr:pic>
      <xdr:nvPicPr>
        <xdr:cNvPr id="1500" name="Picture 476" descr=""/>
        <xdr:cNvPicPr>
          <a:picLocks noChangeAspect="1" noChangeArrowheads="1"/>
        </xdr:cNvPicPr>
      </xdr:nvPicPr>
      <xdr:blipFill>
        <a:blip r:embed="Rf7c580a63ee04f5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657</xdr:row>
      <xdr:rowOff>38100</xdr:rowOff>
    </xdr:from>
    <xdr:to>
      <xdr:col>2</xdr:col>
      <xdr:colOff>1562100</xdr:colOff>
      <xdr:row>657</xdr:row>
      <xdr:rowOff>1092200</xdr:rowOff>
    </xdr:to>
    <xdr:pic>
      <xdr:nvPicPr>
        <xdr:cNvPr id="1501" name="Picture 477" descr=""/>
        <xdr:cNvPicPr>
          <a:picLocks noChangeAspect="1" noChangeArrowheads="1"/>
        </xdr:cNvPicPr>
      </xdr:nvPicPr>
      <xdr:blipFill>
        <a:blip r:embed="R9d7c1a2abe254df5" cstate="print"/>
        <a:srcRect/>
        <a:stretch>
          <a:fillRect/>
        </a:stretch>
      </xdr:blipFill>
      <xdr:spPr bwMode="auto">
        <a:xfrm>
          <a:off x="0" y="0"/>
          <a:ext cx="1524000" cy="1054100"/>
        </a:xfrm>
        <a:prstGeom prst="rect">
          <a:avLst/>
        </a:prstGeom>
        <a:noFill/>
      </xdr:spPr>
    </xdr:pic>
    <xdr:clientData/>
  </xdr:twoCellAnchor>
  <xdr:twoCellAnchor editAs="oneCell">
    <xdr:from>
      <xdr:col>2</xdr:col>
      <xdr:colOff>38100</xdr:colOff>
      <xdr:row>658</xdr:row>
      <xdr:rowOff>38100</xdr:rowOff>
    </xdr:from>
    <xdr:to>
      <xdr:col>2</xdr:col>
      <xdr:colOff>1181100</xdr:colOff>
      <xdr:row>658</xdr:row>
      <xdr:rowOff>990600</xdr:rowOff>
    </xdr:to>
    <xdr:pic>
      <xdr:nvPicPr>
        <xdr:cNvPr id="1502" name="Picture 478" descr=""/>
        <xdr:cNvPicPr>
          <a:picLocks noChangeAspect="1" noChangeArrowheads="1"/>
        </xdr:cNvPicPr>
      </xdr:nvPicPr>
      <xdr:blipFill>
        <a:blip r:embed="Rfded48103dfb485f" cstate="print"/>
        <a:srcRect/>
        <a:stretch>
          <a:fillRect/>
        </a:stretch>
      </xdr:blipFill>
      <xdr:spPr bwMode="auto">
        <a:xfrm>
          <a:off x="0" y="0"/>
          <a:ext cx="1143000" cy="952500"/>
        </a:xfrm>
        <a:prstGeom prst="rect">
          <a:avLst/>
        </a:prstGeom>
        <a:noFill/>
      </xdr:spPr>
    </xdr:pic>
    <xdr:clientData/>
  </xdr:twoCellAnchor>
  <xdr:twoCellAnchor editAs="oneCell">
    <xdr:from>
      <xdr:col>2</xdr:col>
      <xdr:colOff>38100</xdr:colOff>
      <xdr:row>659</xdr:row>
      <xdr:rowOff>38100</xdr:rowOff>
    </xdr:from>
    <xdr:to>
      <xdr:col>2</xdr:col>
      <xdr:colOff>1181100</xdr:colOff>
      <xdr:row>659</xdr:row>
      <xdr:rowOff>838200</xdr:rowOff>
    </xdr:to>
    <xdr:pic>
      <xdr:nvPicPr>
        <xdr:cNvPr id="1503" name="Picture 479" descr=""/>
        <xdr:cNvPicPr>
          <a:picLocks noChangeAspect="1" noChangeArrowheads="1"/>
        </xdr:cNvPicPr>
      </xdr:nvPicPr>
      <xdr:blipFill>
        <a:blip r:embed="Rc679a38588cc406e" cstate="print"/>
        <a:srcRect/>
        <a:stretch>
          <a:fillRect/>
        </a:stretch>
      </xdr:blipFill>
      <xdr:spPr bwMode="auto">
        <a:xfrm>
          <a:off x="0" y="0"/>
          <a:ext cx="1143000" cy="800100"/>
        </a:xfrm>
        <a:prstGeom prst="rect">
          <a:avLst/>
        </a:prstGeom>
        <a:noFill/>
      </xdr:spPr>
    </xdr:pic>
    <xdr:clientData/>
  </xdr:twoCellAnchor>
  <xdr:twoCellAnchor editAs="oneCell">
    <xdr:from>
      <xdr:col>2</xdr:col>
      <xdr:colOff>38100</xdr:colOff>
      <xdr:row>660</xdr:row>
      <xdr:rowOff>38100</xdr:rowOff>
    </xdr:from>
    <xdr:to>
      <xdr:col>2</xdr:col>
      <xdr:colOff>800100</xdr:colOff>
      <xdr:row>660</xdr:row>
      <xdr:rowOff>628650</xdr:rowOff>
    </xdr:to>
    <xdr:pic>
      <xdr:nvPicPr>
        <xdr:cNvPr id="1504" name="Picture 480" descr=""/>
        <xdr:cNvPicPr>
          <a:picLocks noChangeAspect="1" noChangeArrowheads="1"/>
        </xdr:cNvPicPr>
      </xdr:nvPicPr>
      <xdr:blipFill>
        <a:blip r:embed="R1d13e39ac72348ad" cstate="print"/>
        <a:srcRect/>
        <a:stretch>
          <a:fillRect/>
        </a:stretch>
      </xdr:blipFill>
      <xdr:spPr bwMode="auto">
        <a:xfrm>
          <a:off x="0" y="0"/>
          <a:ext cx="762000" cy="590550"/>
        </a:xfrm>
        <a:prstGeom prst="rect">
          <a:avLst/>
        </a:prstGeom>
        <a:noFill/>
      </xdr:spPr>
    </xdr:pic>
    <xdr:clientData/>
  </xdr:twoCellAnchor>
  <xdr:twoCellAnchor editAs="oneCell">
    <xdr:from>
      <xdr:col>2</xdr:col>
      <xdr:colOff>38100</xdr:colOff>
      <xdr:row>661</xdr:row>
      <xdr:rowOff>38100</xdr:rowOff>
    </xdr:from>
    <xdr:to>
      <xdr:col>2</xdr:col>
      <xdr:colOff>800100</xdr:colOff>
      <xdr:row>661</xdr:row>
      <xdr:rowOff>800100</xdr:rowOff>
    </xdr:to>
    <xdr:pic>
      <xdr:nvPicPr>
        <xdr:cNvPr id="1505" name="Picture 481" descr=""/>
        <xdr:cNvPicPr>
          <a:picLocks noChangeAspect="1" noChangeArrowheads="1"/>
        </xdr:cNvPicPr>
      </xdr:nvPicPr>
      <xdr:blipFill>
        <a:blip r:embed="R69e7baac19a94632" cstate="print"/>
        <a:srcRect/>
        <a:stretch>
          <a:fillRect/>
        </a:stretch>
      </xdr:blipFill>
      <xdr:spPr bwMode="auto">
        <a:xfrm>
          <a:off x="0" y="0"/>
          <a:ext cx="762000" cy="762000"/>
        </a:xfrm>
        <a:prstGeom prst="rect">
          <a:avLst/>
        </a:prstGeom>
        <a:noFill/>
      </xdr:spPr>
    </xdr:pic>
    <xdr:clientData/>
  </xdr:twoCellAnchor>
  <xdr:twoCellAnchor editAs="oneCell">
    <xdr:from>
      <xdr:col>2</xdr:col>
      <xdr:colOff>38100</xdr:colOff>
      <xdr:row>666</xdr:row>
      <xdr:rowOff>38100</xdr:rowOff>
    </xdr:from>
    <xdr:to>
      <xdr:col>2</xdr:col>
      <xdr:colOff>1181100</xdr:colOff>
      <xdr:row>666</xdr:row>
      <xdr:rowOff>1181100</xdr:rowOff>
    </xdr:to>
    <xdr:pic>
      <xdr:nvPicPr>
        <xdr:cNvPr id="1506" name="Picture 482" descr=""/>
        <xdr:cNvPicPr>
          <a:picLocks noChangeAspect="1" noChangeArrowheads="1"/>
        </xdr:cNvPicPr>
      </xdr:nvPicPr>
      <xdr:blipFill>
        <a:blip r:embed="R6bcb1e4909c94cce"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667</xdr:row>
      <xdr:rowOff>38100</xdr:rowOff>
    </xdr:from>
    <xdr:to>
      <xdr:col>2</xdr:col>
      <xdr:colOff>857250</xdr:colOff>
      <xdr:row>667</xdr:row>
      <xdr:rowOff>1181100</xdr:rowOff>
    </xdr:to>
    <xdr:pic>
      <xdr:nvPicPr>
        <xdr:cNvPr id="1507" name="Picture 483" descr=""/>
        <xdr:cNvPicPr>
          <a:picLocks noChangeAspect="1" noChangeArrowheads="1"/>
        </xdr:cNvPicPr>
      </xdr:nvPicPr>
      <xdr:blipFill>
        <a:blip r:embed="Rc75e4e80d7484421" cstate="print"/>
        <a:srcRect/>
        <a:stretch>
          <a:fillRect/>
        </a:stretch>
      </xdr:blipFill>
      <xdr:spPr bwMode="auto">
        <a:xfrm>
          <a:off x="0" y="0"/>
          <a:ext cx="819150" cy="1143000"/>
        </a:xfrm>
        <a:prstGeom prst="rect">
          <a:avLst/>
        </a:prstGeom>
        <a:noFill/>
      </xdr:spPr>
    </xdr:pic>
    <xdr:clientData/>
  </xdr:twoCellAnchor>
  <xdr:twoCellAnchor editAs="oneCell">
    <xdr:from>
      <xdr:col>2</xdr:col>
      <xdr:colOff>38100</xdr:colOff>
      <xdr:row>668</xdr:row>
      <xdr:rowOff>38100</xdr:rowOff>
    </xdr:from>
    <xdr:to>
      <xdr:col>2</xdr:col>
      <xdr:colOff>770340</xdr:colOff>
      <xdr:row>668</xdr:row>
      <xdr:rowOff>550668</xdr:rowOff>
    </xdr:to>
    <xdr:pic>
      <xdr:nvPicPr>
        <xdr:cNvPr id="1508" name="Picture 484" descr=""/>
        <xdr:cNvPicPr>
          <a:picLocks noChangeAspect="1" noChangeArrowheads="1"/>
        </xdr:cNvPicPr>
      </xdr:nvPicPr>
      <xdr:blipFill>
        <a:blip r:embed="R44f9b1936bfe4cd5" cstate="print"/>
        <a:srcRect/>
        <a:stretch>
          <a:fillRect/>
        </a:stretch>
      </xdr:blipFill>
      <xdr:spPr bwMode="auto">
        <a:xfrm>
          <a:off x="0" y="0"/>
          <a:ext cx="732240" cy="512568"/>
        </a:xfrm>
        <a:prstGeom prst="rect">
          <a:avLst/>
        </a:prstGeom>
        <a:noFill/>
      </xdr:spPr>
    </xdr:pic>
    <xdr:clientData/>
  </xdr:twoCellAnchor>
  <xdr:twoCellAnchor editAs="oneCell">
    <xdr:from>
      <xdr:col>2</xdr:col>
      <xdr:colOff>38100</xdr:colOff>
      <xdr:row>669</xdr:row>
      <xdr:rowOff>38100</xdr:rowOff>
    </xdr:from>
    <xdr:to>
      <xdr:col>2</xdr:col>
      <xdr:colOff>1181100</xdr:colOff>
      <xdr:row>669</xdr:row>
      <xdr:rowOff>1181100</xdr:rowOff>
    </xdr:to>
    <xdr:pic>
      <xdr:nvPicPr>
        <xdr:cNvPr id="1509" name="Picture 485" descr=""/>
        <xdr:cNvPicPr>
          <a:picLocks noChangeAspect="1" noChangeArrowheads="1"/>
        </xdr:cNvPicPr>
      </xdr:nvPicPr>
      <xdr:blipFill>
        <a:blip r:embed="R6008a1c5834b48c4"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670</xdr:row>
      <xdr:rowOff>38100</xdr:rowOff>
    </xdr:from>
    <xdr:to>
      <xdr:col>2</xdr:col>
      <xdr:colOff>382524</xdr:colOff>
      <xdr:row>670</xdr:row>
      <xdr:rowOff>403860</xdr:rowOff>
    </xdr:to>
    <xdr:pic>
      <xdr:nvPicPr>
        <xdr:cNvPr id="1510" name="Picture 486" descr=""/>
        <xdr:cNvPicPr>
          <a:picLocks noChangeAspect="1" noChangeArrowheads="1"/>
        </xdr:cNvPicPr>
      </xdr:nvPicPr>
      <xdr:blipFill>
        <a:blip r:embed="Rdfa74b224c644314" cstate="print"/>
        <a:srcRect/>
        <a:stretch>
          <a:fillRect/>
        </a:stretch>
      </xdr:blipFill>
      <xdr:spPr bwMode="auto">
        <a:xfrm>
          <a:off x="0" y="0"/>
          <a:ext cx="344424" cy="365760"/>
        </a:xfrm>
        <a:prstGeom prst="rect">
          <a:avLst/>
        </a:prstGeom>
        <a:noFill/>
      </xdr:spPr>
    </xdr:pic>
    <xdr:clientData/>
  </xdr:twoCellAnchor>
  <xdr:twoCellAnchor editAs="oneCell">
    <xdr:from>
      <xdr:col>2</xdr:col>
      <xdr:colOff>38100</xdr:colOff>
      <xdr:row>671</xdr:row>
      <xdr:rowOff>38100</xdr:rowOff>
    </xdr:from>
    <xdr:to>
      <xdr:col>2</xdr:col>
      <xdr:colOff>1562100</xdr:colOff>
      <xdr:row>671</xdr:row>
      <xdr:rowOff>1511300</xdr:rowOff>
    </xdr:to>
    <xdr:pic>
      <xdr:nvPicPr>
        <xdr:cNvPr id="1511" name="Picture 487" descr=""/>
        <xdr:cNvPicPr>
          <a:picLocks noChangeAspect="1" noChangeArrowheads="1"/>
        </xdr:cNvPicPr>
      </xdr:nvPicPr>
      <xdr:blipFill>
        <a:blip r:embed="Rc4da78cecb354a98" cstate="print"/>
        <a:srcRect/>
        <a:stretch>
          <a:fillRect/>
        </a:stretch>
      </xdr:blipFill>
      <xdr:spPr bwMode="auto">
        <a:xfrm>
          <a:off x="0" y="0"/>
          <a:ext cx="1524000" cy="1473200"/>
        </a:xfrm>
        <a:prstGeom prst="rect">
          <a:avLst/>
        </a:prstGeom>
        <a:noFill/>
      </xdr:spPr>
    </xdr:pic>
    <xdr:clientData/>
  </xdr:twoCellAnchor>
  <xdr:twoCellAnchor editAs="oneCell">
    <xdr:from>
      <xdr:col>2</xdr:col>
      <xdr:colOff>38100</xdr:colOff>
      <xdr:row>672</xdr:row>
      <xdr:rowOff>38100</xdr:rowOff>
    </xdr:from>
    <xdr:to>
      <xdr:col>2</xdr:col>
      <xdr:colOff>1181100</xdr:colOff>
      <xdr:row>672</xdr:row>
      <xdr:rowOff>904875</xdr:rowOff>
    </xdr:to>
    <xdr:pic>
      <xdr:nvPicPr>
        <xdr:cNvPr id="1512" name="Picture 488" descr=""/>
        <xdr:cNvPicPr>
          <a:picLocks noChangeAspect="1" noChangeArrowheads="1"/>
        </xdr:cNvPicPr>
      </xdr:nvPicPr>
      <xdr:blipFill>
        <a:blip r:embed="R0efdb1b519c046dd" cstate="print"/>
        <a:srcRect/>
        <a:stretch>
          <a:fillRect/>
        </a:stretch>
      </xdr:blipFill>
      <xdr:spPr bwMode="auto">
        <a:xfrm>
          <a:off x="0" y="0"/>
          <a:ext cx="1143000" cy="866775"/>
        </a:xfrm>
        <a:prstGeom prst="rect">
          <a:avLst/>
        </a:prstGeom>
        <a:noFill/>
      </xdr:spPr>
    </xdr:pic>
    <xdr:clientData/>
  </xdr:twoCellAnchor>
  <xdr:twoCellAnchor editAs="oneCell">
    <xdr:from>
      <xdr:col>2</xdr:col>
      <xdr:colOff>38100</xdr:colOff>
      <xdr:row>673</xdr:row>
      <xdr:rowOff>38100</xdr:rowOff>
    </xdr:from>
    <xdr:to>
      <xdr:col>2</xdr:col>
      <xdr:colOff>923925</xdr:colOff>
      <xdr:row>673</xdr:row>
      <xdr:rowOff>1181100</xdr:rowOff>
    </xdr:to>
    <xdr:pic>
      <xdr:nvPicPr>
        <xdr:cNvPr id="1513" name="Picture 489" descr=""/>
        <xdr:cNvPicPr>
          <a:picLocks noChangeAspect="1" noChangeArrowheads="1"/>
        </xdr:cNvPicPr>
      </xdr:nvPicPr>
      <xdr:blipFill>
        <a:blip r:embed="R840b4102aad340e3" cstate="print"/>
        <a:srcRect/>
        <a:stretch>
          <a:fillRect/>
        </a:stretch>
      </xdr:blipFill>
      <xdr:spPr bwMode="auto">
        <a:xfrm>
          <a:off x="0" y="0"/>
          <a:ext cx="885825" cy="1143000"/>
        </a:xfrm>
        <a:prstGeom prst="rect">
          <a:avLst/>
        </a:prstGeom>
        <a:noFill/>
      </xdr:spPr>
    </xdr:pic>
    <xdr:clientData/>
  </xdr:twoCellAnchor>
  <xdr:twoCellAnchor editAs="oneCell">
    <xdr:from>
      <xdr:col>2</xdr:col>
      <xdr:colOff>38100</xdr:colOff>
      <xdr:row>674</xdr:row>
      <xdr:rowOff>38100</xdr:rowOff>
    </xdr:from>
    <xdr:to>
      <xdr:col>2</xdr:col>
      <xdr:colOff>1181100</xdr:colOff>
      <xdr:row>674</xdr:row>
      <xdr:rowOff>676275</xdr:rowOff>
    </xdr:to>
    <xdr:pic>
      <xdr:nvPicPr>
        <xdr:cNvPr id="1514" name="Picture 490" descr=""/>
        <xdr:cNvPicPr>
          <a:picLocks noChangeAspect="1" noChangeArrowheads="1"/>
        </xdr:cNvPicPr>
      </xdr:nvPicPr>
      <xdr:blipFill>
        <a:blip r:embed="Rc3596d882f2a40bf" cstate="print"/>
        <a:srcRect/>
        <a:stretch>
          <a:fillRect/>
        </a:stretch>
      </xdr:blipFill>
      <xdr:spPr bwMode="auto">
        <a:xfrm>
          <a:off x="0" y="0"/>
          <a:ext cx="1143000" cy="638175"/>
        </a:xfrm>
        <a:prstGeom prst="rect">
          <a:avLst/>
        </a:prstGeom>
        <a:noFill/>
      </xdr:spPr>
    </xdr:pic>
    <xdr:clientData/>
  </xdr:twoCellAnchor>
  <xdr:twoCellAnchor editAs="oneCell">
    <xdr:from>
      <xdr:col>2</xdr:col>
      <xdr:colOff>38100</xdr:colOff>
      <xdr:row>675</xdr:row>
      <xdr:rowOff>38100</xdr:rowOff>
    </xdr:from>
    <xdr:to>
      <xdr:col>2</xdr:col>
      <xdr:colOff>1181100</xdr:colOff>
      <xdr:row>675</xdr:row>
      <xdr:rowOff>685800</xdr:rowOff>
    </xdr:to>
    <xdr:pic>
      <xdr:nvPicPr>
        <xdr:cNvPr id="1515" name="Picture 491" descr=""/>
        <xdr:cNvPicPr>
          <a:picLocks noChangeAspect="1" noChangeArrowheads="1"/>
        </xdr:cNvPicPr>
      </xdr:nvPicPr>
      <xdr:blipFill>
        <a:blip r:embed="R44f05cd980ac4561" cstate="print"/>
        <a:srcRect/>
        <a:stretch>
          <a:fillRect/>
        </a:stretch>
      </xdr:blipFill>
      <xdr:spPr bwMode="auto">
        <a:xfrm>
          <a:off x="0" y="0"/>
          <a:ext cx="1143000" cy="647700"/>
        </a:xfrm>
        <a:prstGeom prst="rect">
          <a:avLst/>
        </a:prstGeom>
        <a:noFill/>
      </xdr:spPr>
    </xdr:pic>
    <xdr:clientData/>
  </xdr:twoCellAnchor>
  <xdr:twoCellAnchor editAs="oneCell">
    <xdr:from>
      <xdr:col>2</xdr:col>
      <xdr:colOff>38100</xdr:colOff>
      <xdr:row>676</xdr:row>
      <xdr:rowOff>38100</xdr:rowOff>
    </xdr:from>
    <xdr:to>
      <xdr:col>2</xdr:col>
      <xdr:colOff>1181100</xdr:colOff>
      <xdr:row>676</xdr:row>
      <xdr:rowOff>1181100</xdr:rowOff>
    </xdr:to>
    <xdr:pic>
      <xdr:nvPicPr>
        <xdr:cNvPr id="1516" name="Picture 492" descr=""/>
        <xdr:cNvPicPr>
          <a:picLocks noChangeAspect="1" noChangeArrowheads="1"/>
        </xdr:cNvPicPr>
      </xdr:nvPicPr>
      <xdr:blipFill>
        <a:blip r:embed="R5a782ca2f7ef4c3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678</xdr:row>
      <xdr:rowOff>38100</xdr:rowOff>
    </xdr:from>
    <xdr:to>
      <xdr:col>2</xdr:col>
      <xdr:colOff>1181220</xdr:colOff>
      <xdr:row>678</xdr:row>
      <xdr:rowOff>1114538</xdr:rowOff>
    </xdr:to>
    <xdr:pic>
      <xdr:nvPicPr>
        <xdr:cNvPr id="1517" name="Picture 493" descr=""/>
        <xdr:cNvPicPr>
          <a:picLocks noChangeAspect="1" noChangeArrowheads="1"/>
        </xdr:cNvPicPr>
      </xdr:nvPicPr>
      <xdr:blipFill>
        <a:blip r:embed="Re5e976fd8abf40af" cstate="print"/>
        <a:srcRect/>
        <a:stretch>
          <a:fillRect/>
        </a:stretch>
      </xdr:blipFill>
      <xdr:spPr bwMode="auto">
        <a:xfrm>
          <a:off x="0" y="0"/>
          <a:ext cx="1143120" cy="1076438"/>
        </a:xfrm>
        <a:prstGeom prst="rect">
          <a:avLst/>
        </a:prstGeom>
        <a:noFill/>
      </xdr:spPr>
    </xdr:pic>
    <xdr:clientData/>
  </xdr:twoCellAnchor>
  <xdr:twoCellAnchor editAs="oneCell">
    <xdr:from>
      <xdr:col>2</xdr:col>
      <xdr:colOff>38100</xdr:colOff>
      <xdr:row>679</xdr:row>
      <xdr:rowOff>38100</xdr:rowOff>
    </xdr:from>
    <xdr:to>
      <xdr:col>2</xdr:col>
      <xdr:colOff>1181100</xdr:colOff>
      <xdr:row>679</xdr:row>
      <xdr:rowOff>647700</xdr:rowOff>
    </xdr:to>
    <xdr:pic>
      <xdr:nvPicPr>
        <xdr:cNvPr id="1518" name="Picture 494" descr=""/>
        <xdr:cNvPicPr>
          <a:picLocks noChangeAspect="1" noChangeArrowheads="1"/>
        </xdr:cNvPicPr>
      </xdr:nvPicPr>
      <xdr:blipFill>
        <a:blip r:embed="Rd41add17ca6d4a5a" cstate="print"/>
        <a:srcRect/>
        <a:stretch>
          <a:fillRect/>
        </a:stretch>
      </xdr:blipFill>
      <xdr:spPr bwMode="auto">
        <a:xfrm>
          <a:off x="0" y="0"/>
          <a:ext cx="1143000" cy="609600"/>
        </a:xfrm>
        <a:prstGeom prst="rect">
          <a:avLst/>
        </a:prstGeom>
        <a:noFill/>
      </xdr:spPr>
    </xdr:pic>
    <xdr:clientData/>
  </xdr:twoCellAnchor>
  <xdr:twoCellAnchor editAs="oneCell">
    <xdr:from>
      <xdr:col>2</xdr:col>
      <xdr:colOff>38100</xdr:colOff>
      <xdr:row>681</xdr:row>
      <xdr:rowOff>38100</xdr:rowOff>
    </xdr:from>
    <xdr:to>
      <xdr:col>2</xdr:col>
      <xdr:colOff>1181100</xdr:colOff>
      <xdr:row>681</xdr:row>
      <xdr:rowOff>1181100</xdr:rowOff>
    </xdr:to>
    <xdr:pic>
      <xdr:nvPicPr>
        <xdr:cNvPr id="1519" name="Picture 495" descr=""/>
        <xdr:cNvPicPr>
          <a:picLocks noChangeAspect="1" noChangeArrowheads="1"/>
        </xdr:cNvPicPr>
      </xdr:nvPicPr>
      <xdr:blipFill>
        <a:blip r:embed="R6860c73aa099427b"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682</xdr:row>
      <xdr:rowOff>38100</xdr:rowOff>
    </xdr:from>
    <xdr:to>
      <xdr:col>2</xdr:col>
      <xdr:colOff>952500</xdr:colOff>
      <xdr:row>682</xdr:row>
      <xdr:rowOff>792480</xdr:rowOff>
    </xdr:to>
    <xdr:pic>
      <xdr:nvPicPr>
        <xdr:cNvPr id="1520" name="Picture 496" descr=""/>
        <xdr:cNvPicPr>
          <a:picLocks noChangeAspect="1" noChangeArrowheads="1"/>
        </xdr:cNvPicPr>
      </xdr:nvPicPr>
      <xdr:blipFill>
        <a:blip r:embed="Re0765e8e26944461" cstate="print"/>
        <a:srcRect/>
        <a:stretch>
          <a:fillRect/>
        </a:stretch>
      </xdr:blipFill>
      <xdr:spPr bwMode="auto">
        <a:xfrm>
          <a:off x="0" y="0"/>
          <a:ext cx="914400" cy="754380"/>
        </a:xfrm>
        <a:prstGeom prst="rect">
          <a:avLst/>
        </a:prstGeom>
        <a:noFill/>
      </xdr:spPr>
    </xdr:pic>
    <xdr:clientData/>
  </xdr:twoCellAnchor>
  <xdr:twoCellAnchor editAs="oneCell">
    <xdr:from>
      <xdr:col>2</xdr:col>
      <xdr:colOff>38100</xdr:colOff>
      <xdr:row>683</xdr:row>
      <xdr:rowOff>38100</xdr:rowOff>
    </xdr:from>
    <xdr:to>
      <xdr:col>2</xdr:col>
      <xdr:colOff>403860</xdr:colOff>
      <xdr:row>683</xdr:row>
      <xdr:rowOff>403860</xdr:rowOff>
    </xdr:to>
    <xdr:pic>
      <xdr:nvPicPr>
        <xdr:cNvPr id="1521" name="Picture 497" descr=""/>
        <xdr:cNvPicPr>
          <a:picLocks noChangeAspect="1" noChangeArrowheads="1"/>
        </xdr:cNvPicPr>
      </xdr:nvPicPr>
      <xdr:blipFill>
        <a:blip r:embed="Rc7e49cc04f9a4ef0"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684</xdr:row>
      <xdr:rowOff>38100</xdr:rowOff>
    </xdr:from>
    <xdr:to>
      <xdr:col>2</xdr:col>
      <xdr:colOff>1181100</xdr:colOff>
      <xdr:row>684</xdr:row>
      <xdr:rowOff>1181100</xdr:rowOff>
    </xdr:to>
    <xdr:pic>
      <xdr:nvPicPr>
        <xdr:cNvPr id="1522" name="Picture 498" descr=""/>
        <xdr:cNvPicPr>
          <a:picLocks noChangeAspect="1" noChangeArrowheads="1"/>
        </xdr:cNvPicPr>
      </xdr:nvPicPr>
      <xdr:blipFill>
        <a:blip r:embed="Rb2005bdbf68d447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685</xdr:row>
      <xdr:rowOff>38100</xdr:rowOff>
    </xdr:from>
    <xdr:to>
      <xdr:col>2</xdr:col>
      <xdr:colOff>1181100</xdr:colOff>
      <xdr:row>685</xdr:row>
      <xdr:rowOff>704850</xdr:rowOff>
    </xdr:to>
    <xdr:pic>
      <xdr:nvPicPr>
        <xdr:cNvPr id="1523" name="Picture 499" descr=""/>
        <xdr:cNvPicPr>
          <a:picLocks noChangeAspect="1" noChangeArrowheads="1"/>
        </xdr:cNvPicPr>
      </xdr:nvPicPr>
      <xdr:blipFill>
        <a:blip r:embed="R2d4f9297986e4fd5" cstate="print"/>
        <a:srcRect/>
        <a:stretch>
          <a:fillRect/>
        </a:stretch>
      </xdr:blipFill>
      <xdr:spPr bwMode="auto">
        <a:xfrm>
          <a:off x="0" y="0"/>
          <a:ext cx="1143000" cy="666750"/>
        </a:xfrm>
        <a:prstGeom prst="rect">
          <a:avLst/>
        </a:prstGeom>
        <a:noFill/>
      </xdr:spPr>
    </xdr:pic>
    <xdr:clientData/>
  </xdr:twoCellAnchor>
  <xdr:twoCellAnchor editAs="oneCell">
    <xdr:from>
      <xdr:col>2</xdr:col>
      <xdr:colOff>38100</xdr:colOff>
      <xdr:row>687</xdr:row>
      <xdr:rowOff>38100</xdr:rowOff>
    </xdr:from>
    <xdr:to>
      <xdr:col>2</xdr:col>
      <xdr:colOff>1181100</xdr:colOff>
      <xdr:row>687</xdr:row>
      <xdr:rowOff>847725</xdr:rowOff>
    </xdr:to>
    <xdr:pic>
      <xdr:nvPicPr>
        <xdr:cNvPr id="1524" name="Picture 500" descr=""/>
        <xdr:cNvPicPr>
          <a:picLocks noChangeAspect="1" noChangeArrowheads="1"/>
        </xdr:cNvPicPr>
      </xdr:nvPicPr>
      <xdr:blipFill>
        <a:blip r:embed="R105ab5000b6e458b" cstate="print"/>
        <a:srcRect/>
        <a:stretch>
          <a:fillRect/>
        </a:stretch>
      </xdr:blipFill>
      <xdr:spPr bwMode="auto">
        <a:xfrm>
          <a:off x="0" y="0"/>
          <a:ext cx="1143000" cy="809625"/>
        </a:xfrm>
        <a:prstGeom prst="rect">
          <a:avLst/>
        </a:prstGeom>
        <a:noFill/>
      </xdr:spPr>
    </xdr:pic>
    <xdr:clientData/>
  </xdr:twoCellAnchor>
  <xdr:twoCellAnchor editAs="oneCell">
    <xdr:from>
      <xdr:col>2</xdr:col>
      <xdr:colOff>38100</xdr:colOff>
      <xdr:row>688</xdr:row>
      <xdr:rowOff>38100</xdr:rowOff>
    </xdr:from>
    <xdr:to>
      <xdr:col>2</xdr:col>
      <xdr:colOff>1181100</xdr:colOff>
      <xdr:row>688</xdr:row>
      <xdr:rowOff>1181100</xdr:rowOff>
    </xdr:to>
    <xdr:pic>
      <xdr:nvPicPr>
        <xdr:cNvPr id="1525" name="Picture 501" descr=""/>
        <xdr:cNvPicPr>
          <a:picLocks noChangeAspect="1" noChangeArrowheads="1"/>
        </xdr:cNvPicPr>
      </xdr:nvPicPr>
      <xdr:blipFill>
        <a:blip r:embed="R34d9f68164c4426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689</xdr:row>
      <xdr:rowOff>38100</xdr:rowOff>
    </xdr:from>
    <xdr:to>
      <xdr:col>2</xdr:col>
      <xdr:colOff>419100</xdr:colOff>
      <xdr:row>689</xdr:row>
      <xdr:rowOff>419100</xdr:rowOff>
    </xdr:to>
    <xdr:pic>
      <xdr:nvPicPr>
        <xdr:cNvPr id="1526" name="Picture 502" descr=""/>
        <xdr:cNvPicPr>
          <a:picLocks noChangeAspect="1" noChangeArrowheads="1"/>
        </xdr:cNvPicPr>
      </xdr:nvPicPr>
      <xdr:blipFill>
        <a:blip r:embed="R65c9ffacce534c88" cstate="print"/>
        <a:srcRect/>
        <a:stretch>
          <a:fillRect/>
        </a:stretch>
      </xdr:blipFill>
      <xdr:spPr bwMode="auto">
        <a:xfrm>
          <a:off x="0" y="0"/>
          <a:ext cx="381000" cy="381000"/>
        </a:xfrm>
        <a:prstGeom prst="rect">
          <a:avLst/>
        </a:prstGeom>
        <a:noFill/>
      </xdr:spPr>
    </xdr:pic>
    <xdr:clientData/>
  </xdr:twoCellAnchor>
  <xdr:twoCellAnchor editAs="oneCell">
    <xdr:from>
      <xdr:col>2</xdr:col>
      <xdr:colOff>38100</xdr:colOff>
      <xdr:row>690</xdr:row>
      <xdr:rowOff>38100</xdr:rowOff>
    </xdr:from>
    <xdr:to>
      <xdr:col>2</xdr:col>
      <xdr:colOff>1181100</xdr:colOff>
      <xdr:row>690</xdr:row>
      <xdr:rowOff>1181100</xdr:rowOff>
    </xdr:to>
    <xdr:pic>
      <xdr:nvPicPr>
        <xdr:cNvPr id="1527" name="Picture 503" descr=""/>
        <xdr:cNvPicPr>
          <a:picLocks noChangeAspect="1" noChangeArrowheads="1"/>
        </xdr:cNvPicPr>
      </xdr:nvPicPr>
      <xdr:blipFill>
        <a:blip r:embed="Rbc4676ca4830495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692</xdr:row>
      <xdr:rowOff>38100</xdr:rowOff>
    </xdr:from>
    <xdr:to>
      <xdr:col>2</xdr:col>
      <xdr:colOff>800100</xdr:colOff>
      <xdr:row>692</xdr:row>
      <xdr:rowOff>558800</xdr:rowOff>
    </xdr:to>
    <xdr:pic>
      <xdr:nvPicPr>
        <xdr:cNvPr id="1528" name="Picture 504" descr=""/>
        <xdr:cNvPicPr>
          <a:picLocks noChangeAspect="1" noChangeArrowheads="1"/>
        </xdr:cNvPicPr>
      </xdr:nvPicPr>
      <xdr:blipFill>
        <a:blip r:embed="R69a8a052245b4f5d" cstate="print"/>
        <a:srcRect/>
        <a:stretch>
          <a:fillRect/>
        </a:stretch>
      </xdr:blipFill>
      <xdr:spPr bwMode="auto">
        <a:xfrm>
          <a:off x="0" y="0"/>
          <a:ext cx="762000" cy="520700"/>
        </a:xfrm>
        <a:prstGeom prst="rect">
          <a:avLst/>
        </a:prstGeom>
        <a:noFill/>
      </xdr:spPr>
    </xdr:pic>
    <xdr:clientData/>
  </xdr:twoCellAnchor>
  <xdr:twoCellAnchor editAs="oneCell">
    <xdr:from>
      <xdr:col>2</xdr:col>
      <xdr:colOff>38100</xdr:colOff>
      <xdr:row>696</xdr:row>
      <xdr:rowOff>38100</xdr:rowOff>
    </xdr:from>
    <xdr:to>
      <xdr:col>2</xdr:col>
      <xdr:colOff>403860</xdr:colOff>
      <xdr:row>696</xdr:row>
      <xdr:rowOff>403860</xdr:rowOff>
    </xdr:to>
    <xdr:pic>
      <xdr:nvPicPr>
        <xdr:cNvPr id="1529" name="Picture 505" descr=""/>
        <xdr:cNvPicPr>
          <a:picLocks noChangeAspect="1" noChangeArrowheads="1"/>
        </xdr:cNvPicPr>
      </xdr:nvPicPr>
      <xdr:blipFill>
        <a:blip r:embed="Rea3457bd22c84058"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697</xdr:row>
      <xdr:rowOff>38100</xdr:rowOff>
    </xdr:from>
    <xdr:to>
      <xdr:col>2</xdr:col>
      <xdr:colOff>1181100</xdr:colOff>
      <xdr:row>697</xdr:row>
      <xdr:rowOff>704850</xdr:rowOff>
    </xdr:to>
    <xdr:pic>
      <xdr:nvPicPr>
        <xdr:cNvPr id="1530" name="Picture 506" descr=""/>
        <xdr:cNvPicPr>
          <a:picLocks noChangeAspect="1" noChangeArrowheads="1"/>
        </xdr:cNvPicPr>
      </xdr:nvPicPr>
      <xdr:blipFill>
        <a:blip r:embed="R15e7ad6d43bc4931" cstate="print"/>
        <a:srcRect/>
        <a:stretch>
          <a:fillRect/>
        </a:stretch>
      </xdr:blipFill>
      <xdr:spPr bwMode="auto">
        <a:xfrm>
          <a:off x="0" y="0"/>
          <a:ext cx="1143000" cy="666750"/>
        </a:xfrm>
        <a:prstGeom prst="rect">
          <a:avLst/>
        </a:prstGeom>
        <a:noFill/>
      </xdr:spPr>
    </xdr:pic>
    <xdr:clientData/>
  </xdr:twoCellAnchor>
  <xdr:twoCellAnchor editAs="oneCell">
    <xdr:from>
      <xdr:col>2</xdr:col>
      <xdr:colOff>38100</xdr:colOff>
      <xdr:row>698</xdr:row>
      <xdr:rowOff>38100</xdr:rowOff>
    </xdr:from>
    <xdr:to>
      <xdr:col>2</xdr:col>
      <xdr:colOff>1181100</xdr:colOff>
      <xdr:row>698</xdr:row>
      <xdr:rowOff>1181100</xdr:rowOff>
    </xdr:to>
    <xdr:pic>
      <xdr:nvPicPr>
        <xdr:cNvPr id="1531" name="Picture 507" descr=""/>
        <xdr:cNvPicPr>
          <a:picLocks noChangeAspect="1" noChangeArrowheads="1"/>
        </xdr:cNvPicPr>
      </xdr:nvPicPr>
      <xdr:blipFill>
        <a:blip r:embed="R5092c430acda491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699</xdr:row>
      <xdr:rowOff>38100</xdr:rowOff>
    </xdr:from>
    <xdr:to>
      <xdr:col>2</xdr:col>
      <xdr:colOff>1181100</xdr:colOff>
      <xdr:row>699</xdr:row>
      <xdr:rowOff>1152525</xdr:rowOff>
    </xdr:to>
    <xdr:pic>
      <xdr:nvPicPr>
        <xdr:cNvPr id="1532" name="Picture 508" descr=""/>
        <xdr:cNvPicPr>
          <a:picLocks noChangeAspect="1" noChangeArrowheads="1"/>
        </xdr:cNvPicPr>
      </xdr:nvPicPr>
      <xdr:blipFill>
        <a:blip r:embed="R5180036f18314eb9" cstate="print"/>
        <a:srcRect/>
        <a:stretch>
          <a:fillRect/>
        </a:stretch>
      </xdr:blipFill>
      <xdr:spPr bwMode="auto">
        <a:xfrm>
          <a:off x="0" y="0"/>
          <a:ext cx="1143000" cy="1114425"/>
        </a:xfrm>
        <a:prstGeom prst="rect">
          <a:avLst/>
        </a:prstGeom>
        <a:noFill/>
      </xdr:spPr>
    </xdr:pic>
    <xdr:clientData/>
  </xdr:twoCellAnchor>
  <xdr:twoCellAnchor editAs="oneCell">
    <xdr:from>
      <xdr:col>2</xdr:col>
      <xdr:colOff>38100</xdr:colOff>
      <xdr:row>701</xdr:row>
      <xdr:rowOff>38100</xdr:rowOff>
    </xdr:from>
    <xdr:to>
      <xdr:col>2</xdr:col>
      <xdr:colOff>1181100</xdr:colOff>
      <xdr:row>701</xdr:row>
      <xdr:rowOff>1000125</xdr:rowOff>
    </xdr:to>
    <xdr:pic>
      <xdr:nvPicPr>
        <xdr:cNvPr id="1533" name="Picture 509" descr=""/>
        <xdr:cNvPicPr>
          <a:picLocks noChangeAspect="1" noChangeArrowheads="1"/>
        </xdr:cNvPicPr>
      </xdr:nvPicPr>
      <xdr:blipFill>
        <a:blip r:embed="R345365e1fa99412d" cstate="print"/>
        <a:srcRect/>
        <a:stretch>
          <a:fillRect/>
        </a:stretch>
      </xdr:blipFill>
      <xdr:spPr bwMode="auto">
        <a:xfrm>
          <a:off x="0" y="0"/>
          <a:ext cx="1143000" cy="962025"/>
        </a:xfrm>
        <a:prstGeom prst="rect">
          <a:avLst/>
        </a:prstGeom>
        <a:noFill/>
      </xdr:spPr>
    </xdr:pic>
    <xdr:clientData/>
  </xdr:twoCellAnchor>
  <xdr:twoCellAnchor editAs="oneCell">
    <xdr:from>
      <xdr:col>2</xdr:col>
      <xdr:colOff>38100</xdr:colOff>
      <xdr:row>703</xdr:row>
      <xdr:rowOff>38100</xdr:rowOff>
    </xdr:from>
    <xdr:to>
      <xdr:col>2</xdr:col>
      <xdr:colOff>605028</xdr:colOff>
      <xdr:row>703</xdr:row>
      <xdr:rowOff>769620</xdr:rowOff>
    </xdr:to>
    <xdr:pic>
      <xdr:nvPicPr>
        <xdr:cNvPr id="1534" name="Picture 510" descr=""/>
        <xdr:cNvPicPr>
          <a:picLocks noChangeAspect="1" noChangeArrowheads="1"/>
        </xdr:cNvPicPr>
      </xdr:nvPicPr>
      <xdr:blipFill>
        <a:blip r:embed="R87f94ce3f1c6440a"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704</xdr:row>
      <xdr:rowOff>38100</xdr:rowOff>
    </xdr:from>
    <xdr:to>
      <xdr:col>2</xdr:col>
      <xdr:colOff>1076325</xdr:colOff>
      <xdr:row>704</xdr:row>
      <xdr:rowOff>1181100</xdr:rowOff>
    </xdr:to>
    <xdr:pic>
      <xdr:nvPicPr>
        <xdr:cNvPr id="1535" name="Picture 511" descr=""/>
        <xdr:cNvPicPr>
          <a:picLocks noChangeAspect="1" noChangeArrowheads="1"/>
        </xdr:cNvPicPr>
      </xdr:nvPicPr>
      <xdr:blipFill>
        <a:blip r:embed="Rbb86c932405642a7" cstate="print"/>
        <a:srcRect/>
        <a:stretch>
          <a:fillRect/>
        </a:stretch>
      </xdr:blipFill>
      <xdr:spPr bwMode="auto">
        <a:xfrm>
          <a:off x="0" y="0"/>
          <a:ext cx="1038225" cy="1143000"/>
        </a:xfrm>
        <a:prstGeom prst="rect">
          <a:avLst/>
        </a:prstGeom>
        <a:noFill/>
      </xdr:spPr>
    </xdr:pic>
    <xdr:clientData/>
  </xdr:twoCellAnchor>
  <xdr:twoCellAnchor editAs="oneCell">
    <xdr:from>
      <xdr:col>2</xdr:col>
      <xdr:colOff>38100</xdr:colOff>
      <xdr:row>705</xdr:row>
      <xdr:rowOff>38100</xdr:rowOff>
    </xdr:from>
    <xdr:to>
      <xdr:col>2</xdr:col>
      <xdr:colOff>1205700</xdr:colOff>
      <xdr:row>705</xdr:row>
      <xdr:rowOff>699740</xdr:rowOff>
    </xdr:to>
    <xdr:pic>
      <xdr:nvPicPr>
        <xdr:cNvPr id="1536" name="Picture 512" descr=""/>
        <xdr:cNvPicPr>
          <a:picLocks noChangeAspect="1" noChangeArrowheads="1"/>
        </xdr:cNvPicPr>
      </xdr:nvPicPr>
      <xdr:blipFill>
        <a:blip r:embed="R0c45ae1bcdcc4d52" cstate="print"/>
        <a:srcRect/>
        <a:stretch>
          <a:fillRect/>
        </a:stretch>
      </xdr:blipFill>
      <xdr:spPr bwMode="auto">
        <a:xfrm>
          <a:off x="0" y="0"/>
          <a:ext cx="1167600" cy="661640"/>
        </a:xfrm>
        <a:prstGeom prst="rect">
          <a:avLst/>
        </a:prstGeom>
        <a:noFill/>
      </xdr:spPr>
    </xdr:pic>
    <xdr:clientData/>
  </xdr:twoCellAnchor>
  <xdr:twoCellAnchor editAs="oneCell">
    <xdr:from>
      <xdr:col>2</xdr:col>
      <xdr:colOff>38100</xdr:colOff>
      <xdr:row>707</xdr:row>
      <xdr:rowOff>38100</xdr:rowOff>
    </xdr:from>
    <xdr:to>
      <xdr:col>2</xdr:col>
      <xdr:colOff>861060</xdr:colOff>
      <xdr:row>707</xdr:row>
      <xdr:rowOff>952500</xdr:rowOff>
    </xdr:to>
    <xdr:pic>
      <xdr:nvPicPr>
        <xdr:cNvPr id="1537" name="Picture 513" descr=""/>
        <xdr:cNvPicPr>
          <a:picLocks noChangeAspect="1" noChangeArrowheads="1"/>
        </xdr:cNvPicPr>
      </xdr:nvPicPr>
      <xdr:blipFill>
        <a:blip r:embed="R329c361e0eb444b6" cstate="print"/>
        <a:srcRect/>
        <a:stretch>
          <a:fillRect/>
        </a:stretch>
      </xdr:blipFill>
      <xdr:spPr bwMode="auto">
        <a:xfrm>
          <a:off x="0" y="0"/>
          <a:ext cx="822960" cy="914400"/>
        </a:xfrm>
        <a:prstGeom prst="rect">
          <a:avLst/>
        </a:prstGeom>
        <a:noFill/>
      </xdr:spPr>
    </xdr:pic>
    <xdr:clientData/>
  </xdr:twoCellAnchor>
  <xdr:twoCellAnchor editAs="oneCell">
    <xdr:from>
      <xdr:col>2</xdr:col>
      <xdr:colOff>38100</xdr:colOff>
      <xdr:row>708</xdr:row>
      <xdr:rowOff>38100</xdr:rowOff>
    </xdr:from>
    <xdr:to>
      <xdr:col>2</xdr:col>
      <xdr:colOff>403860</xdr:colOff>
      <xdr:row>708</xdr:row>
      <xdr:rowOff>355092</xdr:rowOff>
    </xdr:to>
    <xdr:pic>
      <xdr:nvPicPr>
        <xdr:cNvPr id="1538" name="Picture 514" descr=""/>
        <xdr:cNvPicPr>
          <a:picLocks noChangeAspect="1" noChangeArrowheads="1"/>
        </xdr:cNvPicPr>
      </xdr:nvPicPr>
      <xdr:blipFill>
        <a:blip r:embed="R170a4231be9143b5" cstate="print"/>
        <a:srcRect/>
        <a:stretch>
          <a:fillRect/>
        </a:stretch>
      </xdr:blipFill>
      <xdr:spPr bwMode="auto">
        <a:xfrm>
          <a:off x="0" y="0"/>
          <a:ext cx="365760" cy="316992"/>
        </a:xfrm>
        <a:prstGeom prst="rect">
          <a:avLst/>
        </a:prstGeom>
        <a:noFill/>
      </xdr:spPr>
    </xdr:pic>
    <xdr:clientData/>
  </xdr:twoCellAnchor>
  <xdr:twoCellAnchor editAs="oneCell">
    <xdr:from>
      <xdr:col>2</xdr:col>
      <xdr:colOff>38100</xdr:colOff>
      <xdr:row>710</xdr:row>
      <xdr:rowOff>38100</xdr:rowOff>
    </xdr:from>
    <xdr:to>
      <xdr:col>2</xdr:col>
      <xdr:colOff>1181100</xdr:colOff>
      <xdr:row>710</xdr:row>
      <xdr:rowOff>1181100</xdr:rowOff>
    </xdr:to>
    <xdr:pic>
      <xdr:nvPicPr>
        <xdr:cNvPr id="1539" name="Picture 515" descr=""/>
        <xdr:cNvPicPr>
          <a:picLocks noChangeAspect="1" noChangeArrowheads="1"/>
        </xdr:cNvPicPr>
      </xdr:nvPicPr>
      <xdr:blipFill>
        <a:blip r:embed="R86a38f545f8a4d5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711</xdr:row>
      <xdr:rowOff>38100</xdr:rowOff>
    </xdr:from>
    <xdr:to>
      <xdr:col>2</xdr:col>
      <xdr:colOff>1181100</xdr:colOff>
      <xdr:row>711</xdr:row>
      <xdr:rowOff>647700</xdr:rowOff>
    </xdr:to>
    <xdr:pic>
      <xdr:nvPicPr>
        <xdr:cNvPr id="1540" name="Picture 516" descr=""/>
        <xdr:cNvPicPr>
          <a:picLocks noChangeAspect="1" noChangeArrowheads="1"/>
        </xdr:cNvPicPr>
      </xdr:nvPicPr>
      <xdr:blipFill>
        <a:blip r:embed="Rac62aa8e913b45c8" cstate="print"/>
        <a:srcRect/>
        <a:stretch>
          <a:fillRect/>
        </a:stretch>
      </xdr:blipFill>
      <xdr:spPr bwMode="auto">
        <a:xfrm>
          <a:off x="0" y="0"/>
          <a:ext cx="1143000" cy="609600"/>
        </a:xfrm>
        <a:prstGeom prst="rect">
          <a:avLst/>
        </a:prstGeom>
        <a:noFill/>
      </xdr:spPr>
    </xdr:pic>
    <xdr:clientData/>
  </xdr:twoCellAnchor>
  <xdr:twoCellAnchor editAs="oneCell">
    <xdr:from>
      <xdr:col>2</xdr:col>
      <xdr:colOff>38100</xdr:colOff>
      <xdr:row>712</xdr:row>
      <xdr:rowOff>38100</xdr:rowOff>
    </xdr:from>
    <xdr:to>
      <xdr:col>2</xdr:col>
      <xdr:colOff>1181100</xdr:colOff>
      <xdr:row>712</xdr:row>
      <xdr:rowOff>895350</xdr:rowOff>
    </xdr:to>
    <xdr:pic>
      <xdr:nvPicPr>
        <xdr:cNvPr id="1541" name="Picture 517" descr=""/>
        <xdr:cNvPicPr>
          <a:picLocks noChangeAspect="1" noChangeArrowheads="1"/>
        </xdr:cNvPicPr>
      </xdr:nvPicPr>
      <xdr:blipFill>
        <a:blip r:embed="Rc8c5877c0d364ce7" cstate="print"/>
        <a:srcRect/>
        <a:stretch>
          <a:fillRect/>
        </a:stretch>
      </xdr:blipFill>
      <xdr:spPr bwMode="auto">
        <a:xfrm>
          <a:off x="0" y="0"/>
          <a:ext cx="1143000" cy="857250"/>
        </a:xfrm>
        <a:prstGeom prst="rect">
          <a:avLst/>
        </a:prstGeom>
        <a:noFill/>
      </xdr:spPr>
    </xdr:pic>
    <xdr:clientData/>
  </xdr:twoCellAnchor>
  <xdr:twoCellAnchor editAs="oneCell">
    <xdr:from>
      <xdr:col>2</xdr:col>
      <xdr:colOff>38100</xdr:colOff>
      <xdr:row>714</xdr:row>
      <xdr:rowOff>38100</xdr:rowOff>
    </xdr:from>
    <xdr:to>
      <xdr:col>2</xdr:col>
      <xdr:colOff>1181100</xdr:colOff>
      <xdr:row>714</xdr:row>
      <xdr:rowOff>1181100</xdr:rowOff>
    </xdr:to>
    <xdr:pic>
      <xdr:nvPicPr>
        <xdr:cNvPr id="1542" name="Picture 518" descr=""/>
        <xdr:cNvPicPr>
          <a:picLocks noChangeAspect="1" noChangeArrowheads="1"/>
        </xdr:cNvPicPr>
      </xdr:nvPicPr>
      <xdr:blipFill>
        <a:blip r:embed="R77f6d9b5c7e247b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717</xdr:row>
      <xdr:rowOff>38100</xdr:rowOff>
    </xdr:from>
    <xdr:to>
      <xdr:col>2</xdr:col>
      <xdr:colOff>1047750</xdr:colOff>
      <xdr:row>717</xdr:row>
      <xdr:rowOff>1181100</xdr:rowOff>
    </xdr:to>
    <xdr:pic>
      <xdr:nvPicPr>
        <xdr:cNvPr id="1543" name="Picture 519" descr=""/>
        <xdr:cNvPicPr>
          <a:picLocks noChangeAspect="1" noChangeArrowheads="1"/>
        </xdr:cNvPicPr>
      </xdr:nvPicPr>
      <xdr:blipFill>
        <a:blip r:embed="R4f6afa85f08b492b" cstate="print"/>
        <a:srcRect/>
        <a:stretch>
          <a:fillRect/>
        </a:stretch>
      </xdr:blipFill>
      <xdr:spPr bwMode="auto">
        <a:xfrm>
          <a:off x="0" y="0"/>
          <a:ext cx="1009650" cy="1143000"/>
        </a:xfrm>
        <a:prstGeom prst="rect">
          <a:avLst/>
        </a:prstGeom>
        <a:noFill/>
      </xdr:spPr>
    </xdr:pic>
    <xdr:clientData/>
  </xdr:twoCellAnchor>
  <xdr:twoCellAnchor editAs="oneCell">
    <xdr:from>
      <xdr:col>2</xdr:col>
      <xdr:colOff>38100</xdr:colOff>
      <xdr:row>719</xdr:row>
      <xdr:rowOff>38100</xdr:rowOff>
    </xdr:from>
    <xdr:to>
      <xdr:col>2</xdr:col>
      <xdr:colOff>403860</xdr:colOff>
      <xdr:row>719</xdr:row>
      <xdr:rowOff>224028</xdr:rowOff>
    </xdr:to>
    <xdr:pic>
      <xdr:nvPicPr>
        <xdr:cNvPr id="1544" name="Picture 520" descr=""/>
        <xdr:cNvPicPr>
          <a:picLocks noChangeAspect="1" noChangeArrowheads="1"/>
        </xdr:cNvPicPr>
      </xdr:nvPicPr>
      <xdr:blipFill>
        <a:blip r:embed="Re5ee0096a0e04f39" cstate="print"/>
        <a:srcRect/>
        <a:stretch>
          <a:fillRect/>
        </a:stretch>
      </xdr:blipFill>
      <xdr:spPr bwMode="auto">
        <a:xfrm>
          <a:off x="0" y="0"/>
          <a:ext cx="365760" cy="185928"/>
        </a:xfrm>
        <a:prstGeom prst="rect">
          <a:avLst/>
        </a:prstGeom>
        <a:noFill/>
      </xdr:spPr>
    </xdr:pic>
    <xdr:clientData/>
  </xdr:twoCellAnchor>
  <xdr:twoCellAnchor editAs="oneCell">
    <xdr:from>
      <xdr:col>2</xdr:col>
      <xdr:colOff>38100</xdr:colOff>
      <xdr:row>720</xdr:row>
      <xdr:rowOff>38100</xdr:rowOff>
    </xdr:from>
    <xdr:to>
      <xdr:col>2</xdr:col>
      <xdr:colOff>1181100</xdr:colOff>
      <xdr:row>720</xdr:row>
      <xdr:rowOff>600075</xdr:rowOff>
    </xdr:to>
    <xdr:pic>
      <xdr:nvPicPr>
        <xdr:cNvPr id="1545" name="Picture 521" descr=""/>
        <xdr:cNvPicPr>
          <a:picLocks noChangeAspect="1" noChangeArrowheads="1"/>
        </xdr:cNvPicPr>
      </xdr:nvPicPr>
      <xdr:blipFill>
        <a:blip r:embed="R2cdf0492866c45e6" cstate="print"/>
        <a:srcRect/>
        <a:stretch>
          <a:fillRect/>
        </a:stretch>
      </xdr:blipFill>
      <xdr:spPr bwMode="auto">
        <a:xfrm>
          <a:off x="0" y="0"/>
          <a:ext cx="1143000" cy="561975"/>
        </a:xfrm>
        <a:prstGeom prst="rect">
          <a:avLst/>
        </a:prstGeom>
        <a:noFill/>
      </xdr:spPr>
    </xdr:pic>
    <xdr:clientData/>
  </xdr:twoCellAnchor>
  <xdr:twoCellAnchor editAs="oneCell">
    <xdr:from>
      <xdr:col>2</xdr:col>
      <xdr:colOff>38100</xdr:colOff>
      <xdr:row>721</xdr:row>
      <xdr:rowOff>38100</xdr:rowOff>
    </xdr:from>
    <xdr:to>
      <xdr:col>2</xdr:col>
      <xdr:colOff>1181100</xdr:colOff>
      <xdr:row>721</xdr:row>
      <xdr:rowOff>647700</xdr:rowOff>
    </xdr:to>
    <xdr:pic>
      <xdr:nvPicPr>
        <xdr:cNvPr id="1546" name="Picture 522" descr=""/>
        <xdr:cNvPicPr>
          <a:picLocks noChangeAspect="1" noChangeArrowheads="1"/>
        </xdr:cNvPicPr>
      </xdr:nvPicPr>
      <xdr:blipFill>
        <a:blip r:embed="Rbfdc620c90dc45d7" cstate="print"/>
        <a:srcRect/>
        <a:stretch>
          <a:fillRect/>
        </a:stretch>
      </xdr:blipFill>
      <xdr:spPr bwMode="auto">
        <a:xfrm>
          <a:off x="0" y="0"/>
          <a:ext cx="1143000" cy="609600"/>
        </a:xfrm>
        <a:prstGeom prst="rect">
          <a:avLst/>
        </a:prstGeom>
        <a:noFill/>
      </xdr:spPr>
    </xdr:pic>
    <xdr:clientData/>
  </xdr:twoCellAnchor>
  <xdr:twoCellAnchor editAs="oneCell">
    <xdr:from>
      <xdr:col>2</xdr:col>
      <xdr:colOff>38100</xdr:colOff>
      <xdr:row>722</xdr:row>
      <xdr:rowOff>38100</xdr:rowOff>
    </xdr:from>
    <xdr:to>
      <xdr:col>2</xdr:col>
      <xdr:colOff>1181100</xdr:colOff>
      <xdr:row>722</xdr:row>
      <xdr:rowOff>333375</xdr:rowOff>
    </xdr:to>
    <xdr:pic>
      <xdr:nvPicPr>
        <xdr:cNvPr id="1547" name="Picture 523" descr=""/>
        <xdr:cNvPicPr>
          <a:picLocks noChangeAspect="1" noChangeArrowheads="1"/>
        </xdr:cNvPicPr>
      </xdr:nvPicPr>
      <xdr:blipFill>
        <a:blip r:embed="R1f532dd4d35745c3" cstate="print"/>
        <a:srcRect/>
        <a:stretch>
          <a:fillRect/>
        </a:stretch>
      </xdr:blipFill>
      <xdr:spPr bwMode="auto">
        <a:xfrm>
          <a:off x="0" y="0"/>
          <a:ext cx="1143000" cy="295275"/>
        </a:xfrm>
        <a:prstGeom prst="rect">
          <a:avLst/>
        </a:prstGeom>
        <a:noFill/>
      </xdr:spPr>
    </xdr:pic>
    <xdr:clientData/>
  </xdr:twoCellAnchor>
  <xdr:twoCellAnchor editAs="oneCell">
    <xdr:from>
      <xdr:col>2</xdr:col>
      <xdr:colOff>38100</xdr:colOff>
      <xdr:row>726</xdr:row>
      <xdr:rowOff>38100</xdr:rowOff>
    </xdr:from>
    <xdr:to>
      <xdr:col>2</xdr:col>
      <xdr:colOff>1181100</xdr:colOff>
      <xdr:row>726</xdr:row>
      <xdr:rowOff>752475</xdr:rowOff>
    </xdr:to>
    <xdr:pic>
      <xdr:nvPicPr>
        <xdr:cNvPr id="1548" name="Picture 524" descr=""/>
        <xdr:cNvPicPr>
          <a:picLocks noChangeAspect="1" noChangeArrowheads="1"/>
        </xdr:cNvPicPr>
      </xdr:nvPicPr>
      <xdr:blipFill>
        <a:blip r:embed="Re4cef1cd3ee84903" cstate="print"/>
        <a:srcRect/>
        <a:stretch>
          <a:fillRect/>
        </a:stretch>
      </xdr:blipFill>
      <xdr:spPr bwMode="auto">
        <a:xfrm>
          <a:off x="0" y="0"/>
          <a:ext cx="1143000" cy="714375"/>
        </a:xfrm>
        <a:prstGeom prst="rect">
          <a:avLst/>
        </a:prstGeom>
        <a:noFill/>
      </xdr:spPr>
    </xdr:pic>
    <xdr:clientData/>
  </xdr:twoCellAnchor>
  <xdr:twoCellAnchor editAs="oneCell">
    <xdr:from>
      <xdr:col>2</xdr:col>
      <xdr:colOff>38100</xdr:colOff>
      <xdr:row>727</xdr:row>
      <xdr:rowOff>38100</xdr:rowOff>
    </xdr:from>
    <xdr:to>
      <xdr:col>2</xdr:col>
      <xdr:colOff>1562100</xdr:colOff>
      <xdr:row>727</xdr:row>
      <xdr:rowOff>1562100</xdr:rowOff>
    </xdr:to>
    <xdr:pic>
      <xdr:nvPicPr>
        <xdr:cNvPr id="1549" name="Picture 525" descr=""/>
        <xdr:cNvPicPr>
          <a:picLocks noChangeAspect="1" noChangeArrowheads="1"/>
        </xdr:cNvPicPr>
      </xdr:nvPicPr>
      <xdr:blipFill>
        <a:blip r:embed="Ra77c1451b3b24eb8"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728</xdr:row>
      <xdr:rowOff>38100</xdr:rowOff>
    </xdr:from>
    <xdr:to>
      <xdr:col>2</xdr:col>
      <xdr:colOff>1181100</xdr:colOff>
      <xdr:row>728</xdr:row>
      <xdr:rowOff>1181100</xdr:rowOff>
    </xdr:to>
    <xdr:pic>
      <xdr:nvPicPr>
        <xdr:cNvPr id="1550" name="Picture 526" descr=""/>
        <xdr:cNvPicPr>
          <a:picLocks noChangeAspect="1" noChangeArrowheads="1"/>
        </xdr:cNvPicPr>
      </xdr:nvPicPr>
      <xdr:blipFill>
        <a:blip r:embed="R688f4da2749f4bf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729</xdr:row>
      <xdr:rowOff>38100</xdr:rowOff>
    </xdr:from>
    <xdr:to>
      <xdr:col>2</xdr:col>
      <xdr:colOff>769620</xdr:colOff>
      <xdr:row>729</xdr:row>
      <xdr:rowOff>769620</xdr:rowOff>
    </xdr:to>
    <xdr:pic>
      <xdr:nvPicPr>
        <xdr:cNvPr id="1551" name="Picture 527" descr=""/>
        <xdr:cNvPicPr>
          <a:picLocks noChangeAspect="1" noChangeArrowheads="1"/>
        </xdr:cNvPicPr>
      </xdr:nvPicPr>
      <xdr:blipFill>
        <a:blip r:embed="Re259b4712abd49f7"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730</xdr:row>
      <xdr:rowOff>38100</xdr:rowOff>
    </xdr:from>
    <xdr:to>
      <xdr:col>2</xdr:col>
      <xdr:colOff>769620</xdr:colOff>
      <xdr:row>730</xdr:row>
      <xdr:rowOff>483108</xdr:rowOff>
    </xdr:to>
    <xdr:pic>
      <xdr:nvPicPr>
        <xdr:cNvPr id="1552" name="Picture 528" descr=""/>
        <xdr:cNvPicPr>
          <a:picLocks noChangeAspect="1" noChangeArrowheads="1"/>
        </xdr:cNvPicPr>
      </xdr:nvPicPr>
      <xdr:blipFill>
        <a:blip r:embed="R9de7738b0a7946c1" cstate="print"/>
        <a:srcRect/>
        <a:stretch>
          <a:fillRect/>
        </a:stretch>
      </xdr:blipFill>
      <xdr:spPr bwMode="auto">
        <a:xfrm>
          <a:off x="0" y="0"/>
          <a:ext cx="731520" cy="445008"/>
        </a:xfrm>
        <a:prstGeom prst="rect">
          <a:avLst/>
        </a:prstGeom>
        <a:noFill/>
      </xdr:spPr>
    </xdr:pic>
    <xdr:clientData/>
  </xdr:twoCellAnchor>
  <xdr:twoCellAnchor editAs="oneCell">
    <xdr:from>
      <xdr:col>2</xdr:col>
      <xdr:colOff>38100</xdr:colOff>
      <xdr:row>731</xdr:row>
      <xdr:rowOff>38100</xdr:rowOff>
    </xdr:from>
    <xdr:to>
      <xdr:col>2</xdr:col>
      <xdr:colOff>1181100</xdr:colOff>
      <xdr:row>731</xdr:row>
      <xdr:rowOff>1181100</xdr:rowOff>
    </xdr:to>
    <xdr:pic>
      <xdr:nvPicPr>
        <xdr:cNvPr id="1553" name="Picture 529" descr=""/>
        <xdr:cNvPicPr>
          <a:picLocks noChangeAspect="1" noChangeArrowheads="1"/>
        </xdr:cNvPicPr>
      </xdr:nvPicPr>
      <xdr:blipFill>
        <a:blip r:embed="R4849a5f9db7340de"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732</xdr:row>
      <xdr:rowOff>38100</xdr:rowOff>
    </xdr:from>
    <xdr:to>
      <xdr:col>2</xdr:col>
      <xdr:colOff>1181100</xdr:colOff>
      <xdr:row>732</xdr:row>
      <xdr:rowOff>1181100</xdr:rowOff>
    </xdr:to>
    <xdr:pic>
      <xdr:nvPicPr>
        <xdr:cNvPr id="1554" name="Picture 530" descr=""/>
        <xdr:cNvPicPr>
          <a:picLocks noChangeAspect="1" noChangeArrowheads="1"/>
        </xdr:cNvPicPr>
      </xdr:nvPicPr>
      <xdr:blipFill>
        <a:blip r:embed="R9b2cd39ab1f346d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733</xdr:row>
      <xdr:rowOff>38100</xdr:rowOff>
    </xdr:from>
    <xdr:to>
      <xdr:col>2</xdr:col>
      <xdr:colOff>1181100</xdr:colOff>
      <xdr:row>733</xdr:row>
      <xdr:rowOff>1171575</xdr:rowOff>
    </xdr:to>
    <xdr:pic>
      <xdr:nvPicPr>
        <xdr:cNvPr id="1555" name="Picture 531" descr=""/>
        <xdr:cNvPicPr>
          <a:picLocks noChangeAspect="1" noChangeArrowheads="1"/>
        </xdr:cNvPicPr>
      </xdr:nvPicPr>
      <xdr:blipFill>
        <a:blip r:embed="Rc2cf9fde3cc947c5" cstate="print"/>
        <a:srcRect/>
        <a:stretch>
          <a:fillRect/>
        </a:stretch>
      </xdr:blipFill>
      <xdr:spPr bwMode="auto">
        <a:xfrm>
          <a:off x="0" y="0"/>
          <a:ext cx="1143000" cy="1133475"/>
        </a:xfrm>
        <a:prstGeom prst="rect">
          <a:avLst/>
        </a:prstGeom>
        <a:noFill/>
      </xdr:spPr>
    </xdr:pic>
    <xdr:clientData/>
  </xdr:twoCellAnchor>
  <xdr:twoCellAnchor editAs="oneCell">
    <xdr:from>
      <xdr:col>2</xdr:col>
      <xdr:colOff>38100</xdr:colOff>
      <xdr:row>735</xdr:row>
      <xdr:rowOff>38100</xdr:rowOff>
    </xdr:from>
    <xdr:to>
      <xdr:col>2</xdr:col>
      <xdr:colOff>1181100</xdr:colOff>
      <xdr:row>735</xdr:row>
      <xdr:rowOff>1181100</xdr:rowOff>
    </xdr:to>
    <xdr:pic>
      <xdr:nvPicPr>
        <xdr:cNvPr id="1556" name="Picture 532" descr=""/>
        <xdr:cNvPicPr>
          <a:picLocks noChangeAspect="1" noChangeArrowheads="1"/>
        </xdr:cNvPicPr>
      </xdr:nvPicPr>
      <xdr:blipFill>
        <a:blip r:embed="R5951a939ee7e4b5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736</xdr:row>
      <xdr:rowOff>38100</xdr:rowOff>
    </xdr:from>
    <xdr:to>
      <xdr:col>2</xdr:col>
      <xdr:colOff>1181100</xdr:colOff>
      <xdr:row>736</xdr:row>
      <xdr:rowOff>895350</xdr:rowOff>
    </xdr:to>
    <xdr:pic>
      <xdr:nvPicPr>
        <xdr:cNvPr id="1557" name="Picture 533" descr=""/>
        <xdr:cNvPicPr>
          <a:picLocks noChangeAspect="1" noChangeArrowheads="1"/>
        </xdr:cNvPicPr>
      </xdr:nvPicPr>
      <xdr:blipFill>
        <a:blip r:embed="R9d536debf09f4f2c" cstate="print"/>
        <a:srcRect/>
        <a:stretch>
          <a:fillRect/>
        </a:stretch>
      </xdr:blipFill>
      <xdr:spPr bwMode="auto">
        <a:xfrm>
          <a:off x="0" y="0"/>
          <a:ext cx="1143000" cy="857250"/>
        </a:xfrm>
        <a:prstGeom prst="rect">
          <a:avLst/>
        </a:prstGeom>
        <a:noFill/>
      </xdr:spPr>
    </xdr:pic>
    <xdr:clientData/>
  </xdr:twoCellAnchor>
  <xdr:twoCellAnchor editAs="oneCell">
    <xdr:from>
      <xdr:col>2</xdr:col>
      <xdr:colOff>38100</xdr:colOff>
      <xdr:row>737</xdr:row>
      <xdr:rowOff>38100</xdr:rowOff>
    </xdr:from>
    <xdr:to>
      <xdr:col>2</xdr:col>
      <xdr:colOff>1181100</xdr:colOff>
      <xdr:row>737</xdr:row>
      <xdr:rowOff>771525</xdr:rowOff>
    </xdr:to>
    <xdr:pic>
      <xdr:nvPicPr>
        <xdr:cNvPr id="1558" name="Picture 534" descr=""/>
        <xdr:cNvPicPr>
          <a:picLocks noChangeAspect="1" noChangeArrowheads="1"/>
        </xdr:cNvPicPr>
      </xdr:nvPicPr>
      <xdr:blipFill>
        <a:blip r:embed="Rb353f296f75e40b6" cstate="print"/>
        <a:srcRect/>
        <a:stretch>
          <a:fillRect/>
        </a:stretch>
      </xdr:blipFill>
      <xdr:spPr bwMode="auto">
        <a:xfrm>
          <a:off x="0" y="0"/>
          <a:ext cx="1143000" cy="733425"/>
        </a:xfrm>
        <a:prstGeom prst="rect">
          <a:avLst/>
        </a:prstGeom>
        <a:noFill/>
      </xdr:spPr>
    </xdr:pic>
    <xdr:clientData/>
  </xdr:twoCellAnchor>
  <xdr:twoCellAnchor editAs="oneCell">
    <xdr:from>
      <xdr:col>2</xdr:col>
      <xdr:colOff>38100</xdr:colOff>
      <xdr:row>738</xdr:row>
      <xdr:rowOff>38100</xdr:rowOff>
    </xdr:from>
    <xdr:to>
      <xdr:col>2</xdr:col>
      <xdr:colOff>1181100</xdr:colOff>
      <xdr:row>738</xdr:row>
      <xdr:rowOff>514350</xdr:rowOff>
    </xdr:to>
    <xdr:pic>
      <xdr:nvPicPr>
        <xdr:cNvPr id="1559" name="Picture 535" descr=""/>
        <xdr:cNvPicPr>
          <a:picLocks noChangeAspect="1" noChangeArrowheads="1"/>
        </xdr:cNvPicPr>
      </xdr:nvPicPr>
      <xdr:blipFill>
        <a:blip r:embed="R2cf41279bbf346a5" cstate="print"/>
        <a:srcRect/>
        <a:stretch>
          <a:fillRect/>
        </a:stretch>
      </xdr:blipFill>
      <xdr:spPr bwMode="auto">
        <a:xfrm>
          <a:off x="0" y="0"/>
          <a:ext cx="1143000" cy="476250"/>
        </a:xfrm>
        <a:prstGeom prst="rect">
          <a:avLst/>
        </a:prstGeom>
        <a:noFill/>
      </xdr:spPr>
    </xdr:pic>
    <xdr:clientData/>
  </xdr:twoCellAnchor>
  <xdr:twoCellAnchor editAs="oneCell">
    <xdr:from>
      <xdr:col>2</xdr:col>
      <xdr:colOff>38100</xdr:colOff>
      <xdr:row>739</xdr:row>
      <xdr:rowOff>38100</xdr:rowOff>
    </xdr:from>
    <xdr:to>
      <xdr:col>2</xdr:col>
      <xdr:colOff>1181100</xdr:colOff>
      <xdr:row>739</xdr:row>
      <xdr:rowOff>1181100</xdr:rowOff>
    </xdr:to>
    <xdr:pic>
      <xdr:nvPicPr>
        <xdr:cNvPr id="1560" name="Picture 536" descr=""/>
        <xdr:cNvPicPr>
          <a:picLocks noChangeAspect="1" noChangeArrowheads="1"/>
        </xdr:cNvPicPr>
      </xdr:nvPicPr>
      <xdr:blipFill>
        <a:blip r:embed="Ra2f0efc7d94d459c"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740</xdr:row>
      <xdr:rowOff>38100</xdr:rowOff>
    </xdr:from>
    <xdr:to>
      <xdr:col>2</xdr:col>
      <xdr:colOff>1181100</xdr:colOff>
      <xdr:row>740</xdr:row>
      <xdr:rowOff>1181100</xdr:rowOff>
    </xdr:to>
    <xdr:pic>
      <xdr:nvPicPr>
        <xdr:cNvPr id="1561" name="Picture 537" descr=""/>
        <xdr:cNvPicPr>
          <a:picLocks noChangeAspect="1" noChangeArrowheads="1"/>
        </xdr:cNvPicPr>
      </xdr:nvPicPr>
      <xdr:blipFill>
        <a:blip r:embed="R9f9634ebb1f84e9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741</xdr:row>
      <xdr:rowOff>38100</xdr:rowOff>
    </xdr:from>
    <xdr:to>
      <xdr:col>2</xdr:col>
      <xdr:colOff>1181100</xdr:colOff>
      <xdr:row>741</xdr:row>
      <xdr:rowOff>1181100</xdr:rowOff>
    </xdr:to>
    <xdr:pic>
      <xdr:nvPicPr>
        <xdr:cNvPr id="1562" name="Picture 538" descr=""/>
        <xdr:cNvPicPr>
          <a:picLocks noChangeAspect="1" noChangeArrowheads="1"/>
        </xdr:cNvPicPr>
      </xdr:nvPicPr>
      <xdr:blipFill>
        <a:blip r:embed="R2a6fd805f0c14e5c"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746</xdr:row>
      <xdr:rowOff>38100</xdr:rowOff>
    </xdr:from>
    <xdr:to>
      <xdr:col>2</xdr:col>
      <xdr:colOff>1205700</xdr:colOff>
      <xdr:row>746</xdr:row>
      <xdr:rowOff>553790</xdr:rowOff>
    </xdr:to>
    <xdr:pic>
      <xdr:nvPicPr>
        <xdr:cNvPr id="1563" name="Picture 539" descr=""/>
        <xdr:cNvPicPr>
          <a:picLocks noChangeAspect="1" noChangeArrowheads="1"/>
        </xdr:cNvPicPr>
      </xdr:nvPicPr>
      <xdr:blipFill>
        <a:blip r:embed="R960bcb5a107c42f3" cstate="print"/>
        <a:srcRect/>
        <a:stretch>
          <a:fillRect/>
        </a:stretch>
      </xdr:blipFill>
      <xdr:spPr bwMode="auto">
        <a:xfrm>
          <a:off x="0" y="0"/>
          <a:ext cx="1167600" cy="515690"/>
        </a:xfrm>
        <a:prstGeom prst="rect">
          <a:avLst/>
        </a:prstGeom>
        <a:noFill/>
      </xdr:spPr>
    </xdr:pic>
    <xdr:clientData/>
  </xdr:twoCellAnchor>
  <xdr:twoCellAnchor editAs="oneCell">
    <xdr:from>
      <xdr:col>2</xdr:col>
      <xdr:colOff>38100</xdr:colOff>
      <xdr:row>749</xdr:row>
      <xdr:rowOff>38100</xdr:rowOff>
    </xdr:from>
    <xdr:to>
      <xdr:col>2</xdr:col>
      <xdr:colOff>1181100</xdr:colOff>
      <xdr:row>749</xdr:row>
      <xdr:rowOff>1181100</xdr:rowOff>
    </xdr:to>
    <xdr:pic>
      <xdr:nvPicPr>
        <xdr:cNvPr id="1564" name="Picture 540" descr=""/>
        <xdr:cNvPicPr>
          <a:picLocks noChangeAspect="1" noChangeArrowheads="1"/>
        </xdr:cNvPicPr>
      </xdr:nvPicPr>
      <xdr:blipFill>
        <a:blip r:embed="R9165f830a57d467b"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750</xdr:row>
      <xdr:rowOff>38100</xdr:rowOff>
    </xdr:from>
    <xdr:to>
      <xdr:col>2</xdr:col>
      <xdr:colOff>1181100</xdr:colOff>
      <xdr:row>750</xdr:row>
      <xdr:rowOff>1181100</xdr:rowOff>
    </xdr:to>
    <xdr:pic>
      <xdr:nvPicPr>
        <xdr:cNvPr id="1565" name="Picture 541" descr=""/>
        <xdr:cNvPicPr>
          <a:picLocks noChangeAspect="1" noChangeArrowheads="1"/>
        </xdr:cNvPicPr>
      </xdr:nvPicPr>
      <xdr:blipFill>
        <a:blip r:embed="Race6df8829af4d6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751</xdr:row>
      <xdr:rowOff>38100</xdr:rowOff>
    </xdr:from>
    <xdr:to>
      <xdr:col>2</xdr:col>
      <xdr:colOff>1181100</xdr:colOff>
      <xdr:row>751</xdr:row>
      <xdr:rowOff>1181100</xdr:rowOff>
    </xdr:to>
    <xdr:pic>
      <xdr:nvPicPr>
        <xdr:cNvPr id="1566" name="Picture 542" descr=""/>
        <xdr:cNvPicPr>
          <a:picLocks noChangeAspect="1" noChangeArrowheads="1"/>
        </xdr:cNvPicPr>
      </xdr:nvPicPr>
      <xdr:blipFill>
        <a:blip r:embed="R6508021ca4d149de"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752</xdr:row>
      <xdr:rowOff>38100</xdr:rowOff>
    </xdr:from>
    <xdr:to>
      <xdr:col>2</xdr:col>
      <xdr:colOff>1181100</xdr:colOff>
      <xdr:row>752</xdr:row>
      <xdr:rowOff>838200</xdr:rowOff>
    </xdr:to>
    <xdr:pic>
      <xdr:nvPicPr>
        <xdr:cNvPr id="1567" name="Picture 543" descr=""/>
        <xdr:cNvPicPr>
          <a:picLocks noChangeAspect="1" noChangeArrowheads="1"/>
        </xdr:cNvPicPr>
      </xdr:nvPicPr>
      <xdr:blipFill>
        <a:blip r:embed="R0333e8c2e2944b6e" cstate="print"/>
        <a:srcRect/>
        <a:stretch>
          <a:fillRect/>
        </a:stretch>
      </xdr:blipFill>
      <xdr:spPr bwMode="auto">
        <a:xfrm>
          <a:off x="0" y="0"/>
          <a:ext cx="1143000" cy="800100"/>
        </a:xfrm>
        <a:prstGeom prst="rect">
          <a:avLst/>
        </a:prstGeom>
        <a:noFill/>
      </xdr:spPr>
    </xdr:pic>
    <xdr:clientData/>
  </xdr:twoCellAnchor>
  <xdr:twoCellAnchor editAs="oneCell">
    <xdr:from>
      <xdr:col>2</xdr:col>
      <xdr:colOff>38100</xdr:colOff>
      <xdr:row>758</xdr:row>
      <xdr:rowOff>38100</xdr:rowOff>
    </xdr:from>
    <xdr:to>
      <xdr:col>2</xdr:col>
      <xdr:colOff>621780</xdr:colOff>
      <xdr:row>758</xdr:row>
      <xdr:rowOff>621780</xdr:rowOff>
    </xdr:to>
    <xdr:pic>
      <xdr:nvPicPr>
        <xdr:cNvPr id="1568" name="Picture 544" descr=""/>
        <xdr:cNvPicPr>
          <a:picLocks noChangeAspect="1" noChangeArrowheads="1"/>
        </xdr:cNvPicPr>
      </xdr:nvPicPr>
      <xdr:blipFill>
        <a:blip r:embed="R2b4b42e5aeec433f" cstate="print"/>
        <a:srcRect/>
        <a:stretch>
          <a:fillRect/>
        </a:stretch>
      </xdr:blipFill>
      <xdr:spPr bwMode="auto">
        <a:xfrm>
          <a:off x="0" y="0"/>
          <a:ext cx="583680" cy="583680"/>
        </a:xfrm>
        <a:prstGeom prst="rect">
          <a:avLst/>
        </a:prstGeom>
        <a:noFill/>
      </xdr:spPr>
    </xdr:pic>
    <xdr:clientData/>
  </xdr:twoCellAnchor>
  <xdr:twoCellAnchor editAs="oneCell">
    <xdr:from>
      <xdr:col>2</xdr:col>
      <xdr:colOff>38100</xdr:colOff>
      <xdr:row>760</xdr:row>
      <xdr:rowOff>38100</xdr:rowOff>
    </xdr:from>
    <xdr:to>
      <xdr:col>2</xdr:col>
      <xdr:colOff>769620</xdr:colOff>
      <xdr:row>760</xdr:row>
      <xdr:rowOff>769620</xdr:rowOff>
    </xdr:to>
    <xdr:pic>
      <xdr:nvPicPr>
        <xdr:cNvPr id="1569" name="Picture 545" descr=""/>
        <xdr:cNvPicPr>
          <a:picLocks noChangeAspect="1" noChangeArrowheads="1"/>
        </xdr:cNvPicPr>
      </xdr:nvPicPr>
      <xdr:blipFill>
        <a:blip r:embed="R1cf12863e1e94c35"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762</xdr:row>
      <xdr:rowOff>38100</xdr:rowOff>
    </xdr:from>
    <xdr:to>
      <xdr:col>2</xdr:col>
      <xdr:colOff>769620</xdr:colOff>
      <xdr:row>762</xdr:row>
      <xdr:rowOff>769620</xdr:rowOff>
    </xdr:to>
    <xdr:pic>
      <xdr:nvPicPr>
        <xdr:cNvPr id="1570" name="Picture 546" descr=""/>
        <xdr:cNvPicPr>
          <a:picLocks noChangeAspect="1" noChangeArrowheads="1"/>
        </xdr:cNvPicPr>
      </xdr:nvPicPr>
      <xdr:blipFill>
        <a:blip r:embed="R1955df6cd02d4968"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763</xdr:row>
      <xdr:rowOff>38100</xdr:rowOff>
    </xdr:from>
    <xdr:to>
      <xdr:col>2</xdr:col>
      <xdr:colOff>1181100</xdr:colOff>
      <xdr:row>763</xdr:row>
      <xdr:rowOff>895350</xdr:rowOff>
    </xdr:to>
    <xdr:pic>
      <xdr:nvPicPr>
        <xdr:cNvPr id="1571" name="Picture 547" descr=""/>
        <xdr:cNvPicPr>
          <a:picLocks noChangeAspect="1" noChangeArrowheads="1"/>
        </xdr:cNvPicPr>
      </xdr:nvPicPr>
      <xdr:blipFill>
        <a:blip r:embed="R5f4d994707a3453d" cstate="print"/>
        <a:srcRect/>
        <a:stretch>
          <a:fillRect/>
        </a:stretch>
      </xdr:blipFill>
      <xdr:spPr bwMode="auto">
        <a:xfrm>
          <a:off x="0" y="0"/>
          <a:ext cx="1143000" cy="857250"/>
        </a:xfrm>
        <a:prstGeom prst="rect">
          <a:avLst/>
        </a:prstGeom>
        <a:noFill/>
      </xdr:spPr>
    </xdr:pic>
    <xdr:clientData/>
  </xdr:twoCellAnchor>
  <xdr:twoCellAnchor editAs="oneCell">
    <xdr:from>
      <xdr:col>2</xdr:col>
      <xdr:colOff>38100</xdr:colOff>
      <xdr:row>764</xdr:row>
      <xdr:rowOff>38100</xdr:rowOff>
    </xdr:from>
    <xdr:to>
      <xdr:col>2</xdr:col>
      <xdr:colOff>1181100</xdr:colOff>
      <xdr:row>764</xdr:row>
      <xdr:rowOff>800100</xdr:rowOff>
    </xdr:to>
    <xdr:pic>
      <xdr:nvPicPr>
        <xdr:cNvPr id="1572" name="Picture 548" descr=""/>
        <xdr:cNvPicPr>
          <a:picLocks noChangeAspect="1" noChangeArrowheads="1"/>
        </xdr:cNvPicPr>
      </xdr:nvPicPr>
      <xdr:blipFill>
        <a:blip r:embed="Rcd13d6ad70ab4ffd" cstate="print"/>
        <a:srcRect/>
        <a:stretch>
          <a:fillRect/>
        </a:stretch>
      </xdr:blipFill>
      <xdr:spPr bwMode="auto">
        <a:xfrm>
          <a:off x="0" y="0"/>
          <a:ext cx="1143000" cy="762000"/>
        </a:xfrm>
        <a:prstGeom prst="rect">
          <a:avLst/>
        </a:prstGeom>
        <a:noFill/>
      </xdr:spPr>
    </xdr:pic>
    <xdr:clientData/>
  </xdr:twoCellAnchor>
  <xdr:twoCellAnchor editAs="oneCell">
    <xdr:from>
      <xdr:col>2</xdr:col>
      <xdr:colOff>38100</xdr:colOff>
      <xdr:row>766</xdr:row>
      <xdr:rowOff>38100</xdr:rowOff>
    </xdr:from>
    <xdr:to>
      <xdr:col>2</xdr:col>
      <xdr:colOff>1181100</xdr:colOff>
      <xdr:row>766</xdr:row>
      <xdr:rowOff>1181100</xdr:rowOff>
    </xdr:to>
    <xdr:pic>
      <xdr:nvPicPr>
        <xdr:cNvPr id="1573" name="Picture 549" descr=""/>
        <xdr:cNvPicPr>
          <a:picLocks noChangeAspect="1" noChangeArrowheads="1"/>
        </xdr:cNvPicPr>
      </xdr:nvPicPr>
      <xdr:blipFill>
        <a:blip r:embed="R721ae9c690f04b4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767</xdr:row>
      <xdr:rowOff>38100</xdr:rowOff>
    </xdr:from>
    <xdr:to>
      <xdr:col>2</xdr:col>
      <xdr:colOff>1181100</xdr:colOff>
      <xdr:row>767</xdr:row>
      <xdr:rowOff>1181100</xdr:rowOff>
    </xdr:to>
    <xdr:pic>
      <xdr:nvPicPr>
        <xdr:cNvPr id="1574" name="Picture 550" descr=""/>
        <xdr:cNvPicPr>
          <a:picLocks noChangeAspect="1" noChangeArrowheads="1"/>
        </xdr:cNvPicPr>
      </xdr:nvPicPr>
      <xdr:blipFill>
        <a:blip r:embed="R36992068e03148d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768</xdr:row>
      <xdr:rowOff>38100</xdr:rowOff>
    </xdr:from>
    <xdr:to>
      <xdr:col>2</xdr:col>
      <xdr:colOff>1562100</xdr:colOff>
      <xdr:row>768</xdr:row>
      <xdr:rowOff>977900</xdr:rowOff>
    </xdr:to>
    <xdr:pic>
      <xdr:nvPicPr>
        <xdr:cNvPr id="1575" name="Picture 551" descr=""/>
        <xdr:cNvPicPr>
          <a:picLocks noChangeAspect="1" noChangeArrowheads="1"/>
        </xdr:cNvPicPr>
      </xdr:nvPicPr>
      <xdr:blipFill>
        <a:blip r:embed="R9d63a8bed733420b" cstate="print"/>
        <a:srcRect/>
        <a:stretch>
          <a:fillRect/>
        </a:stretch>
      </xdr:blipFill>
      <xdr:spPr bwMode="auto">
        <a:xfrm>
          <a:off x="0" y="0"/>
          <a:ext cx="1524000" cy="939800"/>
        </a:xfrm>
        <a:prstGeom prst="rect">
          <a:avLst/>
        </a:prstGeom>
        <a:noFill/>
      </xdr:spPr>
    </xdr:pic>
    <xdr:clientData/>
  </xdr:twoCellAnchor>
  <xdr:twoCellAnchor editAs="oneCell">
    <xdr:from>
      <xdr:col>2</xdr:col>
      <xdr:colOff>38100</xdr:colOff>
      <xdr:row>769</xdr:row>
      <xdr:rowOff>38100</xdr:rowOff>
    </xdr:from>
    <xdr:to>
      <xdr:col>2</xdr:col>
      <xdr:colOff>1181100</xdr:colOff>
      <xdr:row>769</xdr:row>
      <xdr:rowOff>1181100</xdr:rowOff>
    </xdr:to>
    <xdr:pic>
      <xdr:nvPicPr>
        <xdr:cNvPr id="1576" name="Picture 552" descr=""/>
        <xdr:cNvPicPr>
          <a:picLocks noChangeAspect="1" noChangeArrowheads="1"/>
        </xdr:cNvPicPr>
      </xdr:nvPicPr>
      <xdr:blipFill>
        <a:blip r:embed="Rfabcfb5e1e10475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771</xdr:row>
      <xdr:rowOff>38100</xdr:rowOff>
    </xdr:from>
    <xdr:to>
      <xdr:col>2</xdr:col>
      <xdr:colOff>1181100</xdr:colOff>
      <xdr:row>771</xdr:row>
      <xdr:rowOff>542925</xdr:rowOff>
    </xdr:to>
    <xdr:pic>
      <xdr:nvPicPr>
        <xdr:cNvPr id="1577" name="Picture 553" descr=""/>
        <xdr:cNvPicPr>
          <a:picLocks noChangeAspect="1" noChangeArrowheads="1"/>
        </xdr:cNvPicPr>
      </xdr:nvPicPr>
      <xdr:blipFill>
        <a:blip r:embed="R49c44e5eb7214217" cstate="print"/>
        <a:srcRect/>
        <a:stretch>
          <a:fillRect/>
        </a:stretch>
      </xdr:blipFill>
      <xdr:spPr bwMode="auto">
        <a:xfrm>
          <a:off x="0" y="0"/>
          <a:ext cx="1143000" cy="504825"/>
        </a:xfrm>
        <a:prstGeom prst="rect">
          <a:avLst/>
        </a:prstGeom>
        <a:noFill/>
      </xdr:spPr>
    </xdr:pic>
    <xdr:clientData/>
  </xdr:twoCellAnchor>
  <xdr:twoCellAnchor editAs="oneCell">
    <xdr:from>
      <xdr:col>2</xdr:col>
      <xdr:colOff>38100</xdr:colOff>
      <xdr:row>772</xdr:row>
      <xdr:rowOff>38100</xdr:rowOff>
    </xdr:from>
    <xdr:to>
      <xdr:col>2</xdr:col>
      <xdr:colOff>1181100</xdr:colOff>
      <xdr:row>772</xdr:row>
      <xdr:rowOff>1152525</xdr:rowOff>
    </xdr:to>
    <xdr:pic>
      <xdr:nvPicPr>
        <xdr:cNvPr id="1578" name="Picture 554" descr=""/>
        <xdr:cNvPicPr>
          <a:picLocks noChangeAspect="1" noChangeArrowheads="1"/>
        </xdr:cNvPicPr>
      </xdr:nvPicPr>
      <xdr:blipFill>
        <a:blip r:embed="Rcbb31b05641745d6" cstate="print"/>
        <a:srcRect/>
        <a:stretch>
          <a:fillRect/>
        </a:stretch>
      </xdr:blipFill>
      <xdr:spPr bwMode="auto">
        <a:xfrm>
          <a:off x="0" y="0"/>
          <a:ext cx="1143000" cy="1114425"/>
        </a:xfrm>
        <a:prstGeom prst="rect">
          <a:avLst/>
        </a:prstGeom>
        <a:noFill/>
      </xdr:spPr>
    </xdr:pic>
    <xdr:clientData/>
  </xdr:twoCellAnchor>
  <xdr:twoCellAnchor editAs="oneCell">
    <xdr:from>
      <xdr:col>2</xdr:col>
      <xdr:colOff>38100</xdr:colOff>
      <xdr:row>773</xdr:row>
      <xdr:rowOff>38100</xdr:rowOff>
    </xdr:from>
    <xdr:to>
      <xdr:col>2</xdr:col>
      <xdr:colOff>1181100</xdr:colOff>
      <xdr:row>773</xdr:row>
      <xdr:rowOff>1181100</xdr:rowOff>
    </xdr:to>
    <xdr:pic>
      <xdr:nvPicPr>
        <xdr:cNvPr id="1579" name="Picture 555" descr=""/>
        <xdr:cNvPicPr>
          <a:picLocks noChangeAspect="1" noChangeArrowheads="1"/>
        </xdr:cNvPicPr>
      </xdr:nvPicPr>
      <xdr:blipFill>
        <a:blip r:embed="R20cde071dbc24f5c"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774</xdr:row>
      <xdr:rowOff>38100</xdr:rowOff>
    </xdr:from>
    <xdr:to>
      <xdr:col>2</xdr:col>
      <xdr:colOff>1181100</xdr:colOff>
      <xdr:row>774</xdr:row>
      <xdr:rowOff>657225</xdr:rowOff>
    </xdr:to>
    <xdr:pic>
      <xdr:nvPicPr>
        <xdr:cNvPr id="1580" name="Picture 556" descr=""/>
        <xdr:cNvPicPr>
          <a:picLocks noChangeAspect="1" noChangeArrowheads="1"/>
        </xdr:cNvPicPr>
      </xdr:nvPicPr>
      <xdr:blipFill>
        <a:blip r:embed="R2d2429b57ab14fa6" cstate="print"/>
        <a:srcRect/>
        <a:stretch>
          <a:fillRect/>
        </a:stretch>
      </xdr:blipFill>
      <xdr:spPr bwMode="auto">
        <a:xfrm>
          <a:off x="0" y="0"/>
          <a:ext cx="1143000" cy="619125"/>
        </a:xfrm>
        <a:prstGeom prst="rect">
          <a:avLst/>
        </a:prstGeom>
        <a:noFill/>
      </xdr:spPr>
    </xdr:pic>
    <xdr:clientData/>
  </xdr:twoCellAnchor>
  <xdr:twoCellAnchor editAs="oneCell">
    <xdr:from>
      <xdr:col>2</xdr:col>
      <xdr:colOff>38100</xdr:colOff>
      <xdr:row>775</xdr:row>
      <xdr:rowOff>38100</xdr:rowOff>
    </xdr:from>
    <xdr:to>
      <xdr:col>2</xdr:col>
      <xdr:colOff>1181100</xdr:colOff>
      <xdr:row>775</xdr:row>
      <xdr:rowOff>838200</xdr:rowOff>
    </xdr:to>
    <xdr:pic>
      <xdr:nvPicPr>
        <xdr:cNvPr id="1581" name="Picture 557" descr=""/>
        <xdr:cNvPicPr>
          <a:picLocks noChangeAspect="1" noChangeArrowheads="1"/>
        </xdr:cNvPicPr>
      </xdr:nvPicPr>
      <xdr:blipFill>
        <a:blip r:embed="R3069d665c606410a" cstate="print"/>
        <a:srcRect/>
        <a:stretch>
          <a:fillRect/>
        </a:stretch>
      </xdr:blipFill>
      <xdr:spPr bwMode="auto">
        <a:xfrm>
          <a:off x="0" y="0"/>
          <a:ext cx="1143000" cy="800100"/>
        </a:xfrm>
        <a:prstGeom prst="rect">
          <a:avLst/>
        </a:prstGeom>
        <a:noFill/>
      </xdr:spPr>
    </xdr:pic>
    <xdr:clientData/>
  </xdr:twoCellAnchor>
  <xdr:twoCellAnchor editAs="oneCell">
    <xdr:from>
      <xdr:col>2</xdr:col>
      <xdr:colOff>38100</xdr:colOff>
      <xdr:row>776</xdr:row>
      <xdr:rowOff>38100</xdr:rowOff>
    </xdr:from>
    <xdr:to>
      <xdr:col>2</xdr:col>
      <xdr:colOff>1104900</xdr:colOff>
      <xdr:row>776</xdr:row>
      <xdr:rowOff>1181100</xdr:rowOff>
    </xdr:to>
    <xdr:pic>
      <xdr:nvPicPr>
        <xdr:cNvPr id="1582" name="Picture 558" descr=""/>
        <xdr:cNvPicPr>
          <a:picLocks noChangeAspect="1" noChangeArrowheads="1"/>
        </xdr:cNvPicPr>
      </xdr:nvPicPr>
      <xdr:blipFill>
        <a:blip r:embed="R6050be9cca444ae8" cstate="print"/>
        <a:srcRect/>
        <a:stretch>
          <a:fillRect/>
        </a:stretch>
      </xdr:blipFill>
      <xdr:spPr bwMode="auto">
        <a:xfrm>
          <a:off x="0" y="0"/>
          <a:ext cx="1066800" cy="1143000"/>
        </a:xfrm>
        <a:prstGeom prst="rect">
          <a:avLst/>
        </a:prstGeom>
        <a:noFill/>
      </xdr:spPr>
    </xdr:pic>
    <xdr:clientData/>
  </xdr:twoCellAnchor>
  <xdr:twoCellAnchor editAs="oneCell">
    <xdr:from>
      <xdr:col>2</xdr:col>
      <xdr:colOff>38100</xdr:colOff>
      <xdr:row>777</xdr:row>
      <xdr:rowOff>38100</xdr:rowOff>
    </xdr:from>
    <xdr:to>
      <xdr:col>2</xdr:col>
      <xdr:colOff>109766100</xdr:colOff>
      <xdr:row>777</xdr:row>
      <xdr:rowOff>21069300</xdr:rowOff>
    </xdr:to>
    <xdr:pic>
      <xdr:nvPicPr>
        <xdr:cNvPr id="1583" name="Picture 559" descr=""/>
        <xdr:cNvPicPr>
          <a:picLocks noChangeAspect="1" noChangeArrowheads="1"/>
        </xdr:cNvPicPr>
      </xdr:nvPicPr>
      <xdr:blipFill>
        <a:blip r:embed="Ra47a117fc809434f" cstate="print"/>
        <a:srcRect/>
        <a:stretch>
          <a:fillRect/>
        </a:stretch>
      </xdr:blipFill>
      <xdr:spPr bwMode="auto">
        <a:xfrm>
          <a:off x="0" y="0"/>
          <a:ext cx="109728000" cy="21031200"/>
        </a:xfrm>
        <a:prstGeom prst="rect">
          <a:avLst/>
        </a:prstGeom>
        <a:noFill/>
      </xdr:spPr>
    </xdr:pic>
    <xdr:clientData/>
  </xdr:twoCellAnchor>
  <xdr:twoCellAnchor editAs="oneCell">
    <xdr:from>
      <xdr:col>2</xdr:col>
      <xdr:colOff>38100</xdr:colOff>
      <xdr:row>778</xdr:row>
      <xdr:rowOff>38100</xdr:rowOff>
    </xdr:from>
    <xdr:to>
      <xdr:col>2</xdr:col>
      <xdr:colOff>704850</xdr:colOff>
      <xdr:row>778</xdr:row>
      <xdr:rowOff>1181100</xdr:rowOff>
    </xdr:to>
    <xdr:pic>
      <xdr:nvPicPr>
        <xdr:cNvPr id="1584" name="Picture 560" descr=""/>
        <xdr:cNvPicPr>
          <a:picLocks noChangeAspect="1" noChangeArrowheads="1"/>
        </xdr:cNvPicPr>
      </xdr:nvPicPr>
      <xdr:blipFill>
        <a:blip r:embed="R111d46a8b2314033" cstate="print"/>
        <a:srcRect/>
        <a:stretch>
          <a:fillRect/>
        </a:stretch>
      </xdr:blipFill>
      <xdr:spPr bwMode="auto">
        <a:xfrm>
          <a:off x="0" y="0"/>
          <a:ext cx="666750" cy="1143000"/>
        </a:xfrm>
        <a:prstGeom prst="rect">
          <a:avLst/>
        </a:prstGeom>
        <a:noFill/>
      </xdr:spPr>
    </xdr:pic>
    <xdr:clientData/>
  </xdr:twoCellAnchor>
  <xdr:twoCellAnchor editAs="oneCell">
    <xdr:from>
      <xdr:col>2</xdr:col>
      <xdr:colOff>38100</xdr:colOff>
      <xdr:row>779</xdr:row>
      <xdr:rowOff>38100</xdr:rowOff>
    </xdr:from>
    <xdr:to>
      <xdr:col>2</xdr:col>
      <xdr:colOff>404220</xdr:colOff>
      <xdr:row>779</xdr:row>
      <xdr:rowOff>404220</xdr:rowOff>
    </xdr:to>
    <xdr:pic>
      <xdr:nvPicPr>
        <xdr:cNvPr id="1585" name="Picture 561" descr=""/>
        <xdr:cNvPicPr>
          <a:picLocks noChangeAspect="1" noChangeArrowheads="1"/>
        </xdr:cNvPicPr>
      </xdr:nvPicPr>
      <xdr:blipFill>
        <a:blip r:embed="Rb3f9649a057745d7" cstate="print"/>
        <a:srcRect/>
        <a:stretch>
          <a:fillRect/>
        </a:stretch>
      </xdr:blipFill>
      <xdr:spPr bwMode="auto">
        <a:xfrm>
          <a:off x="0" y="0"/>
          <a:ext cx="366120" cy="366120"/>
        </a:xfrm>
        <a:prstGeom prst="rect">
          <a:avLst/>
        </a:prstGeom>
        <a:noFill/>
      </xdr:spPr>
    </xdr:pic>
    <xdr:clientData/>
  </xdr:twoCellAnchor>
  <xdr:twoCellAnchor editAs="oneCell">
    <xdr:from>
      <xdr:col>2</xdr:col>
      <xdr:colOff>38100</xdr:colOff>
      <xdr:row>781</xdr:row>
      <xdr:rowOff>38100</xdr:rowOff>
    </xdr:from>
    <xdr:to>
      <xdr:col>2</xdr:col>
      <xdr:colOff>1181100</xdr:colOff>
      <xdr:row>781</xdr:row>
      <xdr:rowOff>1181100</xdr:rowOff>
    </xdr:to>
    <xdr:pic>
      <xdr:nvPicPr>
        <xdr:cNvPr id="1586" name="Picture 562" descr=""/>
        <xdr:cNvPicPr>
          <a:picLocks noChangeAspect="1" noChangeArrowheads="1"/>
        </xdr:cNvPicPr>
      </xdr:nvPicPr>
      <xdr:blipFill>
        <a:blip r:embed="R80bcfddd41de4a0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782</xdr:row>
      <xdr:rowOff>38100</xdr:rowOff>
    </xdr:from>
    <xdr:to>
      <xdr:col>2</xdr:col>
      <xdr:colOff>769620</xdr:colOff>
      <xdr:row>782</xdr:row>
      <xdr:rowOff>605028</xdr:rowOff>
    </xdr:to>
    <xdr:pic>
      <xdr:nvPicPr>
        <xdr:cNvPr id="1587" name="Picture 563" descr=""/>
        <xdr:cNvPicPr>
          <a:picLocks noChangeAspect="1" noChangeArrowheads="1"/>
        </xdr:cNvPicPr>
      </xdr:nvPicPr>
      <xdr:blipFill>
        <a:blip r:embed="Re0354887bbf74b69" cstate="print"/>
        <a:srcRect/>
        <a:stretch>
          <a:fillRect/>
        </a:stretch>
      </xdr:blipFill>
      <xdr:spPr bwMode="auto">
        <a:xfrm>
          <a:off x="0" y="0"/>
          <a:ext cx="731520" cy="566928"/>
        </a:xfrm>
        <a:prstGeom prst="rect">
          <a:avLst/>
        </a:prstGeom>
        <a:noFill/>
      </xdr:spPr>
    </xdr:pic>
    <xdr:clientData/>
  </xdr:twoCellAnchor>
  <xdr:twoCellAnchor editAs="oneCell">
    <xdr:from>
      <xdr:col>2</xdr:col>
      <xdr:colOff>38100</xdr:colOff>
      <xdr:row>783</xdr:row>
      <xdr:rowOff>38100</xdr:rowOff>
    </xdr:from>
    <xdr:to>
      <xdr:col>2</xdr:col>
      <xdr:colOff>981075</xdr:colOff>
      <xdr:row>783</xdr:row>
      <xdr:rowOff>1181100</xdr:rowOff>
    </xdr:to>
    <xdr:pic>
      <xdr:nvPicPr>
        <xdr:cNvPr id="1588" name="Picture 564" descr=""/>
        <xdr:cNvPicPr>
          <a:picLocks noChangeAspect="1" noChangeArrowheads="1"/>
        </xdr:cNvPicPr>
      </xdr:nvPicPr>
      <xdr:blipFill>
        <a:blip r:embed="R3d403747569e4709" cstate="print"/>
        <a:srcRect/>
        <a:stretch>
          <a:fillRect/>
        </a:stretch>
      </xdr:blipFill>
      <xdr:spPr bwMode="auto">
        <a:xfrm>
          <a:off x="0" y="0"/>
          <a:ext cx="942975" cy="1143000"/>
        </a:xfrm>
        <a:prstGeom prst="rect">
          <a:avLst/>
        </a:prstGeom>
        <a:noFill/>
      </xdr:spPr>
    </xdr:pic>
    <xdr:clientData/>
  </xdr:twoCellAnchor>
  <xdr:twoCellAnchor editAs="oneCell">
    <xdr:from>
      <xdr:col>2</xdr:col>
      <xdr:colOff>38100</xdr:colOff>
      <xdr:row>784</xdr:row>
      <xdr:rowOff>38100</xdr:rowOff>
    </xdr:from>
    <xdr:to>
      <xdr:col>2</xdr:col>
      <xdr:colOff>1181100</xdr:colOff>
      <xdr:row>784</xdr:row>
      <xdr:rowOff>1181100</xdr:rowOff>
    </xdr:to>
    <xdr:pic>
      <xdr:nvPicPr>
        <xdr:cNvPr id="1589" name="Picture 565" descr=""/>
        <xdr:cNvPicPr>
          <a:picLocks noChangeAspect="1" noChangeArrowheads="1"/>
        </xdr:cNvPicPr>
      </xdr:nvPicPr>
      <xdr:blipFill>
        <a:blip r:embed="R8d2c66a32b34423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786</xdr:row>
      <xdr:rowOff>38100</xdr:rowOff>
    </xdr:from>
    <xdr:to>
      <xdr:col>2</xdr:col>
      <xdr:colOff>1181100</xdr:colOff>
      <xdr:row>786</xdr:row>
      <xdr:rowOff>438150</xdr:rowOff>
    </xdr:to>
    <xdr:pic>
      <xdr:nvPicPr>
        <xdr:cNvPr id="1590" name="Picture 566" descr=""/>
        <xdr:cNvPicPr>
          <a:picLocks noChangeAspect="1" noChangeArrowheads="1"/>
        </xdr:cNvPicPr>
      </xdr:nvPicPr>
      <xdr:blipFill>
        <a:blip r:embed="R3b622b8853cd404b" cstate="print"/>
        <a:srcRect/>
        <a:stretch>
          <a:fillRect/>
        </a:stretch>
      </xdr:blipFill>
      <xdr:spPr bwMode="auto">
        <a:xfrm>
          <a:off x="0" y="0"/>
          <a:ext cx="1143000" cy="400050"/>
        </a:xfrm>
        <a:prstGeom prst="rect">
          <a:avLst/>
        </a:prstGeom>
        <a:noFill/>
      </xdr:spPr>
    </xdr:pic>
    <xdr:clientData/>
  </xdr:twoCellAnchor>
  <xdr:twoCellAnchor editAs="oneCell">
    <xdr:from>
      <xdr:col>2</xdr:col>
      <xdr:colOff>38100</xdr:colOff>
      <xdr:row>787</xdr:row>
      <xdr:rowOff>38100</xdr:rowOff>
    </xdr:from>
    <xdr:to>
      <xdr:col>2</xdr:col>
      <xdr:colOff>1181100</xdr:colOff>
      <xdr:row>787</xdr:row>
      <xdr:rowOff>609600</xdr:rowOff>
    </xdr:to>
    <xdr:pic>
      <xdr:nvPicPr>
        <xdr:cNvPr id="1591" name="Picture 567" descr=""/>
        <xdr:cNvPicPr>
          <a:picLocks noChangeAspect="1" noChangeArrowheads="1"/>
        </xdr:cNvPicPr>
      </xdr:nvPicPr>
      <xdr:blipFill>
        <a:blip r:embed="Ra58f363d4e924afd"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788</xdr:row>
      <xdr:rowOff>38100</xdr:rowOff>
    </xdr:from>
    <xdr:to>
      <xdr:col>2</xdr:col>
      <xdr:colOff>1181100</xdr:colOff>
      <xdr:row>788</xdr:row>
      <xdr:rowOff>1181100</xdr:rowOff>
    </xdr:to>
    <xdr:pic>
      <xdr:nvPicPr>
        <xdr:cNvPr id="1592" name="Picture 568" descr=""/>
        <xdr:cNvPicPr>
          <a:picLocks noChangeAspect="1" noChangeArrowheads="1"/>
        </xdr:cNvPicPr>
      </xdr:nvPicPr>
      <xdr:blipFill>
        <a:blip r:embed="R3e4ca10391cc467a"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790</xdr:row>
      <xdr:rowOff>38100</xdr:rowOff>
    </xdr:from>
    <xdr:to>
      <xdr:col>2</xdr:col>
      <xdr:colOff>1181100</xdr:colOff>
      <xdr:row>790</xdr:row>
      <xdr:rowOff>1181100</xdr:rowOff>
    </xdr:to>
    <xdr:pic>
      <xdr:nvPicPr>
        <xdr:cNvPr id="1593" name="Picture 569" descr=""/>
        <xdr:cNvPicPr>
          <a:picLocks noChangeAspect="1" noChangeArrowheads="1"/>
        </xdr:cNvPicPr>
      </xdr:nvPicPr>
      <xdr:blipFill>
        <a:blip r:embed="R3176dc474e9a42f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791</xdr:row>
      <xdr:rowOff>38100</xdr:rowOff>
    </xdr:from>
    <xdr:to>
      <xdr:col>2</xdr:col>
      <xdr:colOff>1181100</xdr:colOff>
      <xdr:row>791</xdr:row>
      <xdr:rowOff>428625</xdr:rowOff>
    </xdr:to>
    <xdr:pic>
      <xdr:nvPicPr>
        <xdr:cNvPr id="1594" name="Picture 570" descr=""/>
        <xdr:cNvPicPr>
          <a:picLocks noChangeAspect="1" noChangeArrowheads="1"/>
        </xdr:cNvPicPr>
      </xdr:nvPicPr>
      <xdr:blipFill>
        <a:blip r:embed="Rae1d2e0cc3da4655" cstate="print"/>
        <a:srcRect/>
        <a:stretch>
          <a:fillRect/>
        </a:stretch>
      </xdr:blipFill>
      <xdr:spPr bwMode="auto">
        <a:xfrm>
          <a:off x="0" y="0"/>
          <a:ext cx="1143000" cy="390525"/>
        </a:xfrm>
        <a:prstGeom prst="rect">
          <a:avLst/>
        </a:prstGeom>
        <a:noFill/>
      </xdr:spPr>
    </xdr:pic>
    <xdr:clientData/>
  </xdr:twoCellAnchor>
  <xdr:twoCellAnchor editAs="oneCell">
    <xdr:from>
      <xdr:col>2</xdr:col>
      <xdr:colOff>38100</xdr:colOff>
      <xdr:row>792</xdr:row>
      <xdr:rowOff>38100</xdr:rowOff>
    </xdr:from>
    <xdr:to>
      <xdr:col>2</xdr:col>
      <xdr:colOff>1181100</xdr:colOff>
      <xdr:row>792</xdr:row>
      <xdr:rowOff>1152525</xdr:rowOff>
    </xdr:to>
    <xdr:pic>
      <xdr:nvPicPr>
        <xdr:cNvPr id="1595" name="Picture 571" descr=""/>
        <xdr:cNvPicPr>
          <a:picLocks noChangeAspect="1" noChangeArrowheads="1"/>
        </xdr:cNvPicPr>
      </xdr:nvPicPr>
      <xdr:blipFill>
        <a:blip r:embed="R062830d492d54037" cstate="print"/>
        <a:srcRect/>
        <a:stretch>
          <a:fillRect/>
        </a:stretch>
      </xdr:blipFill>
      <xdr:spPr bwMode="auto">
        <a:xfrm>
          <a:off x="0" y="0"/>
          <a:ext cx="1143000" cy="1114425"/>
        </a:xfrm>
        <a:prstGeom prst="rect">
          <a:avLst/>
        </a:prstGeom>
        <a:noFill/>
      </xdr:spPr>
    </xdr:pic>
    <xdr:clientData/>
  </xdr:twoCellAnchor>
  <xdr:twoCellAnchor editAs="oneCell">
    <xdr:from>
      <xdr:col>2</xdr:col>
      <xdr:colOff>38100</xdr:colOff>
      <xdr:row>794</xdr:row>
      <xdr:rowOff>38100</xdr:rowOff>
    </xdr:from>
    <xdr:to>
      <xdr:col>2</xdr:col>
      <xdr:colOff>1181100</xdr:colOff>
      <xdr:row>794</xdr:row>
      <xdr:rowOff>1171575</xdr:rowOff>
    </xdr:to>
    <xdr:pic>
      <xdr:nvPicPr>
        <xdr:cNvPr id="1596" name="Picture 572" descr=""/>
        <xdr:cNvPicPr>
          <a:picLocks noChangeAspect="1" noChangeArrowheads="1"/>
        </xdr:cNvPicPr>
      </xdr:nvPicPr>
      <xdr:blipFill>
        <a:blip r:embed="R7116fde140a745ed" cstate="print"/>
        <a:srcRect/>
        <a:stretch>
          <a:fillRect/>
        </a:stretch>
      </xdr:blipFill>
      <xdr:spPr bwMode="auto">
        <a:xfrm>
          <a:off x="0" y="0"/>
          <a:ext cx="1143000" cy="1133475"/>
        </a:xfrm>
        <a:prstGeom prst="rect">
          <a:avLst/>
        </a:prstGeom>
        <a:noFill/>
      </xdr:spPr>
    </xdr:pic>
    <xdr:clientData/>
  </xdr:twoCellAnchor>
  <xdr:twoCellAnchor editAs="oneCell">
    <xdr:from>
      <xdr:col>2</xdr:col>
      <xdr:colOff>38100</xdr:colOff>
      <xdr:row>796</xdr:row>
      <xdr:rowOff>38100</xdr:rowOff>
    </xdr:from>
    <xdr:to>
      <xdr:col>2</xdr:col>
      <xdr:colOff>1181220</xdr:colOff>
      <xdr:row>796</xdr:row>
      <xdr:rowOff>876388</xdr:rowOff>
    </xdr:to>
    <xdr:pic>
      <xdr:nvPicPr>
        <xdr:cNvPr id="1597" name="Picture 573" descr=""/>
        <xdr:cNvPicPr>
          <a:picLocks noChangeAspect="1" noChangeArrowheads="1"/>
        </xdr:cNvPicPr>
      </xdr:nvPicPr>
      <xdr:blipFill>
        <a:blip r:embed="Rb4f110ab68ae4600" cstate="print"/>
        <a:srcRect/>
        <a:stretch>
          <a:fillRect/>
        </a:stretch>
      </xdr:blipFill>
      <xdr:spPr bwMode="auto">
        <a:xfrm>
          <a:off x="0" y="0"/>
          <a:ext cx="1143120" cy="838288"/>
        </a:xfrm>
        <a:prstGeom prst="rect">
          <a:avLst/>
        </a:prstGeom>
        <a:noFill/>
      </xdr:spPr>
    </xdr:pic>
    <xdr:clientData/>
  </xdr:twoCellAnchor>
  <xdr:twoCellAnchor editAs="oneCell">
    <xdr:from>
      <xdr:col>2</xdr:col>
      <xdr:colOff>38100</xdr:colOff>
      <xdr:row>797</xdr:row>
      <xdr:rowOff>38100</xdr:rowOff>
    </xdr:from>
    <xdr:to>
      <xdr:col>2</xdr:col>
      <xdr:colOff>1181100</xdr:colOff>
      <xdr:row>797</xdr:row>
      <xdr:rowOff>685800</xdr:rowOff>
    </xdr:to>
    <xdr:pic>
      <xdr:nvPicPr>
        <xdr:cNvPr id="1598" name="Picture 574" descr=""/>
        <xdr:cNvPicPr>
          <a:picLocks noChangeAspect="1" noChangeArrowheads="1"/>
        </xdr:cNvPicPr>
      </xdr:nvPicPr>
      <xdr:blipFill>
        <a:blip r:embed="Ra0e62ffe3c57416c" cstate="print"/>
        <a:srcRect/>
        <a:stretch>
          <a:fillRect/>
        </a:stretch>
      </xdr:blipFill>
      <xdr:spPr bwMode="auto">
        <a:xfrm>
          <a:off x="0" y="0"/>
          <a:ext cx="1143000" cy="647700"/>
        </a:xfrm>
        <a:prstGeom prst="rect">
          <a:avLst/>
        </a:prstGeom>
        <a:noFill/>
      </xdr:spPr>
    </xdr:pic>
    <xdr:clientData/>
  </xdr:twoCellAnchor>
  <xdr:twoCellAnchor editAs="oneCell">
    <xdr:from>
      <xdr:col>2</xdr:col>
      <xdr:colOff>38100</xdr:colOff>
      <xdr:row>799</xdr:row>
      <xdr:rowOff>38100</xdr:rowOff>
    </xdr:from>
    <xdr:to>
      <xdr:col>2</xdr:col>
      <xdr:colOff>769620</xdr:colOff>
      <xdr:row>799</xdr:row>
      <xdr:rowOff>257556</xdr:rowOff>
    </xdr:to>
    <xdr:pic>
      <xdr:nvPicPr>
        <xdr:cNvPr id="1599" name="Picture 575" descr=""/>
        <xdr:cNvPicPr>
          <a:picLocks noChangeAspect="1" noChangeArrowheads="1"/>
        </xdr:cNvPicPr>
      </xdr:nvPicPr>
      <xdr:blipFill>
        <a:blip r:embed="R76baa58270594451" cstate="print"/>
        <a:srcRect/>
        <a:stretch>
          <a:fillRect/>
        </a:stretch>
      </xdr:blipFill>
      <xdr:spPr bwMode="auto">
        <a:xfrm>
          <a:off x="0" y="0"/>
          <a:ext cx="731520" cy="219456"/>
        </a:xfrm>
        <a:prstGeom prst="rect">
          <a:avLst/>
        </a:prstGeom>
        <a:noFill/>
      </xdr:spPr>
    </xdr:pic>
    <xdr:clientData/>
  </xdr:twoCellAnchor>
  <xdr:twoCellAnchor editAs="oneCell">
    <xdr:from>
      <xdr:col>2</xdr:col>
      <xdr:colOff>38100</xdr:colOff>
      <xdr:row>802</xdr:row>
      <xdr:rowOff>38100</xdr:rowOff>
    </xdr:from>
    <xdr:to>
      <xdr:col>2</xdr:col>
      <xdr:colOff>403860</xdr:colOff>
      <xdr:row>802</xdr:row>
      <xdr:rowOff>309372</xdr:rowOff>
    </xdr:to>
    <xdr:pic>
      <xdr:nvPicPr>
        <xdr:cNvPr id="1600" name="Picture 576" descr=""/>
        <xdr:cNvPicPr>
          <a:picLocks noChangeAspect="1" noChangeArrowheads="1"/>
        </xdr:cNvPicPr>
      </xdr:nvPicPr>
      <xdr:blipFill>
        <a:blip r:embed="R0cde9d8408a140ac" cstate="print"/>
        <a:srcRect/>
        <a:stretch>
          <a:fillRect/>
        </a:stretch>
      </xdr:blipFill>
      <xdr:spPr bwMode="auto">
        <a:xfrm>
          <a:off x="0" y="0"/>
          <a:ext cx="365760" cy="271272"/>
        </a:xfrm>
        <a:prstGeom prst="rect">
          <a:avLst/>
        </a:prstGeom>
        <a:noFill/>
      </xdr:spPr>
    </xdr:pic>
    <xdr:clientData/>
  </xdr:twoCellAnchor>
  <xdr:twoCellAnchor editAs="oneCell">
    <xdr:from>
      <xdr:col>2</xdr:col>
      <xdr:colOff>38100</xdr:colOff>
      <xdr:row>804</xdr:row>
      <xdr:rowOff>38100</xdr:rowOff>
    </xdr:from>
    <xdr:to>
      <xdr:col>2</xdr:col>
      <xdr:colOff>403860</xdr:colOff>
      <xdr:row>804</xdr:row>
      <xdr:rowOff>403860</xdr:rowOff>
    </xdr:to>
    <xdr:pic>
      <xdr:nvPicPr>
        <xdr:cNvPr id="1601" name="Picture 577" descr=""/>
        <xdr:cNvPicPr>
          <a:picLocks noChangeAspect="1" noChangeArrowheads="1"/>
        </xdr:cNvPicPr>
      </xdr:nvPicPr>
      <xdr:blipFill>
        <a:blip r:embed="Rb62cadfc967347cd"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805</xdr:row>
      <xdr:rowOff>38100</xdr:rowOff>
    </xdr:from>
    <xdr:to>
      <xdr:col>2</xdr:col>
      <xdr:colOff>1181100</xdr:colOff>
      <xdr:row>805</xdr:row>
      <xdr:rowOff>923925</xdr:rowOff>
    </xdr:to>
    <xdr:pic>
      <xdr:nvPicPr>
        <xdr:cNvPr id="1602" name="Picture 578" descr=""/>
        <xdr:cNvPicPr>
          <a:picLocks noChangeAspect="1" noChangeArrowheads="1"/>
        </xdr:cNvPicPr>
      </xdr:nvPicPr>
      <xdr:blipFill>
        <a:blip r:embed="R3eb9421b2ab44820" cstate="print"/>
        <a:srcRect/>
        <a:stretch>
          <a:fillRect/>
        </a:stretch>
      </xdr:blipFill>
      <xdr:spPr bwMode="auto">
        <a:xfrm>
          <a:off x="0" y="0"/>
          <a:ext cx="1143000" cy="885825"/>
        </a:xfrm>
        <a:prstGeom prst="rect">
          <a:avLst/>
        </a:prstGeom>
        <a:noFill/>
      </xdr:spPr>
    </xdr:pic>
    <xdr:clientData/>
  </xdr:twoCellAnchor>
  <xdr:twoCellAnchor editAs="oneCell">
    <xdr:from>
      <xdr:col>2</xdr:col>
      <xdr:colOff>38100</xdr:colOff>
      <xdr:row>806</xdr:row>
      <xdr:rowOff>38100</xdr:rowOff>
    </xdr:from>
    <xdr:to>
      <xdr:col>2</xdr:col>
      <xdr:colOff>1181100</xdr:colOff>
      <xdr:row>806</xdr:row>
      <xdr:rowOff>828675</xdr:rowOff>
    </xdr:to>
    <xdr:pic>
      <xdr:nvPicPr>
        <xdr:cNvPr id="1603" name="Picture 579" descr=""/>
        <xdr:cNvPicPr>
          <a:picLocks noChangeAspect="1" noChangeArrowheads="1"/>
        </xdr:cNvPicPr>
      </xdr:nvPicPr>
      <xdr:blipFill>
        <a:blip r:embed="Ra91f4dfed80b4b6e" cstate="print"/>
        <a:srcRect/>
        <a:stretch>
          <a:fillRect/>
        </a:stretch>
      </xdr:blipFill>
      <xdr:spPr bwMode="auto">
        <a:xfrm>
          <a:off x="0" y="0"/>
          <a:ext cx="1143000" cy="790575"/>
        </a:xfrm>
        <a:prstGeom prst="rect">
          <a:avLst/>
        </a:prstGeom>
        <a:noFill/>
      </xdr:spPr>
    </xdr:pic>
    <xdr:clientData/>
  </xdr:twoCellAnchor>
  <xdr:twoCellAnchor editAs="oneCell">
    <xdr:from>
      <xdr:col>2</xdr:col>
      <xdr:colOff>38100</xdr:colOff>
      <xdr:row>807</xdr:row>
      <xdr:rowOff>38100</xdr:rowOff>
    </xdr:from>
    <xdr:to>
      <xdr:col>2</xdr:col>
      <xdr:colOff>1181100</xdr:colOff>
      <xdr:row>807</xdr:row>
      <xdr:rowOff>647700</xdr:rowOff>
    </xdr:to>
    <xdr:pic>
      <xdr:nvPicPr>
        <xdr:cNvPr id="1604" name="Picture 580" descr=""/>
        <xdr:cNvPicPr>
          <a:picLocks noChangeAspect="1" noChangeArrowheads="1"/>
        </xdr:cNvPicPr>
      </xdr:nvPicPr>
      <xdr:blipFill>
        <a:blip r:embed="R8fa8381d4b5540aa" cstate="print"/>
        <a:srcRect/>
        <a:stretch>
          <a:fillRect/>
        </a:stretch>
      </xdr:blipFill>
      <xdr:spPr bwMode="auto">
        <a:xfrm>
          <a:off x="0" y="0"/>
          <a:ext cx="1143000" cy="609600"/>
        </a:xfrm>
        <a:prstGeom prst="rect">
          <a:avLst/>
        </a:prstGeom>
        <a:noFill/>
      </xdr:spPr>
    </xdr:pic>
    <xdr:clientData/>
  </xdr:twoCellAnchor>
  <xdr:twoCellAnchor editAs="oneCell">
    <xdr:from>
      <xdr:col>2</xdr:col>
      <xdr:colOff>38100</xdr:colOff>
      <xdr:row>808</xdr:row>
      <xdr:rowOff>38100</xdr:rowOff>
    </xdr:from>
    <xdr:to>
      <xdr:col>2</xdr:col>
      <xdr:colOff>403860</xdr:colOff>
      <xdr:row>808</xdr:row>
      <xdr:rowOff>403860</xdr:rowOff>
    </xdr:to>
    <xdr:pic>
      <xdr:nvPicPr>
        <xdr:cNvPr id="1605" name="Picture 581" descr=""/>
        <xdr:cNvPicPr>
          <a:picLocks noChangeAspect="1" noChangeArrowheads="1"/>
        </xdr:cNvPicPr>
      </xdr:nvPicPr>
      <xdr:blipFill>
        <a:blip r:embed="R6e034a4a046645b5"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809</xdr:row>
      <xdr:rowOff>38100</xdr:rowOff>
    </xdr:from>
    <xdr:to>
      <xdr:col>2</xdr:col>
      <xdr:colOff>1562100</xdr:colOff>
      <xdr:row>809</xdr:row>
      <xdr:rowOff>1562100</xdr:rowOff>
    </xdr:to>
    <xdr:pic>
      <xdr:nvPicPr>
        <xdr:cNvPr id="1606" name="Picture 582" descr=""/>
        <xdr:cNvPicPr>
          <a:picLocks noChangeAspect="1" noChangeArrowheads="1"/>
        </xdr:cNvPicPr>
      </xdr:nvPicPr>
      <xdr:blipFill>
        <a:blip r:embed="Rd44916b3d86240b9"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810</xdr:row>
      <xdr:rowOff>38100</xdr:rowOff>
    </xdr:from>
    <xdr:to>
      <xdr:col>2</xdr:col>
      <xdr:colOff>1181100</xdr:colOff>
      <xdr:row>810</xdr:row>
      <xdr:rowOff>800100</xdr:rowOff>
    </xdr:to>
    <xdr:pic>
      <xdr:nvPicPr>
        <xdr:cNvPr id="1607" name="Picture 583" descr=""/>
        <xdr:cNvPicPr>
          <a:picLocks noChangeAspect="1" noChangeArrowheads="1"/>
        </xdr:cNvPicPr>
      </xdr:nvPicPr>
      <xdr:blipFill>
        <a:blip r:embed="Ra728cc19ffa64fda" cstate="print"/>
        <a:srcRect/>
        <a:stretch>
          <a:fillRect/>
        </a:stretch>
      </xdr:blipFill>
      <xdr:spPr bwMode="auto">
        <a:xfrm>
          <a:off x="0" y="0"/>
          <a:ext cx="1143000" cy="762000"/>
        </a:xfrm>
        <a:prstGeom prst="rect">
          <a:avLst/>
        </a:prstGeom>
        <a:noFill/>
      </xdr:spPr>
    </xdr:pic>
    <xdr:clientData/>
  </xdr:twoCellAnchor>
  <xdr:twoCellAnchor editAs="oneCell">
    <xdr:from>
      <xdr:col>2</xdr:col>
      <xdr:colOff>38100</xdr:colOff>
      <xdr:row>811</xdr:row>
      <xdr:rowOff>38100</xdr:rowOff>
    </xdr:from>
    <xdr:to>
      <xdr:col>2</xdr:col>
      <xdr:colOff>1181220</xdr:colOff>
      <xdr:row>811</xdr:row>
      <xdr:rowOff>1181220</xdr:rowOff>
    </xdr:to>
    <xdr:pic>
      <xdr:nvPicPr>
        <xdr:cNvPr id="1608" name="Picture 584" descr=""/>
        <xdr:cNvPicPr>
          <a:picLocks noChangeAspect="1" noChangeArrowheads="1"/>
        </xdr:cNvPicPr>
      </xdr:nvPicPr>
      <xdr:blipFill>
        <a:blip r:embed="Rc1d67ef4d220483c" cstate="print"/>
        <a:srcRect/>
        <a:stretch>
          <a:fillRect/>
        </a:stretch>
      </xdr:blipFill>
      <xdr:spPr bwMode="auto">
        <a:xfrm>
          <a:off x="0" y="0"/>
          <a:ext cx="1143120" cy="1143120"/>
        </a:xfrm>
        <a:prstGeom prst="rect">
          <a:avLst/>
        </a:prstGeom>
        <a:noFill/>
      </xdr:spPr>
    </xdr:pic>
    <xdr:clientData/>
  </xdr:twoCellAnchor>
  <xdr:twoCellAnchor editAs="oneCell">
    <xdr:from>
      <xdr:col>2</xdr:col>
      <xdr:colOff>38100</xdr:colOff>
      <xdr:row>812</xdr:row>
      <xdr:rowOff>38100</xdr:rowOff>
    </xdr:from>
    <xdr:to>
      <xdr:col>2</xdr:col>
      <xdr:colOff>800100</xdr:colOff>
      <xdr:row>812</xdr:row>
      <xdr:rowOff>800100</xdr:rowOff>
    </xdr:to>
    <xdr:pic>
      <xdr:nvPicPr>
        <xdr:cNvPr id="1609" name="Picture 585" descr=""/>
        <xdr:cNvPicPr>
          <a:picLocks noChangeAspect="1" noChangeArrowheads="1"/>
        </xdr:cNvPicPr>
      </xdr:nvPicPr>
      <xdr:blipFill>
        <a:blip r:embed="Rde8dc7b32b644aa9" cstate="print"/>
        <a:srcRect/>
        <a:stretch>
          <a:fillRect/>
        </a:stretch>
      </xdr:blipFill>
      <xdr:spPr bwMode="auto">
        <a:xfrm>
          <a:off x="0" y="0"/>
          <a:ext cx="762000" cy="762000"/>
        </a:xfrm>
        <a:prstGeom prst="rect">
          <a:avLst/>
        </a:prstGeom>
        <a:noFill/>
      </xdr:spPr>
    </xdr:pic>
    <xdr:clientData/>
  </xdr:twoCellAnchor>
  <xdr:twoCellAnchor editAs="oneCell">
    <xdr:from>
      <xdr:col>2</xdr:col>
      <xdr:colOff>38100</xdr:colOff>
      <xdr:row>814</xdr:row>
      <xdr:rowOff>38100</xdr:rowOff>
    </xdr:from>
    <xdr:to>
      <xdr:col>2</xdr:col>
      <xdr:colOff>1181100</xdr:colOff>
      <xdr:row>814</xdr:row>
      <xdr:rowOff>1181100</xdr:rowOff>
    </xdr:to>
    <xdr:pic>
      <xdr:nvPicPr>
        <xdr:cNvPr id="1610" name="Picture 586" descr=""/>
        <xdr:cNvPicPr>
          <a:picLocks noChangeAspect="1" noChangeArrowheads="1"/>
        </xdr:cNvPicPr>
      </xdr:nvPicPr>
      <xdr:blipFill>
        <a:blip r:embed="Rd185bf6ccd6c4da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815</xdr:row>
      <xdr:rowOff>38100</xdr:rowOff>
    </xdr:from>
    <xdr:to>
      <xdr:col>2</xdr:col>
      <xdr:colOff>1181100</xdr:colOff>
      <xdr:row>815</xdr:row>
      <xdr:rowOff>866775</xdr:rowOff>
    </xdr:to>
    <xdr:pic>
      <xdr:nvPicPr>
        <xdr:cNvPr id="1611" name="Picture 587" descr=""/>
        <xdr:cNvPicPr>
          <a:picLocks noChangeAspect="1" noChangeArrowheads="1"/>
        </xdr:cNvPicPr>
      </xdr:nvPicPr>
      <xdr:blipFill>
        <a:blip r:embed="R208f3a39f02346ff" cstate="print"/>
        <a:srcRect/>
        <a:stretch>
          <a:fillRect/>
        </a:stretch>
      </xdr:blipFill>
      <xdr:spPr bwMode="auto">
        <a:xfrm>
          <a:off x="0" y="0"/>
          <a:ext cx="1143000" cy="828675"/>
        </a:xfrm>
        <a:prstGeom prst="rect">
          <a:avLst/>
        </a:prstGeom>
        <a:noFill/>
      </xdr:spPr>
    </xdr:pic>
    <xdr:clientData/>
  </xdr:twoCellAnchor>
  <xdr:twoCellAnchor editAs="oneCell">
    <xdr:from>
      <xdr:col>2</xdr:col>
      <xdr:colOff>38100</xdr:colOff>
      <xdr:row>816</xdr:row>
      <xdr:rowOff>38100</xdr:rowOff>
    </xdr:from>
    <xdr:to>
      <xdr:col>2</xdr:col>
      <xdr:colOff>1181100</xdr:colOff>
      <xdr:row>816</xdr:row>
      <xdr:rowOff>1181100</xdr:rowOff>
    </xdr:to>
    <xdr:pic>
      <xdr:nvPicPr>
        <xdr:cNvPr id="1612" name="Picture 588" descr=""/>
        <xdr:cNvPicPr>
          <a:picLocks noChangeAspect="1" noChangeArrowheads="1"/>
        </xdr:cNvPicPr>
      </xdr:nvPicPr>
      <xdr:blipFill>
        <a:blip r:embed="Rfeb11c1afdad41c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817</xdr:row>
      <xdr:rowOff>38100</xdr:rowOff>
    </xdr:from>
    <xdr:to>
      <xdr:col>2</xdr:col>
      <xdr:colOff>1181100</xdr:colOff>
      <xdr:row>817</xdr:row>
      <xdr:rowOff>1181100</xdr:rowOff>
    </xdr:to>
    <xdr:pic>
      <xdr:nvPicPr>
        <xdr:cNvPr id="1613" name="Picture 589" descr=""/>
        <xdr:cNvPicPr>
          <a:picLocks noChangeAspect="1" noChangeArrowheads="1"/>
        </xdr:cNvPicPr>
      </xdr:nvPicPr>
      <xdr:blipFill>
        <a:blip r:embed="Rcdd83adb1704498b"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818</xdr:row>
      <xdr:rowOff>38100</xdr:rowOff>
    </xdr:from>
    <xdr:to>
      <xdr:col>2</xdr:col>
      <xdr:colOff>1135380</xdr:colOff>
      <xdr:row>818</xdr:row>
      <xdr:rowOff>815340</xdr:rowOff>
    </xdr:to>
    <xdr:pic>
      <xdr:nvPicPr>
        <xdr:cNvPr id="1614" name="Picture 590" descr=""/>
        <xdr:cNvPicPr>
          <a:picLocks noChangeAspect="1" noChangeArrowheads="1"/>
        </xdr:cNvPicPr>
      </xdr:nvPicPr>
      <xdr:blipFill>
        <a:blip r:embed="Rfb6bf99b8ac74043" cstate="print"/>
        <a:srcRect/>
        <a:stretch>
          <a:fillRect/>
        </a:stretch>
      </xdr:blipFill>
      <xdr:spPr bwMode="auto">
        <a:xfrm>
          <a:off x="0" y="0"/>
          <a:ext cx="1097280" cy="777240"/>
        </a:xfrm>
        <a:prstGeom prst="rect">
          <a:avLst/>
        </a:prstGeom>
        <a:noFill/>
      </xdr:spPr>
    </xdr:pic>
    <xdr:clientData/>
  </xdr:twoCellAnchor>
  <xdr:twoCellAnchor editAs="oneCell">
    <xdr:from>
      <xdr:col>2</xdr:col>
      <xdr:colOff>38100</xdr:colOff>
      <xdr:row>819</xdr:row>
      <xdr:rowOff>38100</xdr:rowOff>
    </xdr:from>
    <xdr:to>
      <xdr:col>2</xdr:col>
      <xdr:colOff>1181100</xdr:colOff>
      <xdr:row>819</xdr:row>
      <xdr:rowOff>1181100</xdr:rowOff>
    </xdr:to>
    <xdr:pic>
      <xdr:nvPicPr>
        <xdr:cNvPr id="1615" name="Picture 591" descr=""/>
        <xdr:cNvPicPr>
          <a:picLocks noChangeAspect="1" noChangeArrowheads="1"/>
        </xdr:cNvPicPr>
      </xdr:nvPicPr>
      <xdr:blipFill>
        <a:blip r:embed="Rca52097edfbc40c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820</xdr:row>
      <xdr:rowOff>38100</xdr:rowOff>
    </xdr:from>
    <xdr:to>
      <xdr:col>2</xdr:col>
      <xdr:colOff>520700</xdr:colOff>
      <xdr:row>820</xdr:row>
      <xdr:rowOff>800100</xdr:rowOff>
    </xdr:to>
    <xdr:pic>
      <xdr:nvPicPr>
        <xdr:cNvPr id="1616" name="Picture 592" descr=""/>
        <xdr:cNvPicPr>
          <a:picLocks noChangeAspect="1" noChangeArrowheads="1"/>
        </xdr:cNvPicPr>
      </xdr:nvPicPr>
      <xdr:blipFill>
        <a:blip r:embed="R58abb6e076954773" cstate="print"/>
        <a:srcRect/>
        <a:stretch>
          <a:fillRect/>
        </a:stretch>
      </xdr:blipFill>
      <xdr:spPr bwMode="auto">
        <a:xfrm>
          <a:off x="0" y="0"/>
          <a:ext cx="482600" cy="762000"/>
        </a:xfrm>
        <a:prstGeom prst="rect">
          <a:avLst/>
        </a:prstGeom>
        <a:noFill/>
      </xdr:spPr>
    </xdr:pic>
    <xdr:clientData/>
  </xdr:twoCellAnchor>
  <xdr:twoCellAnchor editAs="oneCell">
    <xdr:from>
      <xdr:col>2</xdr:col>
      <xdr:colOff>38100</xdr:colOff>
      <xdr:row>822</xdr:row>
      <xdr:rowOff>38100</xdr:rowOff>
    </xdr:from>
    <xdr:to>
      <xdr:col>2</xdr:col>
      <xdr:colOff>403860</xdr:colOff>
      <xdr:row>822</xdr:row>
      <xdr:rowOff>403860</xdr:rowOff>
    </xdr:to>
    <xdr:pic>
      <xdr:nvPicPr>
        <xdr:cNvPr id="1617" name="Picture 593" descr=""/>
        <xdr:cNvPicPr>
          <a:picLocks noChangeAspect="1" noChangeArrowheads="1"/>
        </xdr:cNvPicPr>
      </xdr:nvPicPr>
      <xdr:blipFill>
        <a:blip r:embed="Rb914faad0e6b41d2"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823</xdr:row>
      <xdr:rowOff>38100</xdr:rowOff>
    </xdr:from>
    <xdr:to>
      <xdr:col>2</xdr:col>
      <xdr:colOff>404220</xdr:colOff>
      <xdr:row>823</xdr:row>
      <xdr:rowOff>404220</xdr:rowOff>
    </xdr:to>
    <xdr:pic>
      <xdr:nvPicPr>
        <xdr:cNvPr id="1618" name="Picture 594" descr=""/>
        <xdr:cNvPicPr>
          <a:picLocks noChangeAspect="1" noChangeArrowheads="1"/>
        </xdr:cNvPicPr>
      </xdr:nvPicPr>
      <xdr:blipFill>
        <a:blip r:embed="Ra9b09030a329451e" cstate="print"/>
        <a:srcRect/>
        <a:stretch>
          <a:fillRect/>
        </a:stretch>
      </xdr:blipFill>
      <xdr:spPr bwMode="auto">
        <a:xfrm>
          <a:off x="0" y="0"/>
          <a:ext cx="366120" cy="366120"/>
        </a:xfrm>
        <a:prstGeom prst="rect">
          <a:avLst/>
        </a:prstGeom>
        <a:noFill/>
      </xdr:spPr>
    </xdr:pic>
    <xdr:clientData/>
  </xdr:twoCellAnchor>
  <xdr:twoCellAnchor editAs="oneCell">
    <xdr:from>
      <xdr:col>2</xdr:col>
      <xdr:colOff>38100</xdr:colOff>
      <xdr:row>825</xdr:row>
      <xdr:rowOff>38100</xdr:rowOff>
    </xdr:from>
    <xdr:to>
      <xdr:col>2</xdr:col>
      <xdr:colOff>404220</xdr:colOff>
      <xdr:row>825</xdr:row>
      <xdr:rowOff>404220</xdr:rowOff>
    </xdr:to>
    <xdr:pic>
      <xdr:nvPicPr>
        <xdr:cNvPr id="1619" name="Picture 595" descr=""/>
        <xdr:cNvPicPr>
          <a:picLocks noChangeAspect="1" noChangeArrowheads="1"/>
        </xdr:cNvPicPr>
      </xdr:nvPicPr>
      <xdr:blipFill>
        <a:blip r:embed="R8b98302b1ece4682" cstate="print"/>
        <a:srcRect/>
        <a:stretch>
          <a:fillRect/>
        </a:stretch>
      </xdr:blipFill>
      <xdr:spPr bwMode="auto">
        <a:xfrm>
          <a:off x="0" y="0"/>
          <a:ext cx="366120" cy="366120"/>
        </a:xfrm>
        <a:prstGeom prst="rect">
          <a:avLst/>
        </a:prstGeom>
        <a:noFill/>
      </xdr:spPr>
    </xdr:pic>
    <xdr:clientData/>
  </xdr:twoCellAnchor>
  <xdr:twoCellAnchor editAs="oneCell">
    <xdr:from>
      <xdr:col>2</xdr:col>
      <xdr:colOff>38100</xdr:colOff>
      <xdr:row>826</xdr:row>
      <xdr:rowOff>38100</xdr:rowOff>
    </xdr:from>
    <xdr:to>
      <xdr:col>2</xdr:col>
      <xdr:colOff>1181100</xdr:colOff>
      <xdr:row>826</xdr:row>
      <xdr:rowOff>1181100</xdr:rowOff>
    </xdr:to>
    <xdr:pic>
      <xdr:nvPicPr>
        <xdr:cNvPr id="1620" name="Picture 596" descr=""/>
        <xdr:cNvPicPr>
          <a:picLocks noChangeAspect="1" noChangeArrowheads="1"/>
        </xdr:cNvPicPr>
      </xdr:nvPicPr>
      <xdr:blipFill>
        <a:blip r:embed="R5d3d3ddfd2a44e7e"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827</xdr:row>
      <xdr:rowOff>38100</xdr:rowOff>
    </xdr:from>
    <xdr:to>
      <xdr:col>2</xdr:col>
      <xdr:colOff>769620</xdr:colOff>
      <xdr:row>827</xdr:row>
      <xdr:rowOff>769620</xdr:rowOff>
    </xdr:to>
    <xdr:pic>
      <xdr:nvPicPr>
        <xdr:cNvPr id="1621" name="Picture 597" descr=""/>
        <xdr:cNvPicPr>
          <a:picLocks noChangeAspect="1" noChangeArrowheads="1"/>
        </xdr:cNvPicPr>
      </xdr:nvPicPr>
      <xdr:blipFill>
        <a:blip r:embed="Rcf36538d8a444e0b"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829</xdr:row>
      <xdr:rowOff>38100</xdr:rowOff>
    </xdr:from>
    <xdr:to>
      <xdr:col>2</xdr:col>
      <xdr:colOff>1181100</xdr:colOff>
      <xdr:row>829</xdr:row>
      <xdr:rowOff>1181100</xdr:rowOff>
    </xdr:to>
    <xdr:pic>
      <xdr:nvPicPr>
        <xdr:cNvPr id="1622" name="Picture 598" descr=""/>
        <xdr:cNvPicPr>
          <a:picLocks noChangeAspect="1" noChangeArrowheads="1"/>
        </xdr:cNvPicPr>
      </xdr:nvPicPr>
      <xdr:blipFill>
        <a:blip r:embed="R6959afaf106c472c"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831</xdr:row>
      <xdr:rowOff>38100</xdr:rowOff>
    </xdr:from>
    <xdr:to>
      <xdr:col>2</xdr:col>
      <xdr:colOff>1371600</xdr:colOff>
      <xdr:row>831</xdr:row>
      <xdr:rowOff>1562100</xdr:rowOff>
    </xdr:to>
    <xdr:pic>
      <xdr:nvPicPr>
        <xdr:cNvPr id="1623" name="Picture 599" descr=""/>
        <xdr:cNvPicPr>
          <a:picLocks noChangeAspect="1" noChangeArrowheads="1"/>
        </xdr:cNvPicPr>
      </xdr:nvPicPr>
      <xdr:blipFill>
        <a:blip r:embed="Ra64439a64edb4cb4" cstate="print"/>
        <a:srcRect/>
        <a:stretch>
          <a:fillRect/>
        </a:stretch>
      </xdr:blipFill>
      <xdr:spPr bwMode="auto">
        <a:xfrm>
          <a:off x="0" y="0"/>
          <a:ext cx="1333500" cy="1524000"/>
        </a:xfrm>
        <a:prstGeom prst="rect">
          <a:avLst/>
        </a:prstGeom>
        <a:noFill/>
      </xdr:spPr>
    </xdr:pic>
    <xdr:clientData/>
  </xdr:twoCellAnchor>
  <xdr:twoCellAnchor editAs="oneCell">
    <xdr:from>
      <xdr:col>2</xdr:col>
      <xdr:colOff>38100</xdr:colOff>
      <xdr:row>832</xdr:row>
      <xdr:rowOff>38100</xdr:rowOff>
    </xdr:from>
    <xdr:to>
      <xdr:col>2</xdr:col>
      <xdr:colOff>1181100</xdr:colOff>
      <xdr:row>832</xdr:row>
      <xdr:rowOff>1181100</xdr:rowOff>
    </xdr:to>
    <xdr:pic>
      <xdr:nvPicPr>
        <xdr:cNvPr id="1624" name="Picture 600" descr=""/>
        <xdr:cNvPicPr>
          <a:picLocks noChangeAspect="1" noChangeArrowheads="1"/>
        </xdr:cNvPicPr>
      </xdr:nvPicPr>
      <xdr:blipFill>
        <a:blip r:embed="R27d1692dc1b74cd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833</xdr:row>
      <xdr:rowOff>38100</xdr:rowOff>
    </xdr:from>
    <xdr:to>
      <xdr:col>2</xdr:col>
      <xdr:colOff>1181100</xdr:colOff>
      <xdr:row>833</xdr:row>
      <xdr:rowOff>1181100</xdr:rowOff>
    </xdr:to>
    <xdr:pic>
      <xdr:nvPicPr>
        <xdr:cNvPr id="1625" name="Picture 601" descr=""/>
        <xdr:cNvPicPr>
          <a:picLocks noChangeAspect="1" noChangeArrowheads="1"/>
        </xdr:cNvPicPr>
      </xdr:nvPicPr>
      <xdr:blipFill>
        <a:blip r:embed="R36391134e55b4b0c"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836</xdr:row>
      <xdr:rowOff>38100</xdr:rowOff>
    </xdr:from>
    <xdr:to>
      <xdr:col>2</xdr:col>
      <xdr:colOff>1181100</xdr:colOff>
      <xdr:row>836</xdr:row>
      <xdr:rowOff>1181100</xdr:rowOff>
    </xdr:to>
    <xdr:pic>
      <xdr:nvPicPr>
        <xdr:cNvPr id="1626" name="Picture 602" descr=""/>
        <xdr:cNvPicPr>
          <a:picLocks noChangeAspect="1" noChangeArrowheads="1"/>
        </xdr:cNvPicPr>
      </xdr:nvPicPr>
      <xdr:blipFill>
        <a:blip r:embed="R755cda7f0e9441c5" cstate="print"/>
        <a:srcRect/>
        <a:stretch>
          <a:fillRect/>
        </a:stretch>
      </xdr:blipFill>
      <xdr:spPr bwMode="auto">
        <a:xfrm>
          <a:off x="0" y="0"/>
          <a:ext cx="1143000" cy="1143000"/>
        </a:xfrm>
        <a:prstGeom prst="rect">
          <a:avLst/>
        </a:prstGeom>
        <a:noFill/>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1.xml" Id="R542173bd6cc64b4e" /></Relationships>
</file>

<file path=xl/worksheets/sheet1.xml><?xml version="1.0" encoding="utf-8"?>
<x:worksheet xmlns:x="http://schemas.openxmlformats.org/spreadsheetml/2006/main">
  <x:cols>
    <x:col min="1" max="1" width="15" customWidth="1"/>
    <x:col min="2" max="2" width="40" customWidth="1"/>
    <x:col min="3" max="3" width="22" customWidth="1"/>
    <x:col min="4" max="4" width="12" customWidth="1"/>
    <x:col min="5" max="5" width="12" customWidth="1"/>
    <x:col min="6" max="6" width="20" customWidth="1"/>
    <x:col min="7" max="7" width="20" customWidth="1"/>
    <x:col min="8" max="8" width="20" customWidth="1"/>
    <x:col min="9" max="9" width="20" customWidth="1"/>
    <x:col min="10" max="10" width="20" customWidth="1"/>
    <x:col min="11" max="11" width="50" customWidth="1"/>
  </x:cols>
  <x:sheetData>
    <x:row r="1">
      <x:c r="A1" s="8" t="inlineStr">
        <x:is>
          <x:t>Superintendencia de Industria y Comercio de Colombia (SIC) - Reporte detallado de solicitudes</x:t>
        </x:is>
      </x:c>
    </x:row>
    <x:row r="2">
      <x:c r="A2" s="8" t="inlineStr">
        <x:is>
          <x:t>Fecha y hora: 10 ago. 2026 03:28:57 p. m.</x:t>
        </x:is>
      </x:c>
    </x:row>
    <x:row r="3"/>
    <x:row r="4">
      <x:c r="A4" s="6" t="inlineStr">
        <x:is>
          <x:t>Criterio de búsqueda:</x:t>
        </x:is>
      </x:c>
      <x:c r="B4" s="1" t="inlineStr">
        <x:is>
          <x:t>los criterios de búsqueda seleccionados coinciden con los criterios de búsqueda que el usuario entra en el campo de búsqueda en la pantalla de búsqueda, por ejemplo.</x:t>
        </x:is>
      </x:c>
    </x:row>
    <x:row r="5">
      <x:c r="A5" s="6" t="inlineStr">
        <x:is>
          <x:t>Tipo de caso: </x:t>
        </x:is>
      </x:c>
      <x:c r="B5" s="1" t="inlineStr">
        <x:is>
          <x:t>SD Solicitud de Signos Distintivos </x:t>
        </x:is>
      </x:c>
    </x:row>
    <x:row r="6">
      <x:c r="A6" s="6" t="inlineStr">
        <x:is>
          <x:t>Fecha de presentación: </x:t>
        </x:is>
      </x:c>
      <x:c r="B6" s="1" t="inlineStr">
        <x:is>
          <x:t>De</x:t>
        </x:is>
      </x:c>
      <x:c r="C6" s="1" t="inlineStr">
        <x:is>
          <x:t>01 ene. 2022</x:t>
        </x:is>
      </x:c>
      <x:c r="D6" s="1" t="inlineStr">
        <x:is>
          <x:t>Para</x:t>
        </x:is>
      </x:c>
      <x:c r="E6" s="1" t="inlineStr">
        <x:is>
          <x:t>31 dic. 2022</x:t>
        </x:is>
      </x:c>
    </x:row>
    <x:row r="7">
      <x:c r="A7" s="6" t="inlineStr">
        <x:is>
          <x:t>Good and Services Class(es)_ES: </x:t>
        </x:is>
      </x:c>
      <x:c r="B7" s="1" t="inlineStr">
        <x:is>
          <x:t>3</x:t>
        </x:is>
      </x:c>
    </x:row>
    <x:row r="8">
      <x:c r="A8" s="6" t="inlineStr">
        <x:is>
          <x:t>Estado: </x:t>
        </x:is>
      </x:c>
      <x:c r="B8" s="7" t="inlineStr">
        <x:is>
          <x:t>Negada; Negada; </x:t>
        </x:is>
      </x:c>
    </x:row>
    <x:row r="9">
      <x:c r="A9" s="6" t="inlineStr">
        <x:is>
          <x:t>Naturaleza: </x:t>
        </x:is>
      </x:c>
      <x:c r="B9" s="1" t="inlineStr">
        <x:is>
          <x:t>Marca</x:t>
        </x:is>
      </x:c>
    </x:row>
    <x:row r="10"/>
    <x:row r="11">
      <x:c r="011" s="5" t="str">
        <x:v>Número de caso</x:v>
      </x:c>
      <x:c r="111" s="5" t="str">
        <x:v>Caso Título</x:v>
      </x:c>
      <x:c r="211" s="5" t="str">
        <x:v>Imagen</x:v>
      </x:c>
      <x:c r="311" s="5" t="str">
        <x:v>Fecha de radicación</x:v>
      </x:c>
      <x:c r="411" s="5" t="str">
        <x:v>Vigencia</x:v>
      </x:c>
      <x:c r="511" s="5" t="str">
        <x:v>Estado del Caso</x:v>
      </x:c>
      <x:c r="611" s="5" t="str">
        <x:v>Referencia del solicitante</x:v>
      </x:c>
      <x:c r="711" s="5" t="str">
        <x:v>Titular</x:v>
      </x:c>
      <x:c r="811" s="5" t="str">
        <x:v>Descripción de Productos y Servicios</x:v>
      </x:c>
      <x:c r="911" s="5" t="str">
        <x:v>Calendario Clasificación de Niza</x:v>
      </x:c>
      <x:c r="1011" s="5" t="str">
        <x:v>Productos y Servicios Descripción</x:v>
      </x:c>
      <x:c r="1111" s="5" t="str">
        <x:v>Bajo Oposición</x:v>
      </x:c>
      <x:c r="1211" s="5" t="str">
        <x:v>Apoderado</x:v>
      </x:c>
      <x:c r="1311" s="5" t="str">
        <x:v>Fecha de Registro</x:v>
      </x:c>
      <x:c r="1411" s="5" t="str">
        <x:v>Fecha de la publicación</x:v>
      </x:c>
      <x:c r="1511" s="5" t="str">
        <x:v>Fecha de prioridad</x:v>
      </x:c>
      <x:c r="1611" s="5" t="str">
        <x:v>Otra Información</x:v>
      </x:c>
    </x:row>
    <x:row r="12">
      <x:c r="A12" s="10" t="inlineStr">
        <x:f xml:space="preserve">HYPERLINK("http://sipi.sic.gov.co/sipi/View.ashx?3859949","SD2022/0000894")</x:f>
      </x:c>
      <x:c r="B12" s="3" t="inlineStr">
        <x:is>
          <x:t>Eva Professional Cosmetic</x:t>
        </x:is>
      </x:c>
      <x:c r="C12" s="3" t="inlineStr">
        <x:is>
          <x:t/>
        </x:is>
      </x:c>
      <x:c r="D12" s="3" t="inlineStr">
        <x:is>
          <x:t>10 feb. 2022</x:t>
        </x:is>
      </x:c>
      <x:c r="E12" s="3" t="inlineStr">
        <x:is>
          <x:t/>
        </x:is>
      </x:c>
      <x:c r="F12" s="3" t="inlineStr">
        <x:is>
          <x:t>Negada</x:t>
        </x:is>
      </x:c>
      <x:c r="G12" s="3" t="inlineStr">
        <x:is>
          <x:t>EVA PROFESSIONAL COSMETIC</x:t>
        </x:is>
      </x:c>
      <x:c r="H12" s="3" t="inlineStr">
        <x:is>
          <x:t>CIRLEY ANDREA DUQUE RAMIREZ, CRA. 53 NO. 64A-79 INT. 301, MEDELLIN, ANTIOQUIA, CO</x:t>
        </x:is>
      </x:c>
      <x:c r="I12" s="3" t="inlineStr">
        <x:is>
          <x:t>3, 8</x:t>
        </x:is>
      </x:c>
      <x:c r="J12" s="3" t="inlineStr">
        <x:is>
          <x:t>11</x:t>
        </x:is>
      </x:c>
      <x:c r="K12" s="3" t="inlineStr">
        <x:is>
          <x:t>3. Tintes para cejas; neutralizadores de color para labios; tintes para los labios [productos cosméticos].
8. Agujas de tatuaje; aparatos cosméticos de tatuaje; máquinas cosméticas de tatuaje.
</x:t>
        </x:is>
      </x:c>
      <x:c r="L12" s="3" t="inlineStr">
        <x:is>
          <x:t>No</x:t>
        </x:is>
      </x:c>
      <x:c r="M12" s="3" t="inlineStr">
        <x:is>
          <x:t/>
        </x:is>
      </x:c>
      <x:c r="N12" s="3" t="inlineStr">
        <x:is>
          <x:t/>
        </x:is>
      </x:c>
      <x:c r="O12" s="3" t="inlineStr">
        <x:is>
          <x:t>17 feb. 2022</x:t>
        </x:is>
      </x:c>
      <x:c r="P12" s="3" t="inlineStr">
        <x:is>
          <x:t/>
        </x:is>
      </x:c>
      <x:c r="Q12" s="3" t="inlineStr">
        <x:is>
          <x:t/>
        </x:is>
      </x:c>
    </x:row>
    <x:row r="13">
      <x:c r="A13" s="10" t="inlineStr">
        <x:f xml:space="preserve">HYPERLINK("http://sipi.sic.gov.co/sipi/View.ashx?3860759","SD2022/0001211")</x:f>
      </x:c>
      <x:c r="B13" s="3" t="inlineStr">
        <x:is>
          <x:t>La Marque</x:t>
        </x:is>
      </x:c>
      <x:c r="C13" s="3" t="inlineStr">
        <x:is>
          <x:t/>
        </x:is>
      </x:c>
      <x:c r="D13" s="3" t="inlineStr">
        <x:is>
          <x:t>06 ene. 2022</x:t>
        </x:is>
      </x:c>
      <x:c r="E13" s="3" t="inlineStr">
        <x:is>
          <x:t/>
        </x:is>
      </x:c>
      <x:c r="F13" s="3" t="inlineStr">
        <x:is>
          <x:t>Negada</x:t>
        </x:is>
      </x:c>
      <x:c r="G13" s="3" t="inlineStr">
        <x:is>
          <x:t>La Marque</x:t>
        </x:is>
      </x:c>
      <x:c r="H13" s="3" t="inlineStr">
        <x:is>
          <x:t>Juan Jose Botero Duque, Calle 31 # 41 80, MEDELLIN, ANTIOQUIA, CO</x:t>
        </x:is>
      </x:c>
      <x:c r="I13" s="3" t="inlineStr">
        <x:is>
          <x:t>3, 5</x:t>
        </x:is>
      </x:c>
      <x:c r="J13" s="3" t="inlineStr">
        <x:is>
          <x:t>11</x:t>
        </x:is>
      </x:c>
      <x:c r="K13" s="3" t="inlineStr">
        <x:is>
          <x: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bronceadoras.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
</x:t>
        </x:is>
      </x:c>
      <x:c r="L13" s="3" t="inlineStr">
        <x:is>
          <x:t>No</x:t>
        </x:is>
      </x:c>
      <x:c r="M13" s="3" t="inlineStr">
        <x:is>
          <x:t>Esteban  Berrio Lopez, calle 8 # 84f - 155 casa 1090 , MEDELLIN, ANTIOQUIA, CO</x:t>
        </x:is>
      </x:c>
      <x:c r="N13" s="3" t="inlineStr">
        <x:is>
          <x:t/>
        </x:is>
      </x:c>
      <x:c r="O13" s="3" t="inlineStr">
        <x:is>
          <x:t>08 mar. 2022</x:t>
        </x:is>
      </x:c>
      <x:c r="P13" s="3" t="inlineStr">
        <x:is>
          <x:t/>
        </x:is>
      </x:c>
      <x:c r="Q13" s="3" t="inlineStr">
        <x:is>
          <x:t/>
        </x:is>
      </x:c>
    </x:row>
    <x:row r="14">
      <x:c r="A14" s="10" t="inlineStr">
        <x:f xml:space="preserve">HYPERLINK("http://sipi.sic.gov.co/sipi/View.ashx?3863735","SD2022/0001786")</x:f>
      </x:c>
      <x:c r="B14" s="3" t="inlineStr">
        <x:is>
          <x:t>PLAYGIRL</x:t>
        </x:is>
      </x:c>
      <x:c r="C14" s="3" t="inlineStr">
        <x:is>
          <x:t/>
        </x:is>
      </x:c>
      <x:c r="D14" s="3" t="inlineStr">
        <x:is>
          <x:t>11 ene. 2022</x:t>
        </x:is>
      </x:c>
      <x:c r="E14" s="3" t="inlineStr">
        <x:is>
          <x:t/>
        </x:is>
      </x:c>
      <x:c r="F14" s="3" t="inlineStr">
        <x:is>
          <x:t>Negada</x:t>
        </x:is>
      </x:c>
      <x:c r="G14" s="3" t="inlineStr">
        <x:is>
          <x:t>Registro PLAYGIRL</x:t>
        </x:is>
      </x:c>
      <x:c r="H14" s="3" t="inlineStr">
        <x:is>
          <x:t> Amka Health &amp; Beauty International Ltd, 1st Floor, 10/11 Exchange Place, I.F.S.C. Dublin 1, DUBLIN, DUBLIN, IE</x:t>
        </x:is>
      </x:c>
      <x:c r="I14" s="3" t="inlineStr">
        <x:is>
          <x:t>3</x:t>
        </x:is>
      </x:c>
      <x:c r="J14" s="3" t="inlineStr">
        <x:is>
          <x:t>11</x:t>
        </x:is>
      </x:c>
      <x:c r="K14" s="3" t="inlineStr">
        <x:is>
          <x:t>3. Preparaciones de tocador y cosméticos no medicinales; dentífricos no medicinales; perfumería, aceites esenciales; preparaciones para blanquear y otras sustancias para lavar la ropa; preparaciones para limpiar, pulir, desengrasar y raspar.
</x:t>
        </x:is>
      </x:c>
      <x:c r="L14" s="3" t="inlineStr">
        <x:is>
          <x:t>No</x:t>
        </x:is>
      </x:c>
      <x:c r="M14" s="3" t="inlineStr">
        <x:is>
          <x:t>RAUL HERNANDO BURITICA SANDOVAL, CALLE 69 No. 4 - 48 OFICINA 401, BOGOTÁ, D.C., CO</x:t>
        </x:is>
      </x:c>
      <x:c r="N14" s="3" t="inlineStr">
        <x:is>
          <x:t/>
        </x:is>
      </x:c>
      <x:c r="O14" s="3" t="inlineStr">
        <x:is>
          <x:t>08 mar. 2022</x:t>
        </x:is>
      </x:c>
      <x:c r="P14" s="3" t="inlineStr">
        <x:is>
          <x:t/>
        </x:is>
      </x:c>
      <x:c r="Q14" s="3" t="inlineStr">
        <x:is>
          <x:t/>
        </x:is>
      </x:c>
    </x:row>
    <x:row r="15">
      <x:c r="A15" s="10" t="inlineStr">
        <x:f xml:space="preserve">HYPERLINK("http://sipi.sic.gov.co/sipi/View.ashx?3864002","SD2022/0001816")</x:f>
      </x:c>
      <x:c r="B15" s="3" t="inlineStr">
        <x:is>
          <x:t>argania</x:t>
        </x:is>
      </x:c>
      <x:c r="C15" s="9" t="inlineStr">
        <x:is>
          <x:t/>
        </x:is>
      </x:c>
      <x:c r="D15" s="3" t="inlineStr">
        <x:is>
          <x:t>11 ene. 2022</x:t>
        </x:is>
      </x:c>
      <x:c r="E15" s="3" t="inlineStr">
        <x:is>
          <x:t/>
        </x:is>
      </x:c>
      <x:c r="F15" s="3" t="inlineStr">
        <x:is>
          <x:t>Negada</x:t>
        </x:is>
      </x:c>
      <x:c r="G15" s="3" t="inlineStr">
        <x:is>
          <x:t/>
        </x:is>
      </x:c>
      <x:c r="H15" s="3" t="inlineStr">
        <x:is>
          <x:t>NICOLAS ALBERTO JIMENEZ OROZCO, CALLE 15 NO. 22-50, BOGOTÁ, D.C., CO; MIGUEL ANGEL MONTOYA GIRALDO, AV. EL DORADO 68C-61 OFC 315, BOGOTÁ, D.C., CO; ROBERT EDISON FERREIRA MORENO, carrera 15 # 119-32, BOGOTÁ, D.C., CO</x:t>
        </x:is>
      </x:c>
      <x:c r="I15" s="3" t="inlineStr">
        <x:is>
          <x:t>3, 35</x:t>
        </x:is>
      </x:c>
      <x:c r="J15" s="3" t="inlineStr">
        <x:is>
          <x:t>11</x:t>
        </x:is>
      </x:c>
      <x:c r="K15" s="3" t="inlineStr">
        <x:is>
          <x:t>3. Productos capilares, faciales y de cuidado personal y de la piel , tanto de uso casero y profesional , como maquillaje, cremas corporales y tratamientos capilares para uso en los salones de belleza, acondicionadores de cabello; adhesivos para pestañas, cabello y uñas postizos; agua oxigenada para el cabello; bálsamos para el cabello; ceras para el cabello; champúes para el cabello; champús para el cabello humano; champús y acondicionadores para el cabello; colorantes para el cabello; cosméticos para el cabello; crema para peinar el cabello; cremas para el cabello para uso cosmético; cremas para el cuidado del cabello; enjuagues para el cabello; enjuagues para el cabello de uso cosmético; espumas para el peinado del cabello [productos de tocador]; lacas y geles fijadores para el cabello; lociones, cremas y preparaciones para el cuidado del rostro, cuerpo, cuero cabelludo, uñas y cabello; acondicionadores para el cabello; mascarillas para el cuidado del cabello; máscaras para el cabello y el cuero cabelludo; preparaciones cosméticas para el cabello y el cuero cabelludo; cremas acondicionadoras para la piel, de uso cosmético; cremas capilares; cremas corporales [cosméticos]; cremas cosméticas para el cuidado de la piel; cremas cosméticas para las manos; cremas de belleza; cremas de belleza para el rostro y el cuerpo; cremas para la cara [cosméticos]; kits de cosméticos que comprenden principalmente máscara de pestañas, lápices de labios, lápices de cejas, maquillaje, fundación de maquillaje y brillos de labios; maquillaje para la cara, esmaltes para uñas.
35. Fabricación y comercialización de productos capilares, faciales y de cuidado personal y de la piel , tanto de uso casero y profesional , como maquillaje, cremas corporales y tratamientos capilares para uso en los salones de belleza, acondicionadores de cabello; adhesivos para pestañas, cabello y uñas postizos; agua oxigenada para el cabello; bálsamos para el cabello; ceras para el cabello; champúes para el cabello; champús para el cabello humano; champús y acondicionadores para el cabello; colorantes para el cabello; cosméticos para el cabello; crema para peinar el cabello; cremas para el cabello para uso cosmético; cremas para el cuidado del cabello; enjuagues para el cabello; enjuagues para el cabello de uso cosmético; espumas para el peinado del cabello [productos de tocador]; lacas y geles fijadores para el cabello; lociones, cremas y preparaciones para el cuidado del rostro, cuerpo, cuero cabelludo, uñas y cabello; acondicionadores para el cabello; mascarillas para el cuidado del cabello; máscaras para el cabello y el cuero cabelludo; preparaciones cosméticas para el cabello y el cuero cabelludo; cremas acondicionadoras para la piel, de uso cosmético; cremas capilares; cremas corporales [cosméticos]; cremas cosméticas para el cuidado de la piel; cremas cosméticas para las manos; cremas de belleza; cremas de belleza para el rostro y el cuerpo; cremas para la cara [cosméticos]; kits de cosméticos que comprenden principalmente máscara de pestañas, lápices de labios, lápices de cejas, maquillaje, fundación de maquillaje y brillos de labios; maquillaje para la cara, esmaltes para uñas.
</x:t>
        </x:is>
      </x:c>
      <x:c r="L15" s="3" t="inlineStr">
        <x:is>
          <x:t>Sí</x:t>
        </x:is>
      </x:c>
      <x:c r="M15" s="3" t="inlineStr">
        <x:is>
          <x:t/>
        </x:is>
      </x:c>
      <x:c r="N15" s="3" t="inlineStr">
        <x:is>
          <x:t/>
        </x:is>
      </x:c>
      <x:c r="O15" s="3" t="inlineStr">
        <x:is>
          <x:t>19 abr. 2022</x:t>
        </x:is>
      </x:c>
      <x:c r="P15" s="3" t="inlineStr">
        <x:is>
          <x:t/>
        </x:is>
      </x:c>
      <x:c r="Q15" s="3" t="inlineStr">
        <x:is>
          <x:t/>
        </x:is>
      </x:c>
    </x:row>
    <x:row r="16">
      <x:c r="A16" s="10" t="inlineStr">
        <x:f xml:space="preserve">HYPERLINK("http://sipi.sic.gov.co/sipi/View.ashx?3865551","SD2022/0002066")</x:f>
      </x:c>
      <x:c r="B16" s="3" t="inlineStr">
        <x:is>
          <x:t>Odoroteca</x:t>
        </x:is>
      </x:c>
      <x:c r="C16" s="3" t="inlineStr">
        <x:is>
          <x:t/>
        </x:is>
      </x:c>
      <x:c r="D16" s="3" t="inlineStr">
        <x:is>
          <x:t>12 ene. 2022</x:t>
        </x:is>
      </x:c>
      <x:c r="E16" s="3" t="inlineStr">
        <x:is>
          <x:t/>
        </x:is>
      </x:c>
      <x:c r="F16" s="3" t="inlineStr">
        <x:is>
          <x:t>Negada</x:t>
        </x:is>
      </x:c>
      <x:c r="G16" s="3" t="inlineStr">
        <x:is>
          <x:t>Odoramis</x:t>
        </x:is>
      </x:c>
      <x:c r="H16" s="3" t="inlineStr">
        <x:is>
          <x:t>Juan Francisco Roldán Escobar , Calle 5d oeste #15-29 , CALI, VALLE DEL CAUCA 760064, CO</x:t>
        </x:is>
      </x:c>
      <x:c r="I16" s="3" t="inlineStr">
        <x:is>
          <x:t>3, 21</x:t>
        </x:is>
      </x:c>
      <x:c r="J16" s="3" t="inlineStr">
        <x:is>
          <x:t>11</x:t>
        </x:is>
      </x:c>
      <x:c r="K16" s="3" t="inlineStr">
        <x:is>
          <x:t>3. Aceites aromáticos; aceites de aromaterapia; aceites esenciales; aceites esenciales aromáticos; aceites esenciales de aromaterapia; aceites esenciales de cedro; aceites esenciales naturales; aceites esenciales para ambientadores de interior; aceites esenciales para uso en aromaterapia; aceites esenciales para uso personal; aceites perfumados.
21. Difusores eléctricos de aceites esenciales; difusores eléctricos de aromaterapia; difusores eléctricos de fragancia que incorporan luces de noche; difusores enchufables para aceites aromáticos; difusores ultrasónicos de aceites esenciales; difusores ultrasónicos de aromaterapia; difusores de aceites aromáticos, que no sean con varillas, eléctricos; difusores de aceites aromáticos, que no sean con varillas, eléctricos y no eléctricos; difusores de aceites aromáticos, que no sean con varillas, no eléctricos; difusores de enchufe para aceites aromáticos; difusores electrónicos de aceite esencial, vendidos vacíos; difusores eléctricos de aceite de aromaterapia; difusores eléctricos de aceite esencial, vendidos vacíos.
</x:t>
        </x:is>
      </x:c>
      <x:c r="L16" s="3" t="inlineStr">
        <x:is>
          <x:t>Sí</x:t>
        </x:is>
      </x:c>
      <x:c r="M16" s="3" t="inlineStr">
        <x:is>
          <x:t/>
        </x:is>
      </x:c>
      <x:c r="N16" s="3" t="inlineStr">
        <x:is>
          <x:t/>
        </x:is>
      </x:c>
      <x:c r="O16" s="3" t="inlineStr">
        <x:is>
          <x:t>07 feb. 2022</x:t>
        </x:is>
      </x:c>
      <x:c r="P16" s="3" t="inlineStr">
        <x:is>
          <x:t/>
        </x:is>
      </x:c>
      <x:c r="Q16" s="3" t="inlineStr">
        <x:is>
          <x:t/>
        </x:is>
      </x:c>
    </x:row>
    <x:row r="17">
      <x:c r="A17" s="10" t="inlineStr">
        <x:f xml:space="preserve">HYPERLINK("http://sipi.sic.gov.co/sipi/View.ashx?3865719","SD2022/0002102")</x:f>
      </x:c>
      <x:c r="B17" s="3" t="inlineStr">
        <x:is>
          <x:t>WABI</x:t>
        </x:is>
      </x:c>
      <x:c r="C17" s="9" t="inlineStr">
        <x:is>
          <x:t/>
        </x:is>
      </x:c>
      <x:c r="D17" s="3" t="inlineStr">
        <x:is>
          <x:t>12 ene. 2022</x:t>
        </x:is>
      </x:c>
      <x:c r="E17" s="3" t="inlineStr">
        <x:is>
          <x:t/>
        </x:is>
      </x:c>
      <x:c r="F17" s="3" t="inlineStr">
        <x:is>
          <x:t>Negada</x:t>
        </x:is>
      </x:c>
      <x:c r="G17" s="3" t="inlineStr">
        <x:is>
          <x:t>WABI</x:t>
        </x:is>
      </x:c>
      <x:c r="H17" s="3" t="inlineStr">
        <x:is>
          <x:t> THE TRACE CO. SAS, Cra. 18 C No. 109-19, BOGOTÁ, D.C., CO</x:t>
        </x:is>
      </x:c>
      <x:c r="I17" s="3" t="inlineStr">
        <x:is>
          <x:t>3, 5, 44</x:t>
        </x:is>
      </x:c>
      <x:c r="J17" s="3" t="inlineStr">
        <x:is>
          <x:t>11</x:t>
        </x:is>
      </x:c>
      <x:c r="K17" s="3" t="inlineStr">
        <x:is>
          <x:t>3. Champús no medicinales para animales de compañía [preparaciones de aseo, que no sean para uso veterinario].
5. Aditivos alimentarios medicinales para uso veterinario; alimentos complementarios para uso veterinario; alimentos dietéticos para uso veterinario; ungüentos para uso farmacéutico; productos farmacéuticos; preparaciones farmacéuticas para uso humano; preparaciones farmacéuticas para el cuidado de la salud; preparaciones farmacéuticas para el tratamiento de afecciones cutáneas.
44. Servicios de información y consultoría en productos biofarmacéuticos; servicios de información y consultas por internet sobre productos farmacéuticos; servicios de cuidado de mascotas [servicios médicos, veterinarios y de aseo]; servicios médicos y veterinarios; servicios de asesoramiento sobre productos farmacéuticos.
</x:t>
        </x:is>
      </x:c>
      <x:c r="L17" s="3" t="inlineStr">
        <x:is>
          <x:t>Sí</x:t>
        </x:is>
      </x:c>
      <x:c r="M17" s="3" t="inlineStr">
        <x:is>
          <x:t>Jorge Díaz Vargas, Cra 18 CNo 109-19, BOGOTÁ, D.C. 110131, CO</x:t>
        </x:is>
      </x:c>
      <x:c r="N17" s="3" t="inlineStr">
        <x:is>
          <x:t/>
        </x:is>
      </x:c>
      <x:c r="O17" s="3" t="inlineStr">
        <x:is>
          <x:t>29 mar. 2022</x:t>
        </x:is>
      </x:c>
      <x:c r="P17" s="3" t="inlineStr">
        <x:is>
          <x:t/>
        </x:is>
      </x:c>
      <x:c r="Q17" s="3" t="inlineStr">
        <x:is>
          <x:t/>
        </x:is>
      </x:c>
    </x:row>
    <x:row r="18">
      <x:c r="A18" s="10" t="inlineStr">
        <x:f xml:space="preserve">HYPERLINK("http://sipi.sic.gov.co/sipi/View.ashx?3867476","SD2022/0002536")</x:f>
      </x:c>
      <x:c r="B18" s="3" t="inlineStr">
        <x:is>
          <x:t>ALL+PERFETTA NOUVELLE HAIR</x:t>
        </x:is>
      </x:c>
      <x:c r="C18" s="3" t="inlineStr">
        <x:is>
          <x:t/>
        </x:is>
      </x:c>
      <x:c r="D18" s="3" t="inlineStr">
        <x:is>
          <x:t>13 ene. 2022</x:t>
        </x:is>
      </x:c>
      <x:c r="E18" s="3" t="inlineStr">
        <x:is>
          <x:t/>
        </x:is>
      </x:c>
      <x:c r="F18" s="3" t="inlineStr">
        <x:is>
          <x:t>Negada</x:t>
        </x:is>
      </x:c>
      <x:c r="G18" s="3" t="inlineStr">
        <x:is>
          <x:t>F553</x:t>
        </x:is>
      </x:c>
      <x:c r="H18" s="3" t="inlineStr">
        <x:is>
          <x:t> EUROSTYLE S.A.S, CARRERA 7 No 56 A - 26, CARTAGENA, BOLIVAR 130013, CO</x:t>
        </x:is>
      </x:c>
      <x:c r="I18" s="3" t="inlineStr">
        <x:is>
          <x:t>3</x:t>
        </x:is>
      </x:c>
      <x:c r="J18" s="3" t="inlineStr">
        <x:is>
          <x:t>11</x:t>
        </x:is>
      </x:c>
      <x:c r="K18" s="3" t="inlineStr">
        <x:is>
          <x:t>3. Cosméticos, jabones, productos de perfumería, aceites esenciales, champú, acondicionadores, mascarillas cosméticas, lociones capilares cosméticas; cremas para el cuerpo y la cara, cremas para masajes corporales y faciales, tónicos y limpiadores faciales, emulsiones corporales y faciales, lociones, esmaltes para uñas, tratamientos cosméticos para fortalecer las uñas, preparaciones para tratamientos capilares; tintes cosméticos.
</x:t>
        </x:is>
      </x:c>
      <x:c r="L18" s="3" t="inlineStr">
        <x:is>
          <x:t>No</x:t>
        </x:is>
      </x:c>
      <x:c r="M18" s="3" t="inlineStr">
        <x:is>
          <x:t>MARTHA AMPARO FONSECA FIERRO, CRA 7 No. 17-01 Oficina 435, BOGOTÁ, D.C., CO</x:t>
        </x:is>
      </x:c>
      <x:c r="N18" s="3" t="inlineStr">
        <x:is>
          <x:t/>
        </x:is>
      </x:c>
      <x:c r="O18" s="3" t="inlineStr">
        <x:is>
          <x:t>17 feb. 2022</x:t>
        </x:is>
      </x:c>
      <x:c r="P18" s="3" t="inlineStr">
        <x:is>
          <x:t/>
        </x:is>
      </x:c>
      <x:c r="Q18" s="3" t="inlineStr">
        <x:is>
          <x:t/>
        </x:is>
      </x:c>
    </x:row>
    <x:row r="19">
      <x:c r="A19" s="10" t="inlineStr">
        <x:f xml:space="preserve">HYPERLINK("http://sipi.sic.gov.co/sipi/View.ashx?3869461","SD2022/0003034")</x:f>
      </x:c>
      <x:c r="B19" s="3" t="inlineStr">
        <x:is>
          <x:t>ALLIUM CAPILAR</x:t>
        </x:is>
      </x:c>
      <x:c r="C19" s="3" t="inlineStr">
        <x:is>
          <x:t/>
        </x:is>
      </x:c>
      <x:c r="D19" s="3" t="inlineStr">
        <x:is>
          <x:t>14 ene. 2022</x:t>
        </x:is>
      </x:c>
      <x:c r="E19" s="3" t="inlineStr">
        <x:is>
          <x:t/>
        </x:is>
      </x:c>
      <x:c r="F19" s="3" t="inlineStr">
        <x:is>
          <x:t>Negada</x:t>
        </x:is>
      </x:c>
      <x:c r="G19" s="3" t="inlineStr">
        <x:is>
          <x:t/>
        </x:is>
      </x:c>
      <x:c r="H19" s="3" t="inlineStr">
        <x:is>
          <x:t>JORGE ARTURO  ATEHORTUA GIRALDO, CL 152 NO. 55 A - 10, BOGOTA, CUNDINAMARCA 111071, CO</x:t>
        </x:is>
      </x:c>
      <x:c r="I19" s="3" t="inlineStr">
        <x:is>
          <x:t>3</x:t>
        </x:is>
      </x:c>
      <x:c r="J19" s="3" t="inlineStr">
        <x:is>
          <x:t>11</x:t>
        </x:is>
      </x:c>
      <x:c r="K1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19" s="3" t="inlineStr">
        <x:is>
          <x:t>No</x:t>
        </x:is>
      </x:c>
      <x:c r="M19" s="3" t="inlineStr">
        <x:is>
          <x:t/>
        </x:is>
      </x:c>
      <x:c r="N19" s="3" t="inlineStr">
        <x:is>
          <x:t/>
        </x:is>
      </x:c>
      <x:c r="O19" s="3" t="inlineStr">
        <x:is>
          <x:t>29 abr. 2022</x:t>
        </x:is>
      </x:c>
      <x:c r="P19" s="3" t="inlineStr">
        <x:is>
          <x:t/>
        </x:is>
      </x:c>
      <x:c r="Q19" s="3" t="inlineStr">
        <x:is>
          <x:t/>
        </x:is>
      </x:c>
    </x:row>
    <x:row r="20">
      <x:c r="A20" s="10" t="inlineStr">
        <x:f xml:space="preserve">HYPERLINK("http://sipi.sic.gov.co/sipi/View.ashx?3873185","SD2022/0005052")</x:f>
      </x:c>
      <x:c r="B20" s="3" t="inlineStr">
        <x:is>
          <x:t>Marigold HEALT &amp; CARE</x:t>
        </x:is>
      </x:c>
      <x:c r="C20" s="9" t="inlineStr">
        <x:is>
          <x:t/>
        </x:is>
      </x:c>
      <x:c r="D20" s="3" t="inlineStr">
        <x:is>
          <x:t>20 ene. 2022</x:t>
        </x:is>
      </x:c>
      <x:c r="E20" s="3" t="inlineStr">
        <x:is>
          <x:t/>
        </x:is>
      </x:c>
      <x:c r="F20" s="3" t="inlineStr">
        <x:is>
          <x:t>Negada</x:t>
        </x:is>
      </x:c>
      <x:c r="G20" s="3" t="inlineStr">
        <x:is>
          <x:t>MARIGOLD</x:t>
        </x:is>
      </x:c>
      <x:c r="H20" s="3" t="inlineStr">
        <x:is>
          <x:t>Yuly alexandra Upegui Durango, cr 91 36 50 apto 301, MEDELLIN, ANTIOQUIA 050032, CO</x:t>
        </x:is>
      </x:c>
      <x:c r="I20" s="3" t="inlineStr">
        <x:is>
          <x:t>3, 5</x:t>
        </x:is>
      </x:c>
      <x:c r="J20" s="3" t="inlineStr">
        <x:is>
          <x:t>11</x:t>
        </x:is>
      </x:c>
      <x:c r="K20" s="3" t="inlineStr">
        <x:is>
          <x:t>3. Abrillantadores capilares; aceite de almendras; aceite de amla para uso cosmético; aceite de coco para uso cosmético; aceite de gaulteria; aceite de jazmín; aceite de lavanda; aceite de lavanda para uso cosmético; aceite de masaje, no medicinal; aceite de menta; aceite de menta [perfumería]; aceite de neem para uso cosmético; aceite de ricino para uso cosmético; aceite de rosas; aceite de rosas para uso cosmético; aceite de veppennai para uso cosmético; aceite de árbol de té; aceite esencial de citronela de aromaterapia; aceite esencial de coco; aceite esencial de eucalipto de aromaterapia; aceite esencial de eucalipto en forma de bola; aceite esencial de eucalipto en forma de roll-on; aceite esencial de hierba limón de aromaterapia; aceite esencial de hierbabuena en forma de bola; aceite esencial de hierbabuena en forma de roll-on; aceite esencial de lavanda de aromaterapia; aceite esencial de lavanda en forma de bola; aceite esencial de lavanda en forma de roll-on; aceite esencial de limoncillo de aromaterapia; aceite esencial de menta en forma de bola; aceite esencial de menta en forma de roll-on; aceite esencial de neem; aceite esencial de romero de aromaterapia; aceite esencial de veppennai; aceite esencial de yerbabuena en forma de bola; aceite esencial de yerbabuena en forma de roll-on; aceite esencial de árbol de té de aromaterapia; aceite esencial de árbol de té en forma de roll-on; aceite esencial del árbol del té en forma de bola; aceite fijador para el cabello; aceite japonés para fijar el cabello; aceite para el peinado del cabello; aceites aromáticos; aceites aromáticos para el baño; aceites brillantes para el cuerpo; aceites bronceadores; aceites bronceadores [cosméticos]; aceites bronceadores de uso cosmético; aceites cosméticos; aceites cosméticos para la piel; aceites de aromaterapia; aceites de baño; aceites de baño no medicados; aceites de baño no medicinales; aceites de baño para uso cosmético; aceites de baño que no sean medicinales; aceites de baño, que no sean para uso médico; aceites de cáñamo a base de cbd para uso cosmético; aceites de ducha a base de cáñamo; aceites de limpieza; aceites de masaje, no medicinales; aceites de perfumería; aceites de pino para la limpieza de suelos; aceites de protección solar; aceites de protección solar [cosméticos]; aceites de tocador; aceites destilados para el cuidado de belleza;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naturales; aceites esenciales para la fabricación de productos perfumados; aceites esenciales para uso cosmético; aceites esenciales para uso en aromaterapia; aceites esenciales para uso industrial; aceites esenciales para uso personal; aceites esenciales que no sean para uso médico o terapéutico; aceites faciales; aceites hidratantes intensivos; aceites minerales [cosméticos]; aceites no medicados; aceites no medicinales para masajes; aceites para bebés; aceites para bebés [productos de tocador]; aceites para bronceado [cosméticos]; aceites para cutículas; aceites para después del sol; aceites para después del sol [productos cosméticos]; aceites para después del sol de uso cosmético; aceites para el bronceado de la piel; aceites para el cabello; aceites para el cuerpo; aceites para el cuerpo de uso cosmético; aceites para perfumes y fragancias; aceites para uso cosmético; aceites perfumados; aceites perfumados para el cuidado de la piel; aceites perfumados para fabricar preparaciones cosméticas; aceites perfumados para la fabricación de preparaciones cosméticas; aceites perfumados para la fabricación de preparados cosméticos; aceites perfumados para la fabricación de productos cosméticos; aceites perfumados que difunden aromas al ser calentados; aceites puros para uso cosmético; aceites solares de uso cosmético; aceites suavizantes para el cabello; aceites vegetales esenciales; aceites y lociones bronceadoras; aceites y lociones con filtro solar; aceites y lociones de masaje; aceites y lociones de protección solar; aceites y sales de baño; aceites y sales de baño que no sean para uso médico; aclaradores de uñas; acondicionadores de cabello; acondicionadores de cabello a base de cáñamo; acondicionadores de cutícula; acondicionadores en barritas sólidas para el cabello; acondicionadores labiales; acondicionadores para el cabello; acondicionadores para el cabello para bebés; acondicionadores para la piel; acondicionadores para uso en el cabello; adhesivos [pegamentos] para uso cosmético; adhesivos para falsas pestañas; adhesivos para fijar cejas postizas; adhesivos para fijar postizos; adhesivos para fijar uñas postizas; adhesivos para fijar uñas y pestañas postizas; adhesivos para la fijación de cejas postizas; adhesivos para pegar las pestañas postizas; adhesivos para pegar las uñas postizas; adhesivos para pestañas postizas; adhesivos para pestañas, cabello y uñas postizos; adhesivos para postizos capilares; adhesivos para uñas postizas; aerosoles bucales no medicinales; aerosoles bucales, que no sean no para uso médico; aerosoles cosméticos de uso tópico para la piel; aerosoles depilatorios; aerosoles para afeitar; aerosoles perfumados para el cuerpo; aerosoles perfumados para interiores; aerosoles perfumados para la ropa; agua de colonia; agua de azahar para uso cosmético; agua de flor de azahar [destilados herbales]; agua de lavanda; agua de perfume; agua de rosas [destilados de hierbas]; agua de tocador que contiene aceite de serpiente; agua micelar; agua micelar de limpieza; agua mineral para el cuerpo y la cara en forma de pulverizadores de niebla; agua mineral para uso cosmético en forma de pulverizadores de niebla; agua oxigenada para el cabello; aguas de colonia para después del afeitado; aguas de tocador; aguas de tocador perfumadas; aguas de tocador y aguas de colonia; aguas de tocador y colonias; aguas perfumadas; algas para cosmetología; algodón e hisopos de algodón para uso cosmético; algodón impregnado de preparaciones desmaquillantes; algodón para uso cosmético; algodón y bastoncillos de algodón para uso cosmético; alheña [tinte cosmético]; alheña para uso cosmético; alheña para uso cosmético [henna]; almizcle [producto de perfumería]; almizcle natural; almohadillas de algodón para desmaquillar; almohadillas de algodón para uso cosmético; almohadillas de limpieza impregnadas con cosméticos; almohadillas de limpieza impregnadas con productos cosméticos; almohadillas de limpieza impregnadas de cosméticos; almohadillas de limpieza prehumedecidas; almohadillas de limpieza preimpregnadas; almohadillas desmaquillantes de algodón hidrófilo; almohadillas limpiadoras impregnadas de preparaciones de tocador; almohadillas limpiadoras impregnadas de productos cosméticos; almohadillas para uso cosmético; almohadillas, toallitas o pañitos de limpieza prehumedecidos o impregnados; ambientadores perfumados en aerosol; antifaces de gel; antitranspirantes de uso personal; antitranspirantes no medicinales; apitoxina [veneno de abeja melífera] con fines cosméticos; aromas [aceites esenciales]; aromas para fragancias; aromas para uso doméstico; aromatizantes para fragancias; astringentes para uso cosmético; autobronceadores; autobronceadores [cosméticos]; barras de labios; barras de labios con protección solar [cosméticos]; barras de labios en stick con protección solar [cosméticos]; barras de labios hidratantes; barros corporales para uso cosmético; bases de maquillaje; bases de maquillaje cremosas; bases de maquillaje en crema; bases de maquillaje líquidas; bases de maquillaje para la piel; bases neutralizantes para labios; bases para esmaltes de uñas; basma en cuanto tinte para uso cosmético; basma para uso cosmético; bastoncillos de algodón impregnados de preparaciones desmaquillantes; bastoncillos de algodón impregnados de preparados desmaquilladores; bastoncillos de algodón multiuso para utilización personal; bastoncillos de algodón multiusos para uso personal; bastoncillos de algodón para uso cosmético; bastoncillos de incienso; baños de aceite para el cuidado del cabello; baños de aceite para el cuidado del cabello de uso cosmético; baños de espuma; baños de espuma para bebés; baños no medicinales para el cuerpo; baños no medicinales para los pies; blanqueadores para las uñas; bloqueador solar [cosméticos]; bolas de algodón impregnadas de preparaciones desmaquillantes; bolas de algodón impregnadas de preparados desmaquilladores; bolas de algodón para uso cosmético; bolsitas aromáticas para almohadas de aromaterapia; bolsitas perfumadas; bolsitas perfumadas para almohadillas oculares; bombas de baño; bombas de ducha; botellas tipo roll-on llenas de aceites esenciales; botellas tipo rollo llenas de aceites esenciales; brillantina; brillantina corporal; brillantina para el cabello; brillantina para las uñas; brillos corporales; brillos de labios; brillos de uñas para aplicar sobre el esmalte; brillos faciales; brillos faciales y corporales; brillos para uso cosmético; bronceadores para la piel; bálsamo acondicionador; bálsamo de guritania en cuanto aceites esenciales para uso en la fabricación de barnices; bálsamos [cremas] para disimular las imperfecciones de la piel; bálsamos capilares; bálsamos capilares no medicinales; bálsamos labiales; bálsamos labiales a base de cáñamo; bálsamos labiales no medicinales; bálsamos no medicinales para después de afeitar; bálsamos no medicinales para después del afeitado; bálsamos para después del afeitado; bálsamos para disimular las imperfecciones de la piel; bálsamos para el afeitado; bálsamos para el cabello; bálsamos que no sean para uso médico; calcetines impregnados con crema hidratante cosmética; calcetines impregnados con preparaciones hidratantes para los pies; calcetines pre-humedecidos con preparaciones cosméticas para uso cosmético; calcomanías decorativas para uso cosmético; calcomanías decorativas para uñas; calcomanías para las uñas; cejas postizas; cejas postizas autoadhesivas; cera depilatoria; cera para el bigote; cera para el cabello; cera para el calzado; cera para el pelo; ceras de masaje, que no sean para uso médico; ceras para el cabello; ceras para el cuidado del cabello; ceras para el cuidado del pelo; ceras para el peinado del cabello; ceras para el pelo; champúes para el cabello; champúes para el cabello a base de cáñamo; champús 3 en 1; champús acondicionadores; champús anticaspa; champús capilares; champús corporales;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basma [tinte para uso cosmético]; champús para bebés; champús para el cabello; champús para el cabello humano; champús para el cabello y el cuerpo; champús para el cuerpo; champús y acondicionadores; champús y acondicionadores para animales de compañía [preparaciones de peluquería no medicinales ni veterinarias]; champús y acondicionadores para el cabello; champús*; cintas adhesivas de doble párpado; cintas de doble párpado; cintas de estiramiento facial para uso cosmético; cintas de lifting facial para uso cosmético; cola de maquillaje para uso cosmético; cold creams; cold creams para uso cosmético; colonia; colonias para después del afeitado; colonias, perfumes y productos cosméticos; colorantes de labios; colorantes de labios [cosméticos]; colorantes de tocador; colorantes labiales; colorantes labiales [cosméticos]; colorantes labiales [productos cosméticos]; colorantes para el cabello; colorantes para los labios; colorantes para los labios [productos cosméticos]; colorete; colorete en lápiz; colorete líquido; coloretes; coloretes en crema; composiciones para aclarar la piel [cosméticos]; compresas oculares para uso cosmético; copos de baño; corrector facial; correctores antiojeras; correctores de imperfecciones [productos cosméticos]; correctores de líneas y arrugas faciales; correctores de ojeras; correctores de ojos; correctores para disimular manchas e imperfecciones de la piel; corteza de quillay para lavar;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crema corporal para uso cosmético; crema en gel para matificar la piel; crema para aclarar la piel; crema para las manos; crema para lavarse las manos; crema para peinar el cabello; almohadillas, toallitas o pañitos húmedos o impregnados de preparaciones limpiadoras; ambientadores de interior [preparaciones perfumadas]; aromatizantes para bebidas [aceites esenciales]; aromatizantes para bebidas en cuanto aceites esenciales; bintsuke-abura [aceite japonés para fijar el cabello]; champús para animales de compañía [preparaciones higiénicas no medicinales]; composiciones para la eliminación de lacas; crema no medicinal contra la dermatitis del pañal;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desmaquillantes; cremas emolientes reparadoras para el cuidado diario de la piel; cremas evanescentes;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botas; cremas para broncear la piel; cremas para cutículas; cremas para dar firmeza al cuerpo; cremas para después de afeitar (no medicinales); cremas para después del afeitado; cremas para después del afeitado (no medicinales); cremas para después del sol; cremas para después del sol de uso cosmético; cremas para el cabello; cremas para el cabello de uso cosmético; cremas para el cabello para uso cosmético; cremas para el cuerpo [cosméticos]; cremas para el cuerpo cosméticas; cremas para el cuidado de la piel que no sean de uso médico;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 piel no medicinales a base de aceites esenciales para uso en aromaterapia;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manos a base de cáñamo; cremas para pulir; cremas para reducir la celulitis; cremas para reducir la celulitis de uso cosmético; cremas para tez clara; cremas para tez clara de uso cosmético;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solares para bebés; cremas tonificantes [cosméticos]; cremas tópicas a base de hierbas para reafirmar y realzar el busto;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cristales de baño para uso cosmético; cristales de baño que no sean para uso médico; cristales de baño, que no sean para uso médico; decolorantes capilares; decolorantes para uso cosmético; dentífricos y enjuagues bucales; dentífricos y enjuagues bucales no medicinales; dentífricos*; depilatorios; desmaquilladores; desmaquilladores de ojos; desmaquillantes de ojos; desodorantes a base de cáñamo para seres humanos; desodorantes antitranspirantes; desodorantes corporales; desodorantes corporales [perfumería]; desodorantes corporales [productos de perfumería]; desodorantes corporales en comprimidos; desodorantes de alumbre; desodorantes de bola [artículos de aseo]; desodorantes para animales; desodorantes para animales de compañía; desodorantes para el cuerpo; desodorantes para los pies; desodorantes para mascotas; desodorantes para personas o animales; desodorantes para personas o animales [productos de perfumería]; desodorantes para seres humanos; desodorantes para uso personal; desodorantes para uso personal [perfumería]; desodorantes para uso personal y animal; desodorantes para uso personal y para animales; desodorantes roll-on [artículos de aseo]; desodorantes y antitranspirantes para uso personal; desodorizantes para animales de compañía; desodorizantes para mascotas; destilados de hierbas; destilados de plantas; esencias y aceites etéreos; esmaltes de base para las uñas [productos cosméticos]; esmaltes de uñas; esmaltes de uñas en gel; esmaltes de uñas para uso cosmético; esmaltes de uñas y quitaesmaltes; esponjas impregnadas con artículos de tocador; esponjas impregnadas con jabones; esponjas impregnadas con productos de tocador no medicinales; esprays bucales no medicinales; esprays bucales, que no sean no para uso médico; espráis desodorantes para los pies; espráis desodorantes para mujeres; espráis utilizados como desodorantes y perfumes corporales; espuma de baño; espuma de protección para el cabello; espuma limpiadora; espuma moldeadora; espuma moldeadora para el cabello; espumas [cosméticas]; espumas cosméticas con filtro solar; espumas de afeitar; espumas de baño; espumas de baño, no medicadas; espumas de ducha; espumas de ducha y de baño; espumas de limpieza; espumas depilatorias; espumas en cuanto productos par el peinado; espumas limpiadoras; espumas limpiadoras para la piel; espumas limpiadoras para uso personal; espumas para el baño; espumas para el cabello; espumas para el cabello [productos de tocador]; espumas para el cuidado de la piel; espumas para el peinado; espumas para el peinado del cabello [productos de tocador]; espumas para la ducha; espumas y geles para peinar el cabello; exfoliante corporal; exfoliantes; exfoliantes [preparaciones cosméticas]; exfoliantes corporales cosméticos; exfoliantes corporales para uso cosmético; exfoliantes faciales; exfoliantes faciales y corporales no medicamentosos; exfoliantes faciales y corporales no medicinales; exfoliantes iluminadores; exfoliantes para el cuerpo; exfoliantes para el cuerpo de uso cosmético; exfoliantes para la cara; exfoliantes para la piel; exfoliantes para labios; exfoliantes para las manos; exfoliantes para uso cosmético; extensiones de pestañas; extractos de flores [productos de perfumería]; extractos de flores en cuanto perfumes; extractos de flores en cuanto productos de perfumería; extractos de plantas para uso cosmético; fangos corporales para uso cosmético; fijadores capilares; fijadores para el cabello; filtro solar [cosméticos]; fondo de maquillaje; fortalecedores de uñas; fragancias; fragancias corporales; fragancias de ambiente; fragancias para automóviles; fragancias y productos de perfumería; fundación de maquillaje; gargarismos que no sean de uso médico; gel crema matificante; gel de baño; gel de lavanda; gel exfoliante, no medicinal; gel para baño y ducha; gel para ducha y baño; gelatina de algas marinas para la colada; geles antienvejecimiento; geles antienvejecimiento para uso cosmético; geles blanqueadores para uso dental; geles bronceadores; geles bronceadores [cosméticos]; geles capilares; geles corporales y faciales [cosméticos]; geles cosméticos; geles de aloe vera para uso cosmético; geles de baño; geles de baño no medicinales; geles de baño y de ducha; geles de baño y de ducha no medicinales; geles de belleza; geles de ducha; geles de ducha a base de cáñamo; geles de ducha no para uso médico; geles de ducha y de baño; geles de lavanda; geles de lavanda para uso cosmético; geles de limpieza de inodoros; geles de limpieza para los dientes; geles de masaje que no sean para uso médico; geles de protección para el cabello; geles dentífricos; geles depilatorios; geles desmaquillantes; geles exfoliantes, no medicinales; geles hidratantes; geles hidratantes [cosméticos]; geles no medicinales; geles no medicinales para después de afeitar; geles no medicinales para después del afeitado; geles para acelerar, realzar y prolongar el bronceado de la piel; geles para antes del afeitado; geles para dar forma al cabello; geles para después del afeitado; geles para después del sol; geles para después del sol [productos cosméticos]; geles para después del sol de uso cosmético; geles para el afeitado; geles para el baño [no medicinales]; geles para el bronceado de la piel; geles para el cabello; geles para el cuerpo [cosméticos]; geles para el peinado; geles para el peinado de las cejas; geles para el peinado del cabello; geles para el teñido de las cejas; geles para la cara [cosméticos]; geles para la ducha; geles para la ducha no para uso médico; geles para la limpieza de los dientes; geles para los ojos; geles para los ojos de uso cosmético; geles para uso cosmético; geles para uso en el cabello; geles y espumas para el cabello; geles y sales de baño y de ducha no medicinales; geles, aerosoles, espumas y bálsamos para peinar y cuidar el cabello; geles, cremas y aceites de ducha; geles, espráis, espumas y bálsamos para peinar y cuidar el cabello; goma de mascar para blanquear los dientes; granulados de limpieza facial; grasas para uso cosmético; guantes pre-humedecidos con preparaciones cosméticas para uso cosmético; guata para uso cosmético; guata y bastoncillos de algodón para uso cosmético; hamamelis [destilados de hierbas]; henna [tinte cosmético]; henna para uso cosmético; henna para uso cosmético [alheña]; hidratante para la piel; hidratantes; hidratantes [cosméticos]; hidratantes a base de cáñamo; hidratantes corporales a base de cáñamo; hidratantes cosméticas para el rostro; hidratantes cosméticas para la cara; hidratantes faciales; hidratantes faciales [cosméticos]; hidratantes faciales de uso cosmético; hidratantes para el cabello; hidratantes para la piel; hidratantes para la piel utilizados como cosméticos; hidrocremas intensiva; hidrolatos; hierbas para el baño que no sean para uso médico; hilas para uso cosmético; hisopos de algodón impregnados de preparaciones desmaquillantes; hisopos de algodón impregnados de preparados desmaquilladores; hisopos de algodón para uso cosmético; hisopos impregnados de preparaciones desmaquillantes; hisopos impregnados de preparados desmaquilladores; hisopos para uso cosmético; esponjas impregnadas con productos de tocador; fragancias para uso personal; geles para el cuerpo y la cara [cosméticos]; iononas [productos de perfumería]; jabones antitranspirantes para los pies; jabones corporales no medicados; jabones cosméticos; jabones de baño; jabones de baño en forma líquida, sólida o de gel; jabones de ducha; jabones de tocador no medicinales; jabones de tocador perfumados; jabones desodorantes; jabones desodorantes a base de cáñamo; jabones desodorizantes; jabones en crema; jabones en crema para el cuerpo;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el cuerpo; jabones para el cuidado del cuerpo; jabones para la piel; jabones para las manos; jabones para uso personal; jabones perfumados; jabones vegetales; jabón de afeitar; jabón de almendras; jabón de aloe vera; jabón de baño; jabón líquido para baños de pies; jalea de petróleo para uso cosmético; joyas de piel para uso cosmético; joyas de tatuaje para uso cosmético; joyería de piel en cuanto motivos decorativos para uso cosmético; joyería de piel en cuanto transferencias decorativas para uso cosmético; joyería de piel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kits para el cuidado de las uñas que comprenden esmaltes de uñas y quitaesmaltes; kits para el cuidado de las uñas que comprenden esmaltes de uñas, quitaesmaltes y uñas postizas; kits para el cuidado de las uñas que comprenden lacas de uñas y quitaesmaltes; lacas para el cabello; lacas para las uñas; lacas y geles fijadores para el cabello; lavados no medicinales; lavados vaginales no medicinales; leche bronceadora; leche de almendras para uso cosmético; leche hidratante para después de afeitar; leche hidratante para después del afeitado; leche para después del afeitado; leches bronceadoras; leches bronceadoras [cosméticos]; leches corporales para bebés; leches de baño; leches de belleza; leches de limpieza facial; leches desmaquillantes; leches hidratantes; leches hidratantes corporales; leches limpiadoras; leches limpiadoras de tocador; leches limpiadoras para el cuidado de la piel; leches para después de tomar el sol para uso cosmético; leches para después del sol; leches para después del sol [productos cosméticos]; leches para después del sol de uso cosmético; leches para el cuerpo; leches para el cuerpo de uso cosmético; leches para el rostro y el cuerpo; leches para el rostro y el cuerpo de uso cosmético; leches y lociones para el rostro; leches y lociones para el rostro de uso cosmético; leches, geles y aceites bronceadores y para después del sol, de uso cosmético; leches, geles, lociones y cremas desmaquillantes; limpiador cutáneo con propiedades suavizantes [cosmético]; limpiadores cosméticos cutáneos; limpiadores cosméticos faciales; limpiadores cosméticos para la piel; limpiadores cutáneos; limpiadores cutáneos [cosméticos]; limpiadores cutáneos [productos cosméticos]; limpiadores cutáneos con propiedades suavizantes [cosméticos]; limpiadores cutáneos no medicinales; limpiadores de la piel; limpiadores de la piel [cosméticos]; limpiadores de la piel [productos cosméticos]; limpiadores de la piel a base de cáñamo; limpiadores de la piel no medicinales; limpiadores faciales; limpiadores faciales [cosméticos]; limpiadores faciales [productos cosméticos]; limpiadores líquidos para la piel; limpiadores no medicinales para la piel; limpiadores para la cara; limpiadores para pinceles cosméticos; lociones antienvejecimiento; lociones antienvejecimiento para uso cosmético; lociones autobronceadoras [cosméticos]; lociones brillantes para el cuerpo; lociones bronceadoras; lociones capilares cosméticas; lociones capilares no medicinales; lociones capilares reparadoras no medicamentosas; lociones capilares reparadoras no medicinales; lociones capilares*; lociones con filtro solar; lociones con filtro solar para uso cosmético; lociones colorantes para el cabello; lociones con pantalla solar; lociones con pantalla solar para uso cosmético; lociones corporales; lociones cosméticas para el bronceado de la piel; lociones cosméticas para el cuidado de la piel; lociones cosméticas para el rostro; lociones cosméticas para la cara; lociones cosméticas para la piel; lociones cosméticas para reducir la aparición de manchas de envejecimiento y pecas; lociones de aromaterapia; lociones de baño; lociones de baño para uso cosmético; lociones de belleza; lociones de limpieza dental; lociones de protección para el cabello; lociones de protección solar; lociones de protección solar para uso cosmético; lociones depilatorias; lociones desmaquillantes; lociones estimulantes no medicinales para la piel; lociones faciales; lociones faciales [cosméticos]; lociones faciales no medicadas; lociones fijadoras para ondular el cabello; lociones hidratantes; lociones hidratantes [cosméticos]; lociones hidratantes para el cuerpo; lociones hidratantes para el cuerpo [cosméticos]; lociones hidratantes para la piel; lociones hidratantes para la piel [cosméticos]; lociones lechosas; lociones lechosas para el cuidado de la piel; lociones limpiadoras no medicadas; lociones limpiadoras para la piel; lociones lácteas; lociones lácteas para el cuidado de la piel; lociones no medicadas para el rostro; lociones no medicinales para aclarar la piel; lociones no medicinales para el cuidado de la piel [cosméticos]; lociones no medicinales para la piel; lociones no medicinales para los pies; lociones para bebés; lociones para bebés [productos de tocador]; lociones para después de afeitar; lociones para después del afeitado; lociones para después del sol; lociones para después del sol de uso cosmético; lociones para el afeitado; lociones para el bronceado de la piel; lociones para el cabello; lociones para el cabello de uso cosmético; lociones para el cuerpo; lociones para el cuerpo de uso cosmético; lociones para el cuidado de la piel; lociones para el cuidado de la piel [cosméticos]; lociones para el cuidado del rostro y del cuerpo; lociones para el cuidado del rostro y del cuerpo de uso cosmético; lociones para el peinado; lociones para el rostro y el cuerpo; lociones para el rostro y el cuerpo de uso cosmético; lociones para fortalecer el cabello; lociones para fortalecer las uñas; lociones para la barba; lociones para la piel; lociones para la piel [productos cosméticos]; lociones para la piel no medicadas; lociones para las manos; lociones para las manos de uso cosmético; lociones para los ojos; lociones para los ojos de uso cosmético; lociones para ondular el cabello; lociones para ondular el cabello de forma permanente; lociones para reducir la celulitis; lociones para reducir la celulitis de uso cosmético; lociones para rizar el cabello; lociones para uso cosmético; lociones perfumadas [preparaciones de tocador]; lociones perfumadas para el cuerpo; lociones tonificantes para el cuerpo; lociones tónicas para el cuerpo; lociones tónicas para el rostro, el cuerpo y las manos de uso cosmético;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loción de malagueta; loción de malagueta para uso cosmético; lodos corporales para uso cosmético; lápices de cejas; lápices de labios; lápices de labios hidratantes; lápices de maquillaje; lápices de ojos; lápices de ojos para uso cosmético; lápices de párpados; lápices labiales; lápices labiales hidratantes; lápices para aplicar el esmalte de uñas; lápices para uso cosmético; lápices perfiladores de ojos; lápices quitaesmaltes; lápices quitaesmaltes de uñas; líquidos antideslizantes para pisos; líquidos antideslizantes para suelos; exfoliantes corporales; exfoliantes para los pies; jabones antitranspirantes; jabones de papel para uso personal; jabones en polvo no medicinales; jabones para la ducha; lápices de labios [pintalabios] hidratantes; manteca a base de vegetales para uso cosmético; manteca corporal; manteca corporal para uso cosmético; manteca de almendra para uso cosmético; manteca de aloe vera para uso cosmético; manteca de argán para uso cosmético; manteca de cacao para uso cosmético; manteca de coco para uso cosmético; manteca de karité para uso cosmético; maquillaje; maquillaje [cosméticos]; maquillaje de teatro, a saber, sangre falsa; maquillaje para el cuerpo; maquillaje para el rostro; maquillaje para el rostro y el cuerpo; maquillaje para la cara; maquillaje para la cara y el cuerpo; maquillaje para la piel; maquillaje para los ojos; maquillaje para polveras; maquillajes de base; maquillajes de base en crema; maquillajes de ojos; maquillajes faciales; mascarillas corporales; mascarillas corporales en forma de cremas; mascarillas corporales en forma de cremas para uso cosmético; mascarillas corporales en forma de lociones; mascarillas corporales en forma de lociones para uso cosmético; mascarillas corporales en polvo; mascarillas corporales en polvo para uso cosmético; mascarillas corporales para uso cosmético; mascarillas cosméticas; mascarillas cosméticas para el cutis; mascarillas de belleza; mascarillas de belleza para el cabello; mascarillas de belleza para el contorno de los ojos; mascarillas de belleza para las manos; mascarillas desechables calentadas al vapor, que no sean para uso médico; mascarillas envasadas para uso cosmético;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hidratantes para la piel; mascarillas limpiadoras; mascarillas limpiadoras para corporales; mascarillas limpiadoras para faciales; mascarillas oculares para uso cosmético; mascarillas para el cabello; mascarillas para el cabello y el cuero cabelludo; mascarillas para el cuero cabelludo; mascarillas para el cuidado capilar; mascarillas para el cuidado de la piel de las manos; mascarillas para el cuidado de la piel de los pies; mascarillas para el cuidado del cabello; mascarillas para el cutis; mascarillas para el cutis [cosméticos]; mascarillas para el peinado del cabello; mascarillas para eliminar los comedones; mascarillas para eliminar los puntos negros; mascarillas para hidratar la piel; mascarillas para la cara; mascarillas para la piel; mascarillas para la piel [cosméticos]; mascarillas para la piel de uso cosmético; mascarillas para pieles grasas; menta para perfumería; mezclas de perfumería; máscara de pestañas; máscara para pestañas largas; máscaras calentadoras en gel para los ojos; motivos decorativos para uso cosmético; máscaras para el cuero cabelludo; máscaras para pestañas largas; máscaras refrigerantes en gel para los ojos; máscaras refrigerantes para los ojos; neceseres de cosmética;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neutralizadores de color para labios; niebla corporal; niebla corporal en espray; niebla corporal pefumado a rosa en espray; paletas de brillos labiales; papel de jabón para uso personal; papel secante anti-brillo [cosméticos]; papel secante anti-brillo para uso cosmético; papel secante facial [cosméticos]; papel secante facial para uso cosmético; papel secante para pieles grasas; papel secante para rostros oleosos; papel secante para uso cosmético;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parches que contienen preparaciones no medicinales para el cuidado de la pie; parches refrigerantes en gel para los ojos; pastas cosméticas matificantes para la cara; pastas de dientes no medicinales; pastas de dientes*; pastas para blanquear los dientes; pastas para suavizadores de navajas de afeitar; pastas perfumadas para uso cosmético; pañitos cosméticos prehumedecidos; pañitos de limpieza impregnados con preparaciones de tocador; pañitos de limpieza prehumedecidos; pañitos para bebés; pañitos para bebés para uso cosmético; paños de limpieza húmedos; paños desechables impregnados de compuestos limpiadores para uso facial; paños húmedos para bebés; paños húmedos para bebés de uso cosmético; paños impregnados con sustancias cosméticas; paños impregnados de preparaciones de limpieza; paños impregnados de preparaciones desmaquilladoras; paños impregnados de productos de limpieza para la piel; paños impregnados de productos limpiadores para la piel; paños o toallitas impregnados de productos limpiadores para la piel; perfiladores de labios; perfiladores de ojos; máscaras cosméticas de barro; máscaras para el cabello; máscaras para el cabello y el cuero cabelludo; paletas de sombras de párpados; perfumería para cosméticos; perfumería y fragancias; perfumes; perfumes líquidos; perfumes para uso industrial; perfumes sólidos; perfumes y aguas de colonia; perfumes y aguas de tocador; perfumes y colonias; perfumes, aguas de colonia y productos para después del afeitado; perlas de baño; perlas de baño para uso cosmético; perlitas de baño; perlitas de baño para uso cosmético; peróxido de hidrógeno para uso cosmético; piedra pómez; piedras astringentes para después del afeitado; piedras astringentes para después del afeitado para uso cosmético; piedras de alumbre [astringentes]; piedras de alumbre para el afeitado; piedras de cerámica perfumadas; piedras para el afeitado [astringentes]; piedras para el afeitado en cuanto astringentes; piedras para el afeitado en cuanto astringentes para uso cosmético; piedras para suavizar; piedras para suavizar los pies; piedras pómez para uso corporal; pintalabios; pintalabios hidratantes; pintura corporal; pintura corporal de látex líquido para uso cosmético; pintura corporal para uso cosmético; pintura facial; pintura para la cara y el cuerpo; plumas de esmalte de uñas; polveras rellenas; polvo de cejas; polvo para el cabello; polvos brillantes para el cuerpo; polvos compactos para polveras; polvos compactos para polveras [cosméticos]; polvos compactos para polveras cosméticas; polvos cosméticos; polvos de alheña; polvos de baño no medicinales; polvos de baño para uso cosmético; polvos de brillo para uso cosmético; polvos de henna; polvos de maquillaje; polvos dentales; polvos dentales hidratados; polvos dentales para uso cosmético; polvos dentífricos; polvos faciales; polvos faciales [cosméticos]; polvos faciales blancos para uso cosmético; polvos faciales compactos; polvos faciales cosméticos; polvos faciales cosméticos de color blanco; polvos faciales en crema; polvos faciales en papel; polvos faciales para uso cosmético; polvos faciales sueltos; polvos faciales, a saber, papel revestido con polvo facial; polvos no medicinales para los pies; polvos para bebés; polvos para bebés [productos de tocador]; polvos para el cuerpo; polvos para el cuerpo de uso cosmético; polvos para lavar el cabello; polvos perfumados para uso cosmético; pomadas labiales; pomadas no medicinales para prevenir y tratar las quemaduras solares; pomadas para el cabello; pomadas para el cabello de uso cosmético; pomadas para los labios; polvos de baño no medicamentosos; polvos perfumados; pomadas en barra para uso cosmético; pomadas para uso cosmético; pomadas y lociones no medicinales contra la dermatitis del pañal; pomanders [sustancias aromáticas]; pomanders en cuanto sustancias aromáticas; pomas de olor; pomas de olor [sustancias aromáticas]; preparaciones ambientadoras (perfumes); preparaciones antiarrugas para el cuidado de la piel; preparaciones antienvejecimiento para el cuidado de la piel; preparaciones autobronceadoras; preparaciones autobronceadoras [cosméticos]; preparaciones blanqueadoras; preparaciones blanqueadoras para la piel [productos cosméticos]; preparaciones bronceadoras y de protección solar; preparaciones capilares a base de aceite de coco virgen ecológico y de aceite de coco virgen; preparaciones capilares de protección solar; preparaciones capilares no medicamentosas; preparaciones capilares no medicinales; preparaciones colorantes de uso cosmético; preparaciones con filtro solar; preparaciones con filtro solar para animales; preparaciones con pantalla solar; preparaciones cosméticas; preparaciones cosméticas adelgazantes; preparaciones cosméticas antienvejecimiento; preparaciones cosméticas colorantes; preparaciones cosméticas contra la sequedad de la piel durante el embarazo; preparaciones cosméticas contra las quemaduras solares; preparaciones cosméticas de cuidado facial; preparaciones cosméticas de peluquería; preparaciones cosméticas de protección solar; preparaciones cosméticas de uso tópico para atenuar las arrugas faciales; preparaciones cosméticas no espumantes; preparaciones cosméticas no medicadas; preparaciones cosméticas no medicamentosas para tratamientos capilares; preparaciones cosméticas no medicinales para tratamientos capilares; preparaciones cosméticas para el baño; preparaciones cosméticas para el baño y la ducha; preparaciones cosméticas para el bronceado de la piel; preparaciones cosméticas para el cabello y el cuero cabelludo; preparaciones cosméticas para el cuidado bucal; preparaciones cosméticas para el cuidado de la piel; preparaciones cosméticas para el cuidado de la piel en forma de geles; preparaciones cosméticas para el cuidado de las uñas; preparaciones cosméticas para el cuidado del cabello; preparaciones cosméticas para el cuidado del cuerpo; preparaciones cosméticas para el cuidado y el tratamiento de la piel; preparaciones cosméticas para el rostro; preparaciones cosméticas para el rostro y el cuerpo; preparaciones cosméticas para el tratamiento de la piel; preparaciones cosméticas para impedir el crecimiento del cabello; preparaciones cosméticas para la cara; preparaciones cosméticas para la ducha; preparaciones cosméticas para la regeneración de la piel; preparaciones cosméticas para las uñas; preparaciones cosméticas para pestañas; preparaciones cosméticas para proteger la piel de los rayos del sol; preparaciones cosméticas para reafirmar el busto; preparaciones cosméticas para secar esmaltes de uñas; preparaciones cosméticas que contienen colágeno; preparaciones cosméticas termoactivas para el cuidado de la piel; preparaciones de afeitar en forma líquida; preparaciones de aloe vera para uso cosmético; preparaciones de baño no medicinales para animales; preparaciones de bloqueadores solares para uso cosmético; preparaciones de burbujas no medicinales; preparaciones de colágeno para uso cosmético; preparaciones de cuidado corporal no medicamentosas; preparaciones de cuidado corporal no medicinales; preparaciones de cuidado corporal y de belleza para uso cosmético; preparaciones de cuidado facial; preparaciones de cuidado facial [cosméticos]; preparaciones de espuma para el baño; preparaciones de higiene en cuanto productos de tocador; preparaciones de higiene personal para refrescar el aliento; preparaciones de jabón no medicinales; preparaciones de limpieza dental; preparaciones de limpieza no medicadas; preparaciones de limpieza no medicadas para el cuerpo; preparaciones de limpieza para el baño; preparaciones de limpieza para el cuerpo; preparaciones de limpieza para las manos; preparaciones de maquillaje para el rostro y el cuerpo; preparaciones de maquillaje para la cara y el cuerpo; preparaciones de permanente para ondular el cabello; preparaciones de permanente para ondular y rizar el cabello; preparaciones de permanente para rizar el cabello; preparaciones de protección solar; preparaciones de protección solar [productos cosméticos]; preparaciones de protección solar para animales; preparaciones de protección solar para uso cosmético; preparaciones de tintes capilares; preparaciones depilatorias y exfoliantes; preparaciones desengrasantes para uso en la piel; preparaciones exfoliantes faciales para uso cosmético; preparaciones exfoliantes y de limpieza para la piel; preparaciones faciales; preparaciones faciales [cosméticos]; preparaciones fito-cosméticas; preparaciones hidratantes; preparaciones hidratantes [cosméticos]; preparaciones hidratantes para después de afeitar; preparaciones hidratantes para después del afeitado; preparaciones higiénicas en cuanto productos de tocador no medicinales; preparaciones limpiadoras de uso personal; preparaciones limpiadoras no medicamentosas para la piel; preparaciones limpiadoras no medicinales para la higiene íntima; preparaciones limpiadoras para pieles curtidas; preparaciones líquidas no medicinales para limpiar las manos; preparaciones no medicadas para el baño de pies; preparaciones no medicadas para el cabello; preparaciones no medicadas para uso en la ducha; preparaciones no medicinales para aliviar las quemaduras solares; preparaciones no medicinales para el aseo de animales que no sean productos para lavarlos; preparaciones no medicinales para el cuidado bucal; preparaciones no medicinales para el cuidado de la piel; preparaciones no medicinales para el cuidado de la piel, el cabello y el cuero cabelludo; preparaciones no medicinales para el cuidado de los labios; preparaciones no medicinales para el cuidado de los pies; preparaciones no medicinales para el cuidado del cabello; preparaciones no medicinales para el cuidado dental; preparaciones no medicinales para el cuidado dental de los animales; preparaciones no medicinales para masajes; preparaciones para ablandar las cutículas; preparaciones para abrillantar los dientes; preparaciones para aclarar la piel [cosméticos]; preparaciones para alisar el cabello; preparaciones para antes y después de afeitar; preparaciones para antes y después del afeitado; preparaciones para atildar el cabello; preparaciones para baños de espuma; preparaciones para baños de espuma para uso cosmético; preparaciones para blanquear la piel; preparaciones para blanquear la piel [cosméticos]; preparaciones para blanquear los dientes; preparaciones para cuidados corporales y de belleza; preparaciones para decolorar el cabello; preparaciones para decolorar el pelo; preparaciones para después del afeitado; preparaciones para desrizar el cabello; preparaciones para el afeitado en forma líquida; preparaciones para el afeitado y para después del afeitado; preparaciones de tocador no medicinales; preparaciones de tocador*; preparaciones limpiadoras no medicinales para la piel; preparaciones mentoladas para el baño que no sean de uso médico; preparaciones no medicadas para el baño; preparaciones no medicinales para el baño; preparaciones para el bronceado de la piel; preparaciones para el cuidado bucal [no medicinales]; preparaciones para el cuidado bucal, no medicinales; preparaciones para el cuidado de la piel; preparaciones para el cuidado de la piel [productos cosméticos]; preparaciones para el cuidado de la piel a base de cbd; preparaciones para el cuidado de la piel, no medicinales; preparaciones para el cuidado de las uñas; preparaciones para el cuidado de los labios; preparaciones para el cuidado del cabello; preparaciones para el cuidado del cuero cabelludo y del cabello; preparaciones para el cuidado del cuerpo y la belleza; preparaciones para el cuidado dental; preparaciones para el cuidado dental de las personas; preparaciones para el cuidado dental de los animales; preparaciones para el cuidado y la belleza personal; preparaciones para el cuidado y la limpieza del cabello; preparaciones para el cuidado y limpieza de los animales; preparaciones para el peinado; preparaciones para el peinado del cabello; preparaciones para el teñido de cabellos; preparaciones para el tratamiento de coloración permanente del cabello; preparaciones para la limpieza del cabello; preparaciones para lavar el cabello; preparaciones para limpiarse las manos; preparaciones y sustancias depilatorias; preparacioness no medicinales para después de afeitar; preparacioness no medicinales para después del afeitado; preparación nutritiva para el cabello; preparaciónes nutritiva para el cabello; preparados blanqueadores de dientes; preparados cosméticos para el cuidado del cuerpo; preparados cosméticos para el tratamiento de la piel; preparados no medicinales para el cuidado de la piel; preparados para el cuidado de la piel a base de cbd; preparados para el tratamiento de coloración permanente del cabello; productos antitranspirantes [artículos de tocador]; productos con filtro solar; productos con filtro solar a prueba de agua; productos con filtro solar para uso cosmético; productos con filtro solar resistentes al agua; productos con pantalla solar;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afeitar; productos de aromaterapia; productos de enjuague para el cabello; productos de enjuague para el cabello [champús acondicionadores]; productos de jabón no medicinales; preparaciones para ondular y amoldar el cabello; preparaciones para ondular y marcar el cabello; preparaciones para tratamientos capilares; preparados para el tratamiento de permanente de coloración del cabello; productos de limpieza en aerosoles para refrescar protectores bucales para deportes; productos de limpieza en spray; productos de limpieza en sprays para uso doméstico; productos de limpieza para las pestañas; productos de maquillaje;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textura para el cabello; productos de tocador no medicinales; productos decolorantes para el cabello; productos depilatorios; productos desoxidantes; productos en aerosol para refrescar el aliento; productos hidratantes antienvejecimiento; productos hidratantes para después del sol; productos hidratantes para el cabello; productos no medicamentosos para refrescar el aliento; productos no medicinales para el cuidado de la piel; productos no medicinales para enjuagarse la boca y hacer gargarismos; productos no medicinales para lavarse las manos; productos no medicinales para lavarse y enjuagarse la boca; productos para ablandar las uñas; productos para aclarar el cabello; productos para aclarar la piel; productos para afilar; productos para afinar el grano de la piel; productos para decolorar el cabello; productos para después del afeitado; productos para desrizar el cabello; productos para el cuidado de la piel, no medicinales; productos para el cuidado de las uñas; productos para eliminar las manchas producidas por animales de compañía; productos para lavar perros [champús]; productos para mejorar la textura de la piel; productos para refrescar el aliento; productos para refrescar el aliento que no sean para uso médico; productos para refrescar la piel; productos y preparaciones cosméticos para el cuidado de la piel; productos y preparaciones no medicinales para el cuidado de la piel; productos y preparaciones para el cuidado del cabello; protectores labiales no medicinales; protectores solares en barra; protectores solares en stick; protectores solares para bebés; protectores solares para los labios; protectores solares para los labios [productos cosméticos]; quitamanchas en forma de stick; reafirmantes en gel para el cuerpo para uso cosmético; sales blanqueadoras; sales de baño; sales de baño cosméticas; sales de baño no medicinales; sangre falsa [maquillaje de teatro]; saquitos perfumados; serum calmante para la piel; serum de corrección para el contorno de los ojos; serum para calmar la piel [cosmético]; serum para el contorno de ojos; soluciones para el lavado de la cara a base de gel, no medicinales; soluciones para el lavado de la cara a base de jabón, no medicinales; soluciones para el lavado de la cara sin aclarado, no medicinales; sombras de párpados; sprays de agua mineral para uso cosmético; sprays depilatorios; sprays para afeitar; sprays para el cuerpo; sprays para el cuerpo de uso cosmético; sprays para fijar el maquillaje; sueros antiedad multiactivos; sueros de belleza; sueros faciales; sueros faciales para uso cosmético; sueros no medicados para la piel de la cara; sueros no medicinales para la piel; sueros para el cuidado del cabello; sueros para el lifting facial; sueros para el peinado del cabello; sueros para la piel a base de cáñamo; sueros para uso cosmético; talco; talco de tocador; talco para bebés; talco para bebés [productos de tocador]; talco para uso cosmético; talco perfumado; talco perfumado para uso cosmético; tatuajes temporales con fines cosméticos; tatuajes temporales para uso cosmético; terpenos [aceites esenciales]; terpenos en cuanto aceites esenciales; tintas para la barba; tintas para uso cosmético; tintes cosméticos; tintes de cejas; tintes de labios; tintes de labios [cosméticos]; tintes de labios para uso cosmético; tintes de pestañas; tintes de tocador; tintes labiales; tintes labiales [cosméticos]; tintes labiales [productos cosméticos]; tintes labiales para uso cosmético; tintes para cejas; tintes para el cabello; tintes para la barba; tintes para los labios; tintes para los labios [productos cosméticos]; tintes para pestañas; tintes temporales para hacer mechas; revitalizantes cutáneos para uso cosmético; revitalizantes para el cabello; revitalizantes para el cabello de uso cosmético; revitalizantes para la piel; rubores para las mejillas; sales de baño para uso cosmético; sales de baño perfumadas; sales de baño que no sean para uso médico; sales para el baño; soluciones para el lavado de manos a base de gel, no medicinales; soluciones para el lavado de manos a base de jabón, no medicinales; soluciones para el lavado de manos sin aclarado, no medicinales; suavizantes para el cabello; suavizantes para el cabello de uso cosmético; sueros para el contorno de los ojos; tiras de cera para la depilación; tiras para eliminar los comedones; tiras para eliminar los puntos negros; tiras para refrescar el aliento; tiza para maquillaje; tiza para uso cosmético; toallitas cosméticas impregnadas; toallitas cosméticas prehumedecidas; toallitas impregnadas con preparados antitranspirantes para uso personal; toallitas impregnadas con preparados cosméticos; toallitas impregnadas con preparados de bronceador; toallitas impregnadas con preparados de limpieza personal; toallitas impregnadas con preparados para el cuidado de la piel; toallitas impregnadas con sustancias cosméticas; toallitas impregnadas con un limpiador de la piel; toallitas impregnadas de aceites esenciales, para uso cosmético; toallitas impregnadas de lociones cosméticas; toallitas impregnadas de preparaciones desmaquillantes; toallitas impregnadas de productos cosméticos; toallitas impregnadas de productos limpiadores para la piel; toallitas limpiadoras para el rostro; toallitas o paños impregnados de productos limpiadores para la piel; toallitas para bebés; toallitas para bebés impregnadas de preparaciones de limpieza; toallitas para el rostro; toallitas para la higiene femenina; tonificantes para el cabello; tonificantes para el cabello para uso cosmético; tratamientos de cera para el cabello; tónicos clarificadores faciales; tónicos cosméticos; tónicos cosméticos para el rostro; tónicos cosméticos para la cara; tónicos faciales; tónicos faciales [cosméticos]; tónicos faciales clarificantes; tónicos faciales revitalizantes; tónicos no medicinales para la piel; tónicos para la piel para uso cosmético; tónicos para uso cosmético; tónicos revitalizantes faciales; vainillina sintética [productos de perfumería]; velas de masaje para uso cosmético; veneno de abeja con fines cosméticos; aceites esenciales para uso doméstico; aceites etéreos; aerosoles perfumados para habitaciones; aguas perfumadas para la ropa; dentífricos no medicinales; dentífricos que no sean para uso médico; discos de algodón para uso cosmético; discos desmaquillantes de algodón hidrófilo; duchas no medicinales; duchas vaginales no medicinales; eau de parfum; eau de parfum [agua de perfume]; emolientes para la piel; emolientes para la piel de uso cosmético; emulsiones faciales; emulsiones faciales de vitalidad; emulsiones faciales para uso cosmético; emulsiones para después del afeitado; emulsiones para el cuerpo; emulsiones para el cuerpo de uso cosmético; emulsiones térmicas para uso cosmético; emulsiones, geles y lociones para el cuidado de la piel; enjuagues bucales no medicinales; enjuagues bucales no medicinales para animales de compañía; enjuagues bucales para prevenir las caries que no sean de uso médico; enjuagues bucales que no sean para uso médico; enjuagues de color para el cabello; enjuagues para el cabello de uso cosmético; esencia de badiana; esencia de bergamota; esencia de citronela [aceite esencial]; esencia de cáñamo [aceite esencial]; esencia de eucalipto [aceite esencial]; esencia de gaulteria [aceite esencial]; esencia de helicriso [aceite esencial]; esencia de hierba limón [aceite esencial]; esencia de hierbabuena [aceite esencial]; esencia de lavanda [aceite esencial]; esencia de limoncillo [aceite esencial]; esencia de menta [aceite esencial]; esencia de menta en cuanto aceites esenciales; esencia de neroli [aceite esencial]; esencia de neroli [aceites esenciales]; esencia de niaouli [aceite esencial]; esencia de petitgrain [aceite esencial]; esencia de romero [aceite esencial]; esencia de trementina para desengrasar; esencia de ylang ylang [aceite esencial]; esencia de árbol de té [aceite esencial]; esencias comestibles para alimentos [aceites esenciales]; esencias comestibles para alimentos [esencias etéricas]; estuches para lápices de labios; jabones de tocador; joyas de piel autoadhesivas para uso cosmético; líquidos para lavarse las manos no medicinales a base de jabón; pastillas de jabón para el cuerpo; preparaciones de limpieza nasal para la higiene personal.
5. Aceite alcanforado; aceite de almendras para uso farmacéutico; aceite de cáñamo para uso veterinario; aceite de hígado de bacalao; aceite de masaje no medicinal; aceite de mostaza para uso médico; aceite de onagra para uso médico; aceite de ricino para uso médico; aceite de trementina para uso farmacéutico; aceites antirreumáticos; aceites antitábanos; aceites de coco para uso médico; aceites de masaje no medicinales; aceites medicinales para bebés; aceites medicinales para masajes; aceites para el cuidado de la piel [medicinales]; aceites para el cuidado de la piel, medicinales; aceites para el tratamiento de la micosis; aceites para el tratamiento de resfriados; aceites para el tratamiento de reumatismo; aceites para el tratamiento de reumatosis; aceites para el tratamiento las micosis de las uñas; aceites para el tratamiento los hongos de las uñas; aceites para tratar las micosis de las uñas; aceites para tratar los hongos de las uñas; aceites para uso médico; acetatos para uso farmacéutico; adhesivos [pegamentos] quirúrgicos; adhesivos médicos para suturar heridas; adhesivos médicos para suturar tejidos internos; adhesivos médicos para unir tejido interno; adhesivos para prótesis dentales; adyuvantes para uso médico; adyuvantes para uso veterinario; aerosoles a base de hierbas para uso médico; aerosoles antibacterianos; aerosoles fríos para uso médico; aerosoles herbarios para uso médico; aerosoles medicinales; aerosoles medicinales para la garganta; aerosoles medicinales para uso bucal; aerosoles nasales para uso médico; aerosoles y cremas de hierbas medicinales de uso externo; agentes antileprosos; agentes para el tratamiento de golpes de calor; agentes para la limpieza gastrointestinal; agentes supresores de tumores; agentes, preparaciones y sustancias de diagnóstico para uso médico; agua blanca; agua de mar para baños medicinales; agua de melisa para uso farmacéutico; agua oxigenada para uso médico; aguas termales; aire purificado a presión para uso médico; alcaloides para uso médico; alcanfor para uso médico; alcohol isopropílico [isopropanol] para uso médico; almidón de uso farmacéutico; almidón dietético; almidón farmacéutico; almidón para uso dietético o farmacéutico; almidón para uso dietético y farmacéutico; almidón y productos amiláceos para uso farmacéutico; almohadillas abrasivas para uso dental; almohadillas de lactancia; almohadillas de lactancia lavables; almohadillas de lactancia reutilizables; almohadillas oculares para uso médico; almohadillas para callos; almohadillas para juanetes; aceites de qingliang [bálsamos para uso médico]; acetato de aluminio para uso farmacéutico; adhesivos dentales; aditivos minerales para productos alimenticios de consumo humano; aditivos nutricionales para la alimentación animal para uso médico; agentes de tratamiento de insolaciones; agentes estabilizadores capilares para uso médico; agentes farmacéuticos para el tratamiento de lesiones de origen físico; agentes farmacéuticos para la epidermis; agentes farmacéuticos para tratar lesiones físicas; agentes farmacéuticos que actúan sobre el metabolismo; aguas minerales para uso médico; aislados de proteína de suero de leche [complementos dietéticos]; aislados de proteína de suero de leche [suplementos dietéticos]; aislados de proteína de suero de leche en cuanto complementos dietéticos; alcohol de fricción; alcoholes medicinales; algodón antiséptico; algodón aséptico; algodón hidrófilo; algodón para uso médico; alguicidas; alguicidas para piscinas; alimentos dietéticos medicinales para animales; alimentos dietéticos para uso médico; alimentos dietéticos para uso veterinario; alimentos medicinales para animales; alimentos para bebés; alimentos para bebés especialmente leche en polvo para bebés; alimentos para bebés y niños pequeños; alimentos para diabéticos; alimentos para lactantes; alimentos para niños; alimentos para niños pequeños; alimentos sin gluten adaptados a fines médicos; alimentos y bebidas dietéticos para uso médico; aloinjertos de tejidos humanos; aceites de pescado para uso médico; adyuvantes para vacunas; aguas enriquecidas con elementos nutricionales para uso médico; aguas enriquecidas con vitaminas para uso médico; aislados de proteína de suero de leche en cuanto suplementos dietéticos; agentes de diagnóstico para uso médico; ambientadores en aerosol; aminoácidos para uso médico; analgésicos; analgésicos de uso tópico; analgésicos orales; analgésicos para uso veterinario; anestésicos; anestésicos de uso tópico; anestésicos que no sean para uso quirúrgico; anticuerpos para uso médico; antiinfecciosos; antiinfecciosos dérmicos; antiinflamatorios; antiinflamatorios en aerosol; antimicrobianos para uso dermatológico; antimicóticos; antimicóticos vaginales; antioxidantes [complementos dietéticos]; antioxidantes [suplementos dietéticos]; antioxidantes utilizados como complementos alimenticios; antioxidantes utilizados como suplementos alimenticios; antiparasitarios; antisifilíticos; antisépticos; antisépticos con efecto profiláctico; antisépticos con efecto terapéutico; antipiréticos con efecto calmante; antitusivos; antitusígenos; antivirales; antivíricos; antiácidos; aplicadores en barrita para aliviar el dolor de cabeza; apósitos autoadhesivos; apósitos de gasa esterilizados; apósitos de primeros auxilios; apósitos estériles; apósitos estériles para las heridas; apósitos estériles para las quemaduras; apósitos hemostáticos absorbibles para heridas leves; apósitos líquidos; apósitos líquidos antisépticos; apósitos líquidos en sprays; apósitos líquidos para heridas cutáneas; apósitos médicos y quirúrgicos; apósitos para heridas; apósitos para quemaduras; apósitos para uso médico y quirúrgico; apósitos para uso quirúrgico y médico; arcilla antimicrobiana; bacterias probióticas [complementos alimenticios]; bacterias probióticas [suplementos alimenticios]; barras energéticas utilizadas como suplementos dietéticos; barras energéticas utilizadas como suplementos nutricionales; barritas dietéticas en cuanto sustitutos de comidas; barritas nutricionales utilizadas como sustitutos de las comidas para uso médico para pacientes sometidos a tratamientos médicos; barritas utilizadas como sustitutos de las comidas para uso médico; barros fitoterapéuticos; barros medicinales; bastoncillos con alcohol para uso médico; bastoncillos de algodón para uso médico; bastoncillos de garganta; bastoncillos desinfectantes; bastoncillos impregnados con desinfectante para uso médico; bastoncillos impregnados con una solución medicinal; bastoncillos impregnados de preparaciones farmacéuticas; bastoncillos medicados; bastoncillos para uso médico; baños medicamentosos para uso terapéutico; baños medicinales; baños medicinales para uso terapéutico; bebidas a base de hierbas para uso médico; bebidas de electrolito para uso médico;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enriquecidas con vitaminas para uso médico; bebidas medicinales; bebidas medicinales en forma de licores tónicos; bebidas medicinales en forma de licores tónicos aromatizados; bebidas medicinales en la forma de suplementos dietéticos para la desintoxicación del colon; biomarcadores de diagnóstico para la evaluación de análisis genómicos para uso médico; biomarcadores de diagnóstico para la evaluación de las propiedades toxicológicas de las mezclas y los compuestos químicos para uso médico; biomarcadores de diagnóstico para la evaluación química de sensibilizantes cutáneos para uso médico; biomarcadores de diagnóstico para la evaluación química de sensibilizantes respiratorios para uso médico; biomarcadores de diagnóstico para pruebas in vitro para uso médico; bloqueadores cálcicos; blúmers higiénicos; blúmers para la menstruación; bolsas para lavados internos prellenadas que contienen preparaciones medicinales para la limpieza; bálsamos analgésicos; bálsamos analgésicos medicinales polivalentes; bálsamos antiinflamatorios; bálsamos medicinales para los pies; bálsamos para uso farmacéutico; bálsamos para uso médico; bálsamos para uso veterinario; calmantes; calomelano [fungicida]; cannabis medicinal en forma de aceites para facilitar la administración de fármacos; cannabis medicinal en forma de tisanas; cannabis medicinal en forma de tisanas para uso medicinal; cannabis para uso médico; caramelos de goma vitaminados; caramelos enriquecidos con calcio para uso médico; caramelos medicinales; carbón activado para la adsorción de toxinas con fines médicos; carbón vegetal para uso farmacéutico; carillas dentales; cataplasmas; champú para el crecimiento del cabello; champús en seco medicinales; champús insecticidas para animales; champús medicinales; champús medicinales anticaspa; champús medicinales para animales de compañía; champús pediculicidas; chicles con sabor a menta para uso médico; chicles para uso médico; colágeno para uso médico; complejos vitamínicos; complementos a base de hierbas; complementos alimenticios a base de aceite de linaza; complementos alimenticios a base de aceite de lino; complementos alimenticios a base de albúmina; complementos alimenticios a base de alginatos; complementos alimenticios a base de aminoácidos; complementos alimenticios a base de chlorella; complementos alimenticios a base de cáñamo; complementos alimenticios a base de enzimas; complementos alimenticios a base de germen de trigo; complementos alimenticios a base de jalea real; complementos alimenticios a base de kiwicha;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complementos alimenticios a base de proteínas; complementos alimenticios a base de proteínas de soja; complementos alimenticios a base de proteínas vegetales en forma de polvo; complementos alimenticios a base de quinua; complementos alimenticios a base de semillas de lino; complementos alimenticios a base de yacón; complementos alimenticios antibióticos para animales; complementos alimenticios antioxidantes; complementos alimenticios compuestos de aminoácidos; complementos alimenticios de vitaminas y minerales; complementos alimenticios dietéticos; complementos alimenticios dietéticos a base de extractos de hierbas deshidratadas en cápsulas; complementos alimenticios dietéticos en cápsulas; complementos alimenticios dietéticos en cápsulas, que no sean para uso médico; complementos alimenticios dietéticos en forma de cápsulas para uso médico; complementos alimenticios dietéticos en forma de cápsulas, que no sean para uso médico; complementos alimenticios dietéticos en forma de gránulos; complementos alimenticios dietéticos en forma de gránulos para uso médico; complementos alimenticios dietéticos en forma de polvo; complementos alimenticios dietéticos en forma de polvo para uso médico; complementos alimenticios dietéticos en forma de polvo, que no sean para uso médico; complementos alimenticios dietéticos en gránulos; complementos alimenticios dietéticos en gránulos para uso médico; complementos alimenticios dietéticos en gránulos, que no sean para uso médico; complementos alimenticios dietéticos en polvo; complementos alimenticios dietéticos en polvo para uso médico; complementos alimenticios dietéticos en polvo, que no sean para uso médico; complementos alimenticios dietéticos para uso médico; complementos alimenticios dietéticos y sustancias dietéticas para uso médico; complementos alimenticios en polvo a base de cáñamo; complementos alimenticios en polvo a base de proteinas; complementos alimenticios en polvo a base de proteínas vegetales; complementos alimenticios medicinales a base de colágeno; complementos alimenticios medicinales para consumo humano; complementos alimenticios minerales; complementos alimenticios minerales para seres humanos; complementos alimenticios para animales; complementos alimenticios para animales de uso veterinario; complementos alimenticios para humanos; complementos alimenticios para personas; complementos alimenticios para personas o animales; complementos alimenticios para seres humanos; complementos alimenticios para uso farmacéutico; complementos alimenticios para uso farmacéutico y veterinario; complementos alimenticios para uso médico a base de aminoácidos, minerales y oligoelementos; complementos alimenticios para uso veterinario; complementos alimenticios probióticos; complementos alimenticios probióticos en cápsulas; complementos alimenticios proteicos en polvo; complementos alimenticios que no sean para uso médico; complementos alimenticios terapéuticos que contienen gingseng; complementos alimenticios terapéuticos que contienen gingseng rojo; complementos de calcio; complementos de oligoelementos para productos alimenticios de consumo humano; complementos de proteínas para animales; complementos de proteínas para personas; complementos de proteínas para seres humanos; complementos de uso veterinario para piensos; complementos de vitaminas para productos alimenticios de consumo humano; complementos dietéticos; complementos dietéticos a base de acai en polvo; complementos dietéticos a base de aminoácidos; complementos dietéticos a base de minerales; complementos dietéticos a base de oligoelementos; complementos dietéticos a base de trigo; complementos dietéticos a base de zinc; complementos dietéticos con efecto cosmético; complementos dietéticos de carbón activado; complementos dietéticos de clorela; complementos dietéticos de vitaminas; complementos dietéticos de ácido fólico; complementos dietéticos en forma de golosinas para animales de compañía; complementos dietéticos en forma de polvo; complementos dietéticos en forma líquida; complementos dietéticos en polvo con sabor a frutas para elaborar bebidas; complementos dietéticos en polvo de esporas a base de ganoderma lucidum; complementos dietéticos naturales para tratar la claustrofobia; complementos dietéticos para animales de compañía; complementos dietéticos para animales de compañía, a saber, bebidas en polvo; complementos dietéticos para controlar el colesterol; complementos dietéticos para la alimentación humana; complementos dietéticos para niños; complementos dietéticos para personas y animales; complementos dietéticos y nutricionales; complementos homeopáticos; complementos medicinales para alimentos destinados a los animales; complementos medicinales para productos alimenticios de consumo humano; complementos minerales; complementos minerales nutricionales; complementos nutricionales; complementos nutricionales a base de almidón, adaptados a fines médicos; complementos nutricionales líquidos; complementos nutricionales para alimentos de animales; complementos nutricionales para piensos; complementos nutricionales para seres humanos; complementos nutricionales para seres humanos y animales; complementos nutricionales para uso veterinario; complementos nutricionales y alimenticios; complementos nutricionales y dietéticos contra el envejecimiento del sistema inmunitario; complementos nutricionales y dietéticos para el alivio del estrés; complementos nutricionales y dietéticos para el fortalecimiento del sistema inmunitario; complementos nutricionales y dietéticos para la desintoxicación; complementos para el control de peso; complementos para piensos para uso veterinario; complementos prebióticos; complementos probióticos; complementos proteicos para seres humanos; complementos simbióticos; complementos vitamínicos; complementos vitamínicos en comprimidos que disueltos en agua sirven para elaborar bebidas efervescentes; complementos vitamínicos para productos alimenticios de consumo humano; complementos vitamínicos y minerales; complementos vitamínicos y minerales para animales de compañía; complementos vitamínicos y minerales para mascotas; complementos y preparaciones dietéticas; complementos y preparaciones nutricionales; composiciones farmacéuticas que contienen células madre; composiciones farmacéuticas que contienen células madre para el tratamiento de enfermedades cardiovasculares; composiciones farmacéuticas que contienen células madre para el tratamiento de enfermedades inflamatorias; composiciones farmacéuticas que contienen células madre para el tratamiento de enfermedades inmunológicas; composiciones farmacéuticas que contienen células madre para el tratamiento de enfermedades neurológicas; compresas [vendas]; compresas analgésicas antiinflamatorias; compresas de gasa; compresas de incontinencia desechables; compresas en cuanto apósitos; compresas higiénicas; compresas medicinales; comprimidos antialérgicos; comprimidos antihistamínicos; comprimidos de vitaminas; comprimidos para tratar acúfenos; comprimidos vitamínicos;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corteza de crotón; corteza de mangle para uso farmacéutico; corteza de mirobálano para uso farmacéutico; cotonetes para uso médico; cotonitos de algodón para uso médico; cotonitos impregnados con desinfectante para uso médico; cotonitos impregnados de preparaciones farmacéuticas; cotonitos impregnados de preparaciones germicidas para uso médico; cotonitos medicados; cotonitos para uso médico; cremas a base de hierbas para uso médico; cremas analgésicas para uso tópico; cremas analgésicas tópicas; cremas antibióticas; cremas antihistamínicas; cremas antiprurito; cremas antisépticas; cremas de caléndula para erupciones cutáneas; cremas de hidrocortisona; cremas de hidrocortisona para erupciones cutáneas; cremas de masaje para uso médico; cremas de uso dermatológico; cremas dermatológicas a base de cortisona; cremas herbarias para uso médico; cremas labiales medicamentosas; cremas labiales medicinales; cremas medicamentosas; cremas medicamentosas para hidratar la piel; cremas medicamentosas para la hidratación de la piel; cremas medicamentosas para la piel; cremas medicamentosas para la protección de la piel; cremas medicamentosas protectoras;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cultivos de medios celulares para la medicina veterinaria; cultivos de medios celulares para uso veterinario; curare; curare para uso médico; cánnabis médico; cánnabis para uso médico; cápsulas a base de hierbas para potenciar la sexualidad masculina; cápsulas antialérgicas; cápsulas contra la alergia; cápsulas de aceite de hígado de bacalao; cápsulas de gelatina para productos farmacéuticos; cápsulas de gelatina vacías para productos farmacéuticos; cápsulas de ginseng para uso médico; cápsulas de polímeros dendriméricos para productos farmacéuticos; cápsulas monodosis vacías para uso farmacéutico; cápsulas para adelgazar; cápsulas para medicamentos; células madre para uso médico; células madre para uso veterinario; células para uso médico; células vivas para uso médico; células vivas para uso veterinario; dentífricos medicinales; depurativos; descongestivos; descongestivos en cápsulas; descongestivos nasales en espray; desinfectantes; desinfectantes del tracto urinario; desinfectantes multiuso; desinfectantes para el tracto urinario; desinfectantes para uso higiénico; desinfectantes para uso médico; desinfectantes y antisépticos; desodorantes de wc; desodorantes de aire en sprays; desodorantes de interior [desodorantes de aire]; desodorantes de interior [desodorantes de ambiente]; desodorantes para alfombras; detergentes para uso médico; duchas medicinales; duchas vaginales medicinales; duchas vaginales para uso médico; ejuagues bucales medicinales anticaries; ejuagues dentales medicinales anticaries; emolientes para uso médico; emplastos medicinales; emplastos médicos; emplastos para callos; enjuagues bucales antisépticos; enjuagues bucales medicinales; enjuagues bucales medicinales anticaries; enjuagues bucales medicinales para animales de compañía; enjuagues bucales para prevenir las caries para uso médico; enjuagues bucales para uso médico; enjuagues bucales para uso veterinario; enjuagues medicinales anti caries para uso dental; enjuagues para la higiene bucal de uso medicinal; esencia de eneldo para uso médico; esencia de trementina para uso farmacéutico; esparadrapos; esparadrapos adhesivos para uso médico; esparadrapos que incorporan sustancias medicinales; espermicidas; espirales repelentes de mosquitos; espráis a base de hierbas para uso médico; espráis ambientadores; espráis antibacterianos; complementos alimenticios a base de glucosa; carbón activado utilizado como antídoto contra venenos; carbón activo utilizado como antídoto para venenos; cardiotónicos; cataplasmas de mostaza; ceras dentales; cintas adhesivas para uso médico; cintas adhesivas para uso quirúrgico; citostáticos para uso farmacéutico; cloroformo; colirio; combinaciones de antibióticos; comida liofilizada para uso médico; complementos alimenticios; complementos alimenticios a base de caseína; complementos alimenticios a base de isoflavona de soja; complementos alimenticios dietéticos en forma de gránulos, que no sean para uso médico; compresas oculares; compresas para incontinentes; comprimidos vitamínicos efervescentes; cotonetes medicados; cremas antimicóticas para uso médico; cremas para callosidades y durezas; cremas para el cuidado de la piel, medicinales; cremas para la piel con hidrocortisona para uso dermatológico; cremas para uso dermatológico; creosota para uso farmacéutico; crémor tártaro para uso farmacéutico; cultivos de células madre para implantes quirúrgicos; cultivos microbiológicos para uso médico; decocciones de hierbas medicinales; decocciones para uso farmacéutico; desinfectantes domésticos; emplastos adhesivos para uso médico; emplastos de mostaza; emplastos para callosidades; emplastos para uso médico; emplastos para uso médico y quirúrgico; emplastos quirúrgicos; emplastos, material para apósitos; enemas; enzimas humanas recombinantes en cuanto preparaciones bioquímicas para uso médico; enzimas para uso médico; enzimas para uso veterinario; enzimas recombinantes en cuanto preparaciones bioquímicas para uso veterinario; espráis antiinflamatorios; espráis herbarios para uso médico; espráis medicinales; espráis nasales para uso médico; espráis y cremas de hierbas medicinales de uso externo; eucalipto para uso farmacéutico; eucaliptol para uso farmacéutico; evacuantes; extractos de hierbas medicinales; extractos de hierbas medicinales para uso médico; extractos de hierbas para uso medicinal; extractos de levadura para uso farmacéutico; extractos de levadura para uso médico; extractos de levadura para uso médico, veterinario o farmacéutico; extractos de levadura para uso veterinario; extractos de lúpulo para uso farmacéutico; extractos de plantas medicinales; extractos de plantas para uso farmacéutico; extractos de plantas para uso médico; extractos de plantas y hierbas para uso medicinal; extractos de tabaco [insecticidas]; extractos herbarios para uso medicinal; extractos vegetales y herbarios para uso medicinal; feromonas para uso médico; feromonas sintéticas para uso médico; fibra alimentaria como ingrediente para la fabricación de suplementos dietéticos; fibra alimentaria para facilitar la digestión; fibra alimenticia para tratar el estreñimiento; fibras alimentarias; fibras de semillas de lino molidas utilizadas como complementos dietéticos; fibras dietéticas para facilitar la digestión; fluidos intravenosos para la administración de preparaciones farmacéuticas; fluidos intravenosos para la rehidratación, la nutrición y la administración de preparaciones farmacéuticas; fluidos intravenosos para rehidratación; fluidos intravenosos para rehidratar, nutrir y administrar preparaciones farmacéuticas; fluidos intravenosos para uso nutricional; formulaciones bacterianas probióticas para uso médico; formulaciones bacterianas probióticas para uso veterinario; formulaciones de control de plagas; formulaciones vitamínicas para consumo humano; fracción de proteínas plasmáticas (humana); fungicidas; fungicidas biológicos; fungicidas, herbicidas; fármacos antitumorales; fármacos organoterapéuticos; gasa para apósitos; gasa para uso médico; gasa para vendajes; gasas impregnadas de cremas medicamentosas; gasas impregnadas de cremas medicinales; gasas impregnadas de lociones antibacterianas; gasas impregnadas de preparaciones antibacterianas; bálsamo anticongelante para uso farmacéutico; bálsamo de gurjun para uso médico; bálsamos medicinales para los labios; complementos de zinc en pastillas; compuestos de restauración dental; citostáticos para uso médico; comementos de proteína de suero de leche; comida homogeneizada para uso médico; compresas sanitarias; cotonetes impregnados de preparaciones germicidas para uso médico; cubrepañales; cultivos bacteriológicos para uso médico o veterinario; desecativos para uso médico; diuréticos; electrólitos para uso médico; esparadrapos para uso médico; ganoderma lucidum para uso farmacéutico; gargarismos para uso médico; gases para uso médico; gases y mezclas de gases para aplicaciones de imaginología médica; gel exfoliante, medicinal; gelatina para uso médico; geles antibacterianos; geles antiinflamatorios; geles corporales para uso farmacéutico; geles de aloe vera para uso terapéutico; geles de estimulación sexual; geles de limpieza dental medicinales; geles de masaje para uso médico; geles dermatológicos a base de cortisona; geles desinfectantes antibacterianos a base de alcohol para la piel; geles desodorantes de ambiente; geles desodorizantes de ambiente; geles exfoliantes, medicinales; geles lubricantes para uso personal; geles medicinales aplicables con cepillo para el cuidado bucal; geles medicinales para el cuerpo; geles medicinales para el cuidado bucal; geles para uso dermatológico; geles tópicos para primeros auxilios; geles tópicos para uso médico y terapéutico; geles, cremas y soluciones para uso dermatológico; genciana para uso farmacéutico; ginseng para uso medicinal; glucosa para uso médico; goma de mascar medicinal; gotas para los oídos; gotas vitamínicas; grasas para uso médico; grasas para uso médico o veterinario; grasas para uso veterinario; hamamelis; herbicidas biológicos; hidratantes vaginales; hidratantes vaginales [preparaciones higiénicas]; hidrocortisona; hierbas medicinales; hierbas medicinales secas o conservadas; hierbas medicinales tradicionales chinas; hierbas y bebidas a base de hierbas para uso médico; hilas para uso médico; hinojo para uso médico; hipocolesterolemiantes; hisopos con alcohol para uso médico; hisopos de algodón para uso médico; hisopos impregnados con desinfectante para uso médico; hisopos medicados; hormonas del crecimiento humano; implantes biodegradables para uso en la regeneración tisular guiada; implantes biológicos; infusiones de hierbas medicinales; infusiones medicinales; injertos cutáneos; inmunoestimulantes; inmunoglobulina humana; jabones antibacterianos; jabones antibacterianos para la piel; jabones carbólicos; jabones desinfectantes; jabones desinfectantes perfumados; jabones medicinales; jabones y detergentes medicinales y desinfectantes; jalea de petróleo para uso médico; kits de diagnóstico compuestos de agentes, preparaciones y sustancias de diagnóstico para uso médico; kits de primeros auxilios; kits de prueba de embarazo; kits de prueba de fertilidad masculina; kits de test de embarazo; leche de almendras para uso farmacéutico; leche malteada para bebés; levadura para uso médico; limpiadoras antisépticas; limpiadores antisépticos; linaza para uso farmacéutico; lociones antibacterianas para las manos; lociones capilares medicinales; lociones dermatológicas; lociones faciales medicinales; lociones farmacéuticas para la piel; lociones medicinales; lociones medicinales contra la dermatitis del pañal; lociones medicinales contra las quemaduras solares; lociones medicinales para después del afeitado; lociones medicinales para el cuerpo; lociones medicinales para tratar afecciones dermatológicas; lociones para el tratamiento del pie de atleta; lociones para perros para uso veterinario; lociones para uso farmacéutico; lociones para uso veterinario; lociones veterinarias para perros; lociones y cremas medicamentosas para el cuerpo, piel, cara y manos; lociones y cremas medicamentosas para el cuerpo, piel, rostro y manos; lociones y cremas medicinales para el cuerpo, piel, cara y manos; lodo para baños; lodos medicinales; lubricantes acuosos para uso personal; lubricantes de silicona para uso personal; lubricantes higiénicos; lubricantes medicinales a base de aloe vera; lubricantes para uso médico; lubricantes sexuales; lubricantes sexuales a base de aloe vera; lubricantes vaginales; lubricantes vaginales [preparaciones higiénicas]; lubricantes íntimos; lupulina para uso farmacéutico; lágrimas artificiales; lápices antiverrugas; lápices hemostáticos; líquidos antiprurito; mallas quirúrgicas formadas principalmente por tejidos vivos; marihuana para uso médico; marihuana para uso veterinario; masillas dentales; material para apósitos; material para empastes e impresiones dentales; medicamentos; medicamentos a base de hierbas; medicamentos analgésicos; medicamentos antimicóticos; medicamentos antitranspirantes; medicamentos antitumorales; medicamentos autónomos para uso médico; medicamentos contra la alergia; medicamentos de venta libre; medicamentos en forma de comprimidos; medicamentos en forma de pastillas; medicamentos en forma de píldoras; medicamentos en forma de tabletas; medicamentos fitoterapéuticos para el consumano animal; medicamentos fitoterapéuticos para el consumo humano; medicamentos herbarios; medicamentos homeopáticos; medicamentos para ajustar el ciclo menstrual; medicamentos para aliviar las alergias; medicamentos para el estreñimiento; medicamentos para el tratamiento de quemaduras; medicamentos para la constipación [estreñimiento]; medicamentos sin prescripción médica; medicamentos sin receta; medicamentos sueroterapéuticos; medicamentos y agentes terapéuticos; medicinas; medicinas bioquímicas; medicinas herbarias; medicinas homeopáticas; medicinas líquidas; medios de contraste para aparatos médicos de ultrasonidos; medios de contraste para equipos médicos; medios de contraste para equipos médicos de imaginología; medios de contraste para la imaginología in vivo; medios de cultivos celulares para uso médico; mentol; mentol para uso farmacéutico; mezclas de bebidas dietéticas en cuanto sustitutos de comidas; miorrelajantes; muestras de ensayo para uso médico y farmacéutico; multivitaminas; parches adhesivos para uso médico; parches adhesivos para uso quirúrgico; parches cutáneos transdérmicos para el suministro de productos farmacéuticos; parches de prueba de diagnóstico para aplicar en la piel para comprobar las alergias; parches de suplementos vitamínicos; parches dérmicos adhesivos para uso médico; parches farmacéuticos transdérmicos impregnados con repelente de insectos; parches medicinales; parches médicos; parches para callos; parches para callosidades; parches para uso médico; parches repelentes de mosquitos para bebés; parches transdérmicos adesivos para uso médico; parches transdérmicos para el tratamiento de dolores musculares y articulares; parches transdérmicos para el tratamiento de hematomas y esguinces; parches transdérmicos para el tratamiento de hematomas y torceduras; parches transdérmicos para el tratamiento de la deficiencia de vitaminas; parches transdérmicos para el tratamiento de la pérdida de peso; parches transdérmicos para el tratamiento de traumas e hinchazones; parches transdérmicos para el tratamiento del alivio del dolor; parches transdérmicos para el tratamiento del dolor físico; parches transdérmicos para la administración de productos farmacéuticos; parches transdérmicos para tratamientos médicos; parches transdérmicos que contienen preparaciones farmacéuticas; parches transdérmicos que facilitan el suministro de cdb; parches transdérmicos que facilitan el suministro de marihuana para uso médico; parches transdérmicos que facilitan el suministro de suplementos dietéticos; parches transdérmicos que facilitan el suministro de vitaminas; pastas de dientes medicinales; pastillas antioxidantes; pastillas bronceadoras; pastillas contra la alergia; pastillas de miel de hierbas para la garganta; pastillas de vitaminas; pastillas efervescentes de vitaminas; pastillas medicinales; pastillas para adelgazar; pastillas para la garganta; paños desinfectantes; pectina para uso farmacéutico; polen de abeja procesado para uso medicinal o terapéutico; polen de abeja utilizado como complemento dietético alimenticio; polvo de cantáridas; polvo de perlas para uso médico; polvos medicinales para bebés; polvos medicinales para el cuerpo; polvos medicinales para los pies; polvos para el tratamiento del pie de atleta; pomadas antibióticas; pomadas antisépticas; pomadas contra las hemorroides; pomadas labiales medicamentosas; pomadas labiales medicinales; pomadas medicinales contra la dermatitis del pañal; pomadas mentoladas medicinales polivalentes; pomadas para uso médico; preparaciones a base de cafeína para uso médico; preparaciones a base de cafeína utilizadas como estimulantes; preparaciones albuminosas para uso médico; preparaciones alimenticias para bebés; preparaciones alimenticias para bebés y lactantes; preparaciones alimenticias para bebés y niños pequeños; preparaciones analgésicas; preparaciones antibacterianas; preparaciones antibacterianas para uso veterinario; preparaciones antibióticas; preparaciones antifúngicas; preparaciones antihemorroidales; preparaciones antiinfecciosos para uso veterinario; preparaciones antiinflamatorias; preparaciones antiinflamatorias y antipiréticas; preparaciones antimicrobianas para inhibir la descomposición microbiológica; preparaciones antimicóticas; preparaciones antimoho; preparaciones antisépticas; preparaciones antisépticas para el cuidado corporal; preparaciones antisépticas para el cuidado de heridas; preparaciones antisépticas para el cuidado del cuerpo; preparaciones antituberculosas; preparaciones bacterianas para uso médico; preparaciones bacterianas para uso médico o veterinario; preparaciones bacteriológicas para uso médico o veterinario; preparaciones bacteriológicas para uso veterinario; preparaciones balsámicas para uso médico; preparaciones biofármacos para el tratamiento del cáncer; preparaciones biológicas para cultivos celulares para uso médico; preparaciones biotecnológicas para uso médico; preparaciones con filtro solar, medicinales; preparaciones contra el sarcoma; preparaciones contra la cinetosis; preparaciones contra las picaduras o mordeduras de animales; preparaciones de aloe vera para uso farmacéutico; preparaciones de aloe vera para uso terapéutico; preparaciones de aminoácidos para uso médico; preparaciones de aminoácidos para uso veterinario; preparaciones de baño para uso médico; preparaciones de desodorización multiusos para uso doméstico, comercial o industrial; preparaciones de desodorización para alfombras; preparaciones de tocador medicinales; preparaciones de uso médico para el cuidado de las uñas; preparaciones de vitaminas para la alimentación humana; preparaciones de vitaminas*; preparaciones dermatológicas; preparaciones dermatológicas para uso médico; preparaciones dermocosméticas; preparaciones dietéticas para uso médico; preparaciones farmacéuticas antibacterianas; preparaciones farmacológicas para cuidar la piel; preparaciones farmacológicas para el cuidado de la piel; preparaciones farmacéuticas contra la tos y el resfriado; preparaciones farmacéuticas de regulación inmunitaria; preparaciones farmacéuticas dermatológicas; preparaciones farmacéuticas para activar la función celular; preparaciones farmacéuticas para animales; preparaciones farmacéuticas para cuidar la piel; preparaciones farmacéuticas para el alivio de las picaduras de insectos; preparaciones farmacéuticas para el tratamiento anticaspa; preparaciones farmacéuticas para el tratamiento de afecciones cutáneas; preparaciones farmacéuticas para el tratamiento de alergias; preparaciones farmacéuticas para el tratamiento de fracturas óseas; preparaciones farmacéuticas para el tratamiento de golpes de calor; preparaciones farmacéuticas para el tratamiento de infecciones virales; preparaciones farmacéuticas para el tratamiento de la psoriasis de personas; preparaciones farmacéuticas para el tratamiento de la psoriasis de seres humanos; preparaciones farmacéuticas para el tratamiento de lesiones deportivas; preparaciones farmacéuticas para el tratamiento de lesiones provocadas por factores físicos; preparaciones farmacéuticas para el tratamiento de los comedones; preparaciones farmacéuticas para el tratamiento de los puntos negros; preparaciones farmacéuticas para el tratamiento de problemas epidérmicos; preparaciones farmacéuticas para el tratamiento de quemaduras solares; preparaciones farmacéuticas para el tratamiento de trastornos gastrointestinales; preparaciones farmacéuticas para el tratamiento del cáncer; preparaciones farmacéuticas para el tratamiento y prevención de coronavirus; preparaciones farmacéuticas para el tratamiento y profilaxis de enfermedades de la piel y las uñas; preparaciones farmacéuticas para evitar la formación de estrías; preparaciones farmacéuticas para evitar la formación de las manchas de embarazo; preparaciones farmacéuticas para heridas; preparaciones farmacéuticas para heridas cutáneas; preparaciones farmacéuticas para hidratar la piel durante el embarazo; preparaciones farmacéuticas para prevenir y tratar el cáncer; preparaciones farmacéuticas para tratar fracturas óseas; preparaciones farmacéuticas para tratar insolaciones; preparaciones farmacéuticas para tratar la sequedad de la piel durante el embarazo; preparaciones farmacéuticas para uso humano; preparaciones farmacéuticas para uso odontológico; preparaciones farmacéuticas para uso oncológico; preparaciones farmacéuticas para uso urológico; preparaciones farmacéuticas que contienen células madre; preparaciones farmacéuticas que contienen hormonas para personas; preparaciones herbarias para uso médico; preparaciones medicinales; preparaciones medicinales de oligoelementos para uso humano; preparaciones medicinales de uso bucal en gotas, cápsulas, pastillas y comprimidos; preparaciones medicinales orales para su administración en forma de comprimidos; preparaciones medicinales para el afeitado; preparaciones medicinales para el aseo de animales; preparaciones medicinales para el crecimiento del cabello; preparaciones medicinales para el cuidado capilar; preparaciones medicinales para el cuidado de la boca; preparaciones medicinales para el cuidado de la piel; preparaciones medicinales para el cuidado de la piel en forma de geles; preparaciones medicinales para el cuidado de la salud; preparaciones medicinales para el cuidado de las uñas; preparaciones medicinales para el cuidado de los labios; preparaciones medicinales para el cuidado de los pies; preparaciones medicinales para el cuidado dental; preparaciones medicinales para el cuidado dental de los animales; preparaciones medicinales para el cuidado y el tratamiento bucal; preparaciones medicinales para el tratamiento bucal; preparaciones medicinales para el tratamiento de la halitosis; preparaciones medicinales para eliminar verrugas; preparaciones medicinales para limpiar la piel y las heridas; preparaciones medicinales para tratamientos cutáneos; preparaciones medicinales para tratar enfermedades infecciosas; preparaciones medicinales para uso oncológico; preparaciones mentoladas para baños de vapor para bebés; preparaciones minerales para uso médico; preparaciones multivitamínicas; preparaciones médicas para el cuidado de la piel en forma de geles; preparaciones oncológicas; preparaciones para aumentar el deseo sexual; preparaciones para aumentar la excitación sexual; preparaciones para aumentar la fertilidad; preparaciones medicamentosas para el baño de pies; preparaciones medicamentosas para el cuidado de los labios; preparaciones medicinales de protección solar; preparaciones medicinales orales para su administración en forma de cápsulas; preparaciones medicinales para el cuidado bucal; preparaciones medicinales para tratamientos bucales; preparaciones no médicas de oligoelementos para uso humano; preparaciones para el cuidado bucal, medicinales; preparaciones para el cuidado de la piel de uso médico; preparaciones para el cuidado dental, medicinales; preparaciones para el tratamiento de la onicomicosis; preparaciones para el tratamiento de las hemorroides; preparaciones para el tratamiento de los hongos de las uñas; preparaciones para el tratamiento de psoriasis del cuero cabelludo; preparaciones para el tratamiento del acné; preparaciones para el tratamiento del herpes labial; preparaciones para el tratamiento del pie de atleta; preparaciones parafarmacéuticas para uso dermatológico; preparaciones podológicas; preparaciones que contienen vitamina a; preparaciones que contienen vitamina b; preparaciones que contienen vitamina c; preparaciones que contienen vitamina d; preparaciones químicas para uso medicinal; preparaciones vitamínicas para la alimentación humana; preparaciones y complementos nutricionales para la salud; preparaciones y complementos para la salud; preparaciones y sustancias farmacéuticas antialérgicas; preparaciones y sustancias farmacéuticas con propiedades analgésicas; preparaciones y sustancias farmacéuticas con propiedades antiinflamatorias; preparaciones y sustancias farmacéuticas para el tratamiento del cáncer; preparaciones y sustancias farmacéuticas utilizadas en ginecología; preparaciones y sustancias farmacéuticas utilizadas en oncología; preparaciones y sustancias farmacéuticas utilizadas en urología; preparaciones y sustancias medicinales; preparaciones y sustancias minerales para uso médico; preparaciones y sustancias veterinarias; preparaciones y sustancias vitamínicas; preparados alimenticios para bebés y lactantes; preparados antisépticos; preparados antisépticos para el cuidado corporal; preparados antisépticos para el cuidado de heridas; preparados antisépticos para el cuidado del cuerpo; preparados de proteínas para uso en cuanto aditivos de productos alimenticios para la alimentación humana para uso médico; preparados dermatológicos para uso médico; preparados desodorantes para bandejas higiénicas para animales de compañía; preparados farmacéuticos que contienen células madre; preparados limpiadores antisépticos; preparados medicinales de protección solar; preparados medicinales para baños de pies; preparados multivitamínicos; preparados médicos de oligoelementos para uso humano; preparados vitamínicos para la alimentación humana; probióticos en cuanto complementos dietéticos; productos antihemorroidales; productos antimicrobianos para lavarse las manos; productos antisépticos para el cuidado corporal; productos antisépticos para el cuidado del cuerpo; productos desinfectantes para lavarse las manos; productos farmacéuticos para el tratamiento de la enfermedad por radiación; productos farmacéuticos para el tratamiento del cáncer; productos para el cuidado de la piel, medicinales; productos para las callosidades; productos para las hemorroides; productos para las quemaduras; productos para los callos de los pies; productos y preparaciones medicinales para el cuidado de la piel; propóleos para uso farmacéutico; proteína de plasma humano; proteína de plasma humano [preparaciones farmacéuticas]; proteína de plasma humano [preparados farmacéuticos]; proteína de plasma humano en cuanto preparaciones farmacéuticas; proteína de plasma humano en cuanto preparados farmacéuticos; proteína vegana en cuanto complemento nutricional de bebidas listas para beber; proteína vegana en cuanto suplemento nutricional de bebidas listas para beber; proteínas de suero [complementos dietéticos]; proteínas de suero de leche [complementos alimenticios]; proteínas de suero de leche [complementos nutricionales]; péptidos sintéticos para uso farmacéutico; píldoras antioxidantes; píldoras bronceadoras; píldoras de hierbas para el tratamiento de la diabetes; raíces medicinales; relajantes musculares medicinales para el baño; relajantes musculares para el esqueleto; relajantes músculo-esqueléticos; remedios a base de hierbas; remedios herbarios; remedios para la transpiración de los pies; remedios para uso médico; remedios para uso odontológico; remedios para uso veterinario; repelentes de insectos; repelentes de insectos en forma de lámparas de aceite; repelentes de insectos en forma de velas; repelentes de insectos para uso en humanos; repelentes de mosquitos; repelentes de mosquitos para aplicar sobre la piel; repelentes de mosquitos para uso en humanos; repelentes de mosquitos para uso en personas; repelentes para animales; sales de aguas minerales; sales de baño medicinales; sales de baño para uso médico; sales de minerales para uso médico; sales de potasio para uso médico; sales minerales de baño; sales minerales para baños; sales y preparaciones medicinales para el baño; sangre de cordón umbilical para uso médico; sangre del cordón umbilical para uso médico; sangre para uso médico; serum calmante para la piel [medicinales]; serum calmante para la piel, medicinales; serum de alivio para la piel [medicinales]; serum de alivio para la piel, medicinales; soluciones de aceites medicinales; soluciones inyectables de oligoelementos para uso pediátrico; soluciones para uso dermatológico; sprays antisépticos; sprays antisépticos en forma de aerosol para uso en la piel; sprays medicinales para aliviar de las mordeduras y picaduras de insectos; sudoríficos;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suplementos alimenticios dietéticos en polvo; suplementos alimenticios minerales; suplementos dietéticos; suplementos dietéticos a base de acai en polvo; suplementos dietéticos a base de aminoácidos; suplementos dietéticos a base de calostro; suplementos dietéticos a base de hierbas; suplementos dietéticos a base de minerales; suplementos dietéticos compuestos principalmente de magnesio; suplementos dietéticos con efecto cosmético; suplementos nutricionales; suplementos nutricionales a base de cáñamo; suplementos nutricionales compuestos principalmente de calcio; suplementos nutricionales compuestos principalmente de hierro; suplementos nutricionales compuestos principalmente de magnesio; suplementos nutricionales líquidos; suplementos nutricionales no medicinales para alimentos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sustancias dietéticas para uso médico; talco para uso médico; tampones higiénicos; tampones para la menstruación; tisanas medicinales; tisanas para uso médico; té medicinal; tés aromáticos para uso médico; tés de hierbas para uso médico; tónicos capilares para uso médico; tónicos medicinales; tónicos medicinales para la piel; tónicos para uso médico; tónicos para uso veterinario; tónicos reconstituyentes [medicamentos]; ungüentos a base de hierbas para las heridas externas de animales de compañía; ungüentos antibióticos; ungüentos antiinflamatorios; ungüentos antiinflamatorios homeopáticos; ungüentos antiprurito; ungüentos antiprurito a base de hierbas para animales de compañía; ungüentos antisépticos; ungüentos contra la dermatitis del pañal; ungüentos contra la pañalitis; ungüentos medicinales para el tratamiento de afecciones cutáneas; ungüentos medicinales para tratar afecciones dermatológicas; ungüentos para quemaduras solares; ungüentos para uso farmacéutico; ungüentos para uso veterinario; vendas para apósitos; vendas para vendajes; vitaminas; vitaminas de consistencia gomosa; vitaminas para adultos; vitaminas para animales; vitaminas para animales de compañía; vitaminas para bebés; vitaminas para embarazadas; vitaminas para mascotas; vitaminas para niños; vitaminas prenatales; vitaminas, minerales y antioxidantes en cuanto complementos nutricionales y dietéticos; vitaminas, minerales y antioxidantes en cuanto suplementos nutricionales y dietéticos.
</x:t>
        </x:is>
      </x:c>
      <x:c r="L20" s="3" t="inlineStr">
        <x:is>
          <x:t>Sí</x:t>
        </x:is>
      </x:c>
      <x:c r="M20" s="3" t="inlineStr">
        <x:is>
          <x:t/>
        </x:is>
      </x:c>
      <x:c r="N20" s="3" t="inlineStr">
        <x:is>
          <x:t/>
        </x:is>
      </x:c>
      <x:c r="O20" s="3" t="inlineStr">
        <x:is>
          <x:t>28 ene. 2022</x:t>
        </x:is>
      </x:c>
      <x:c r="P20" s="3" t="inlineStr">
        <x:is>
          <x:t/>
        </x:is>
      </x:c>
      <x:c r="Q20" s="3" t="inlineStr">
        <x:is>
          <x:t/>
        </x:is>
      </x:c>
    </x:row>
    <x:row r="21">
      <x:c r="A21" s="10" t="inlineStr">
        <x:f xml:space="preserve">HYPERLINK("http://sipi.sic.gov.co/sipi/View.ashx?3873933","SD2022/0003804")</x:f>
      </x:c>
      <x:c r="B21" s="3" t="inlineStr">
        <x:is>
          <x:t>TUZ</x:t>
        </x:is>
      </x:c>
      <x:c r="C21" s="3" t="inlineStr">
        <x:is>
          <x:t/>
        </x:is>
      </x:c>
      <x:c r="D21" s="3" t="inlineStr">
        <x:is>
          <x:t>18 ene. 2022</x:t>
        </x:is>
      </x:c>
      <x:c r="E21" s="3" t="inlineStr">
        <x:is>
          <x:t/>
        </x:is>
      </x:c>
      <x:c r="F21" s="3" t="inlineStr">
        <x:is>
          <x:t>Negada</x:t>
        </x:is>
      </x:c>
      <x:c r="G21" s="3" t="inlineStr">
        <x:is>
          <x:t>Proceso de Registro de Marca TUZ</x:t>
        </x:is>
      </x:c>
      <x:c r="H21" s="3" t="inlineStr">
        <x:is>
          <x:t>ASBEYDI  JAIMES HURTADO, CALLE 11 # 10-50, CUCUTA, NORTE DE SANTANDER, CO</x:t>
        </x:is>
      </x:c>
      <x:c r="I21" s="3" t="inlineStr">
        <x:is>
          <x:t>3</x:t>
        </x:is>
      </x:c>
      <x:c r="J21" s="3" t="inlineStr">
        <x:is>
          <x:t>11</x:t>
        </x:is>
      </x:c>
      <x:c r="K21" s="3" t="inlineStr">
        <x:is>
          <x:t>3. Cosméticos; maquillaje; cosméticos y preparaciones cosméticas; crema corporal para uso cosmético; cremas de limpieza [para uso cosmético]; cremas, leches, lociones, geles y polvos cosméticos para la cara, el cuerpo y las manos; bases de maquillaje; bases de maquillaje cremosas; bases de maquillaje en crema; bases de maquillaje líquidas; bases de maquillaje para la piel; fondo de maquillaje; kits de cosméticos que comprenden principalmente máscara de pestañas, lápices de labios, lápices de cejas, maquillaje, fundación de maquillaje y brillos de labios; maquillaje para la piel; maquillaje para los ojos; maquillajes de base; maquillajes de base en crema; maquillajes de ojos; maquillajes faciales; polvos de maquillaje; preparaciones de maquillaje para la cara y el cuerpo; productos cosméticos y de maquillaje; sprays para fijar el maquillaje; cosméticos para cuidados corporales y estéticos; cosméticos para tratamiento de belleza cosméticos para el cuidado de belleza; cosméticos y preparaciones de cuidado personal; cremas cosméticas para el cuidado de la piel; cremas y lociones cosméticas para el cuidado de la cara y el cuerpo; emulsiones, geles y lociones para el cuidado de la piel; espumas para el cuidado de la piel; leches limpiadoras para el cuidado de la piel; lociones cosméticas para el cuidado de la piel; lociones lechosas para el cuidado de la piel; mascarillas para el cuidado de la piel de las manos; preparaciones de cuidado facial; barras de labios; barras de labios con protección solar [cosméticos]; barras de labios en stick con protección solar [cosméticos]; barras de labios hidratantes; bases neutralizantes para labios; brillos de labios; colorantes de labios; colorantes de labios [cosméticos]; cosméticos para los labios; cremas para los labios; estuches para lápices de labios; estuches para pintalabios; lápices de labios; lápices de labios [pintalabios]; lápices de labios [pintalabios] hidratantes; lápices de labios hidratantes; perfiladores de labios; pintalabios; pintalabios hidratantes; preparaciones no medicinales para el cuidado de los labios; tintes de labios; tintes para los labios.
</x:t>
        </x:is>
      </x:c>
      <x:c r="L21" s="3" t="inlineStr">
        <x:is>
          <x:t>No</x:t>
        </x:is>
      </x:c>
      <x:c r="M21" s="3" t="inlineStr">
        <x:is>
          <x:t>RODRIGO  VANEGAS GAVIRIA, CALLE 52 # 47-28 OF.329, MEDELLIN, ANTIOQUIA 050001, CO</x:t>
        </x:is>
      </x:c>
      <x:c r="N21" s="3" t="inlineStr">
        <x:is>
          <x:t/>
        </x:is>
      </x:c>
      <x:c r="O21" s="3" t="inlineStr">
        <x:is>
          <x:t>08 mar. 2022</x:t>
        </x:is>
      </x:c>
      <x:c r="P21" s="3" t="inlineStr">
        <x:is>
          <x:t/>
        </x:is>
      </x:c>
      <x:c r="Q21" s="3" t="inlineStr">
        <x:is>
          <x:t/>
        </x:is>
      </x:c>
    </x:row>
    <x:row r="22">
      <x:c r="A22" s="10" t="inlineStr">
        <x:f xml:space="preserve">HYPERLINK("http://sipi.sic.gov.co/sipi/View.ashx?3874042","SD2022/0003828")</x:f>
      </x:c>
      <x:c r="B22" s="3" t="inlineStr">
        <x:is>
          <x:t>LAZO Simple y Extraordinario </x:t>
        </x:is>
      </x:c>
      <x:c r="C22" s="3" t="inlineStr">
        <x:is>
          <x:t/>
        </x:is>
      </x:c>
      <x:c r="D22" s="3" t="inlineStr">
        <x:is>
          <x:t>18 ene. 2022</x:t>
        </x:is>
      </x:c>
      <x:c r="E22" s="3" t="inlineStr">
        <x:is>
          <x:t/>
        </x:is>
      </x:c>
      <x:c r="F22" s="3" t="inlineStr">
        <x:is>
          <x:t>Negada</x:t>
        </x:is>
      </x:c>
      <x:c r="G22" s="3" t="inlineStr">
        <x:is>
          <x:t/>
        </x:is>
      </x:c>
      <x:c r="H22" s="3" t="inlineStr">
        <x:is>
          <x:t> SAMASA S.A.S , Kr. 8  #  69 - 27, BOGOTÁ, D.C., CO</x:t>
        </x:is>
      </x:c>
      <x:c r="I22" s="3" t="inlineStr">
        <x:is>
          <x:t>3, 9, 14</x:t>
        </x:is>
      </x:c>
      <x:c r="J22" s="3" t="inlineStr">
        <x:is>
          <x:t>11</x:t>
        </x:is>
      </x:c>
      <x:c r="K22" s="3" t="inlineStr">
        <x:is>
          <x:t>3. Perfumes; agua de perfume; aguas perfumadas; perfumes líquidos; eau de parfum [agua de perfume]; perfumes y colonias; lociones corporales.
9. Cadenas para gafas; estuches para gafas; gafas de aumento; gafas de deporte; gafas de moda.
14. Artículos de joyería; brazaletes [joyería]; cadenas [joyería]; dijes [joyería]; joyería de fantasía; llaveros y dijes para llaveros; relojes multifuncionales; relojes de pulsera.
</x:t>
        </x:is>
      </x:c>
      <x:c r="L22" s="3" t="inlineStr">
        <x:is>
          <x:t>Sí</x:t>
        </x:is>
      </x:c>
      <x:c r="M22" s="3" t="inlineStr">
        <x:is>
          <x:t>JUAN PABLO CONCHA DELGADO, AVENIDA 82 No. 10-62 PISO 5, BOGOTÁ, D.C., CO</x:t>
        </x:is>
      </x:c>
      <x:c r="N22" s="3" t="inlineStr">
        <x:is>
          <x:t/>
        </x:is>
      </x:c>
      <x:c r="O22" s="3" t="inlineStr">
        <x:is>
          <x:t>28 feb. 2022</x:t>
        </x:is>
      </x:c>
      <x:c r="P22" s="3" t="inlineStr">
        <x:is>
          <x:t/>
        </x:is>
      </x:c>
      <x:c r="Q22" s="3" t="inlineStr">
        <x:is>
          <x:t/>
        </x:is>
      </x:c>
    </x:row>
    <x:row r="23">
      <x:c r="A23" s="10" t="inlineStr">
        <x:f xml:space="preserve">HYPERLINK("http://sipi.sic.gov.co/sipi/View.ashx?3874891","SD2022/0004072")</x:f>
      </x:c>
      <x:c r="B23" s="3" t="inlineStr">
        <x:is>
          <x:t>KHIRON LIFE SCIENCES CORP</x:t>
        </x:is>
      </x:c>
      <x:c r="C23" s="9" t="inlineStr">
        <x:is>
          <x:t/>
        </x:is>
      </x:c>
      <x:c r="D23" s="3" t="inlineStr">
        <x:is>
          <x:t>18 ene. 2022</x:t>
        </x:is>
      </x:c>
      <x:c r="E23" s="3" t="inlineStr">
        <x:is>
          <x:t/>
        </x:is>
      </x:c>
      <x:c r="F23" s="3" t="inlineStr">
        <x:is>
          <x:t>Negada</x:t>
        </x:is>
      </x:c>
      <x:c r="G23" s="3" t="inlineStr">
        <x:is>
          <x:t>KHIRON CL3</x:t>
        </x:is>
      </x:c>
      <x:c r="H23" s="3" t="inlineStr">
        <x:is>
          <x:t> KHIRON LIFE SCIENCES CORP, KING STREET WEST 1 FIRST CANADIAN PLACE, 100  SUITE 1600, TORONTO, ONTARIO, CA</x:t>
        </x:is>
      </x:c>
      <x:c r="I23" s="3" t="inlineStr">
        <x:is>
          <x:t>3</x:t>
        </x:is>
      </x:c>
      <x:c r="J23" s="3" t="inlineStr">
        <x:is>
          <x:t>11</x:t>
        </x:is>
      </x:c>
      <x:c r="K2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23" s="3" t="inlineStr">
        <x:is>
          <x:t>Sí</x:t>
        </x:is>
      </x:c>
      <x:c r="M23" s="3" t="inlineStr">
        <x:is>
          <x:t>LOLA KANDELAFT, Calle 75 No 3-53, Bogota, BOGOTÁ, D.C., CO</x:t>
        </x:is>
      </x:c>
      <x:c r="N23" s="3" t="inlineStr">
        <x:is>
          <x:t/>
        </x:is>
      </x:c>
      <x:c r="O23" s="3" t="inlineStr">
        <x:is>
          <x:t>29 mar. 2022</x:t>
        </x:is>
      </x:c>
      <x:c r="P23" s="3" t="inlineStr">
        <x:is>
          <x:t/>
        </x:is>
      </x:c>
      <x:c r="Q23" s="3" t="inlineStr">
        <x:is>
          <x:t/>
        </x:is>
      </x:c>
    </x:row>
    <x:row r="24">
      <x:c r="A24" s="10" t="inlineStr">
        <x:f xml:space="preserve">HYPERLINK("http://sipi.sic.gov.co/sipi/View.ashx?3875060","SD2022/0004169")</x:f>
      </x:c>
      <x:c r="B24" s="3" t="inlineStr">
        <x:is>
          <x:t>TECNOLOGIA DERMA STAGE</x:t>
        </x:is>
      </x:c>
      <x:c r="C24" s="3" t="inlineStr">
        <x:is>
          <x:t/>
        </x:is>
      </x:c>
      <x:c r="D24" s="3" t="inlineStr">
        <x:is>
          <x:t>18 ene. 2022</x:t>
        </x:is>
      </x:c>
      <x:c r="E24" s="3" t="inlineStr">
        <x:is>
          <x:t/>
        </x:is>
      </x:c>
      <x:c r="F24" s="3" t="inlineStr">
        <x:is>
          <x:t>Negada</x:t>
        </x:is>
      </x:c>
      <x:c r="G24" s="3" t="inlineStr">
        <x:is>
          <x:t>LLC41705</x:t>
        </x:is>
      </x:c>
      <x:c r="H24" s="3" t="inlineStr">
        <x:is>
          <x:t> JOHNSON &amp; JOHNSON, One Johnson &amp; Johnson Plaza, New Brunswick, New Jersey 08933, NEW BRUNSWICK, NEW JERSEY, US</x:t>
        </x:is>
      </x:c>
      <x:c r="I24" s="3" t="inlineStr">
        <x:is>
          <x:t>3</x:t>
        </x:is>
      </x:c>
      <x:c r="J24" s="3" t="inlineStr">
        <x:is>
          <x:t>11</x:t>
        </x:is>
      </x:c>
      <x:c r="K24" s="3" t="inlineStr">
        <x:is>
          <x:t>3. Lociones e hidratantes para la piel.
</x:t>
        </x:is>
      </x:c>
      <x:c r="L24" s="3" t="inlineStr">
        <x:is>
          <x:t>No</x:t>
        </x:is>
      </x:c>
      <x:c r="M24" s="3" t="inlineStr">
        <x:is>
          <x:t>ALICIA LLOREDA RICAURTE, CALLE 72A No. 5-83, PISO 3, BOGOTÁ, D.C., CO</x:t>
        </x:is>
      </x:c>
      <x:c r="N24" s="3" t="inlineStr">
        <x:is>
          <x:t/>
        </x:is>
      </x:c>
      <x:c r="O24" s="3" t="inlineStr">
        <x:is>
          <x:t>17 feb. 2022</x:t>
        </x:is>
      </x:c>
      <x:c r="P24" s="3" t="inlineStr">
        <x:is>
          <x:t/>
        </x:is>
      </x:c>
      <x:c r="Q24" s="3" t="inlineStr">
        <x:is>
          <x:t/>
        </x:is>
      </x:c>
    </x:row>
    <x:row r="25">
      <x:c r="A25" s="10" t="inlineStr">
        <x:f xml:space="preserve">HYPERLINK("http://sipi.sic.gov.co/sipi/View.ashx?3875611","SD2022/0004403")</x:f>
      </x:c>
      <x:c r="B25" s="3" t="inlineStr">
        <x:is>
          <x:t>ZELEN TU COPA MENSTRUAL PROFAMILIA </x:t>
        </x:is>
      </x:c>
      <x:c r="C25" s="9" t="inlineStr">
        <x:is>
          <x:t/>
        </x:is>
      </x:c>
      <x:c r="D25" s="3" t="inlineStr">
        <x:is>
          <x:t>19 ene. 2022</x:t>
        </x:is>
      </x:c>
      <x:c r="E25" s="3" t="inlineStr">
        <x:is>
          <x:t/>
        </x:is>
      </x:c>
      <x:c r="F25" s="3" t="inlineStr">
        <x:is>
          <x:t>Negada</x:t>
        </x:is>
      </x:c>
      <x:c r="G25" s="3" t="inlineStr">
        <x:is>
          <x:t>MARCA ZELEN CLASE 3,5 </x:t>
        </x:is>
      </x:c>
      <x:c r="H25" s="3" t="inlineStr">
        <x:is>
          <x:t> ASOCIACIÓN PRO-BIENESTAR DE LA FAMILIA COLOMBIANA - PROFAMILIA, CALLE 34 No 14 - 52, BOGOTÁ, D.C., CO</x:t>
        </x:is>
      </x:c>
      <x:c r="I25" s="3" t="inlineStr">
        <x:is>
          <x:t>3, 5</x:t>
        </x:is>
      </x:c>
      <x:c r="J25" s="3" t="inlineStr">
        <x:is>
          <x:t>11</x:t>
        </x:is>
      </x:c>
      <x:c r="K25" s="3" t="inlineStr">
        <x:is>
          <x:t>3. Cosméticos de belleza; cosméticos en forma de cremas; cosméticos para el cuidado del cuerpo; jabón de baño.
5. Medicamentos para ajustar el ciclo menstrual; medicamentos para regular el ciclo menstrual; geles de estimulación sexual; lubricantes sexuales; lubricantes sexuales a base de aloe vera; preparaciones de diagnóstico o tratamiento de trastornos relacionados con la fertilidad y reproducción sexual; preparaciones para aumentar el deseo sexual; lubricantes vaginales [preparaciones higiénicas]; preparaciones farmacéuticas para el tratamiento de las infecciones urovaginales; preparados farmacéuticos para el tratamiento de las infecciones urovaginales; supositorios vaginales para la prevención y el tratamiento de infecciones.
</x:t>
        </x:is>
      </x:c>
      <x:c r="L25" s="3" t="inlineStr">
        <x:is>
          <x:t>No</x:t>
        </x:is>
      </x:c>
      <x:c r="M25" s="3" t="inlineStr">
        <x:is>
          <x:t>CAROLINA MARÍA QUINTERO ARIAS, AV. CALLE 26 #68C - 61, OF. 605, BOGOTÁ, D.C., CO</x:t>
        </x:is>
      </x:c>
      <x:c r="N25" s="3" t="inlineStr">
        <x:is>
          <x:t/>
        </x:is>
      </x:c>
      <x:c r="O25" s="3" t="inlineStr">
        <x:is>
          <x:t>08 mar. 2022</x:t>
        </x:is>
      </x:c>
      <x:c r="P25" s="3" t="inlineStr">
        <x:is>
          <x:t/>
        </x:is>
      </x:c>
      <x:c r="Q25" s="3" t="inlineStr">
        <x:is>
          <x:t/>
        </x:is>
      </x:c>
    </x:row>
    <x:row r="26">
      <x:c r="A26" s="10" t="inlineStr">
        <x:f xml:space="preserve">HYPERLINK("http://sipi.sic.gov.co/sipi/View.ashx?3875870","SD2022/0004250")</x:f>
      </x:c>
      <x:c r="B26" s="3" t="inlineStr">
        <x:is>
          <x:t>NEW CARE</x:t>
        </x:is>
      </x:c>
      <x:c r="C26" s="3" t="inlineStr">
        <x:is>
          <x:t/>
        </x:is>
      </x:c>
      <x:c r="D26" s="3" t="inlineStr">
        <x:is>
          <x:t>19 ene. 2022</x:t>
        </x:is>
      </x:c>
      <x:c r="E26" s="3" t="inlineStr">
        <x:is>
          <x:t/>
        </x:is>
      </x:c>
      <x:c r="F26" s="3" t="inlineStr">
        <x:is>
          <x:t>Negada</x:t>
        </x:is>
      </x:c>
      <x:c r="G26" s="3" t="inlineStr">
        <x:is>
          <x:t/>
        </x:is>
      </x:c>
      <x:c r="H26" s="3" t="inlineStr">
        <x:is>
          <x:t> BIOCARE COSMETICS S A S, CRA 81 B NO 8 A 31 PISO 2, BOGOTÁ, D.C. 111211, CO</x:t>
        </x:is>
      </x:c>
      <x:c r="I26" s="3" t="inlineStr">
        <x:is>
          <x:t>3</x:t>
        </x:is>
      </x:c>
      <x:c r="J26" s="3" t="inlineStr">
        <x:is>
          <x:t>11</x:t>
        </x:is>
      </x:c>
      <x:c r="K26" s="3" t="inlineStr">
        <x:is>
          <x:t>3. Gel masajeador corporal térmico; crema volumizante para busto y glúteos cremas; lociones, bálsamos y geles; cosméticos para el cuidado de la piel tales como hidratantes, humectantes, astringentes, desmaquilladoras, exfoliantes, limpiadoras, aclarantes, tonificantes, nutritivas, reconstituyentes, balsámicas, anti-arrugas, anti-celuliticas, anti-edad, blanqueadoras, reafirmantes; cremas, lociones, geles y preparaciones protectoras y bronceadoras de la piel expuesta a los rayos solares; champús, reacondicionadores, mousses y geles para el cuidado y estilizado del cabello; desodorantes de uso personal; antitranspirantes; maquillaje facial; esmaltes y barnices para las uñas; aceites esenciales, cremas hidratantes, lociones y espumas para el afeitado; preparaciones para blanquear y otras sustancias para la colada; preparaciones para limpiar, pulir, desengrasar y raspar, (preparaciones abrasivas) jabones; perfumería, aceites esenciales, cosméticos, lociones para el cabello; dentífricos.
</x:t>
        </x:is>
      </x:c>
      <x:c r="L26" s="3" t="inlineStr">
        <x:is>
          <x:t>No</x:t>
        </x:is>
      </x:c>
      <x:c r="M26" s="3" t="inlineStr">
        <x:is>
          <x:t>Gustavo  Florez Bautista, Carrera 63 96 66, BOGOTÁ, D.C., CO</x:t>
        </x:is>
      </x:c>
      <x:c r="N26" s="3" t="inlineStr">
        <x:is>
          <x:t/>
        </x:is>
      </x:c>
      <x:c r="O26" s="3" t="inlineStr">
        <x:is>
          <x:t>29 abr. 2022</x:t>
        </x:is>
      </x:c>
      <x:c r="P26" s="3" t="inlineStr">
        <x:is>
          <x:t/>
        </x:is>
      </x:c>
      <x:c r="Q26" s="3" t="inlineStr">
        <x:is>
          <x:t/>
        </x:is>
      </x:c>
    </x:row>
    <x:row r="27">
      <x:c r="A27" s="10" t="inlineStr">
        <x:f xml:space="preserve">HYPERLINK("http://sipi.sic.gov.co/sipi/View.ashx?3876752","SD2022/0005295")</x:f>
      </x:c>
      <x:c r="B27" s="3" t="inlineStr">
        <x:is>
          <x:t>Crema K</x:t>
        </x:is>
      </x:c>
      <x:c r="C27" s="9" t="inlineStr">
        <x:is>
          <x:t/>
        </x:is>
      </x:c>
      <x:c r="D27" s="3" t="inlineStr">
        <x:is>
          <x:t>21 ene. 2022</x:t>
        </x:is>
      </x:c>
      <x:c r="E27" s="3" t="inlineStr">
        <x:is>
          <x:t/>
        </x:is>
      </x:c>
      <x:c r="F27" s="3" t="inlineStr">
        <x:is>
          <x:t>Negada</x:t>
        </x:is>
      </x:c>
      <x:c r="G27" s="3" t="inlineStr">
        <x:is>
          <x:t/>
        </x:is>
      </x:c>
      <x:c r="H27" s="3" t="inlineStr">
        <x:is>
          <x:t> FARMAMARCAS SAS, CALLE 2 B No. 65 - 139 APTO 42, CALI, VALLE DEL CAUCA, CO</x:t>
        </x:is>
      </x:c>
      <x:c r="I27" s="3" t="inlineStr">
        <x:is>
          <x:t>3</x:t>
        </x:is>
      </x:c>
      <x:c r="J27" s="3" t="inlineStr">
        <x:is>
          <x:t>11</x:t>
        </x:is>
      </x:c>
      <x:c r="K27" s="3" t="inlineStr">
        <x:is>
          <x:t>3. Cremas cosméticas.
</x:t>
        </x:is>
      </x:c>
      <x:c r="L27" s="3" t="inlineStr">
        <x:is>
          <x:t>No</x:t>
        </x:is>
      </x:c>
      <x:c r="M27" s="3" t="inlineStr">
        <x:is>
          <x:t>ANDREA DONATO CASTILLO, Carrera 10 # 97 A- 13 oficina 202 torre B Edificio Bogotá Trade Center, BOGOTÁ, D.C., CO</x:t>
        </x:is>
      </x:c>
      <x:c r="N27" s="3" t="inlineStr">
        <x:is>
          <x:t/>
        </x:is>
      </x:c>
      <x:c r="O27" s="3" t="inlineStr">
        <x:is>
          <x:t>27 feb. 2023</x:t>
        </x:is>
      </x:c>
      <x:c r="P27" s="3" t="inlineStr">
        <x:is>
          <x:t/>
        </x:is>
      </x:c>
      <x:c r="Q27" s="3" t="inlineStr">
        <x:is>
          <x:t/>
        </x:is>
      </x:c>
    </x:row>
    <x:row r="28">
      <x:c r="A28" s="10" t="inlineStr">
        <x:f xml:space="preserve">HYPERLINK("http://sipi.sic.gov.co/sipi/View.ashx?3879241","SD2022/0004992")</x:f>
      </x:c>
      <x:c r="B28" s="3" t="inlineStr">
        <x:is>
          <x:t>LIZ MARCA </x:t>
        </x:is>
      </x:c>
      <x:c r="C28" s="9" t="inlineStr">
        <x:is>
          <x:t/>
        </x:is>
      </x:c>
      <x:c r="D28" s="3" t="inlineStr">
        <x:is>
          <x:t>20 ene. 2022</x:t>
        </x:is>
      </x:c>
      <x:c r="E28" s="3" t="inlineStr">
        <x:is>
          <x:t/>
        </x:is>
      </x:c>
      <x:c r="F28" s="3" t="inlineStr">
        <x:is>
          <x:t>Negada</x:t>
        </x:is>
      </x:c>
      <x:c r="G28" s="3" t="inlineStr">
        <x:is>
          <x:t>LIZ MARCA</x:t>
        </x:is>
      </x:c>
      <x:c r="H28" s="3" t="inlineStr">
        <x:is>
          <x:t>LISETH PAOLA  PATRON OGAZA , Barrio Juan 23 cl 37a número 8w -48,, MONTERIA, CORDOBA, CO</x:t>
        </x:is>
      </x:c>
      <x:c r="I28" s="3" t="inlineStr">
        <x:is>
          <x:t>3</x:t>
        </x:is>
      </x:c>
      <x:c r="J28" s="3" t="inlineStr">
        <x:is>
          <x:t>11</x:t>
        </x:is>
      </x:c>
      <x:c r="K2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28" s="3" t="inlineStr">
        <x:is>
          <x:t>No</x:t>
        </x:is>
      </x:c>
      <x:c r="M28" s="3" t="inlineStr">
        <x:is>
          <x:t>Isabel Maria Henriquez Martinez, Calle 53 11 80 edificio Roma, MONTERIA, CORDOBA 123, CO</x:t>
        </x:is>
      </x:c>
      <x:c r="N28" s="3" t="inlineStr">
        <x:is>
          <x:t/>
        </x:is>
      </x:c>
      <x:c r="O28" s="3" t="inlineStr">
        <x:is>
          <x:t>28 ene. 2022</x:t>
        </x:is>
      </x:c>
      <x:c r="P28" s="3" t="inlineStr">
        <x:is>
          <x:t/>
        </x:is>
      </x:c>
      <x:c r="Q28" s="3" t="inlineStr">
        <x:is>
          <x:t/>
        </x:is>
      </x:c>
    </x:row>
    <x:row r="29">
      <x:c r="A29" s="10" t="inlineStr">
        <x:f xml:space="preserve">HYPERLINK("http://sipi.sic.gov.co/sipi/View.ashx?3879448","SD2022/0005019")</x:f>
      </x:c>
      <x:c r="B29" s="3" t="inlineStr">
        <x:is>
          <x:t>DEDICACIÓN</x:t>
        </x:is>
      </x:c>
      <x:c r="C29" s="3" t="inlineStr">
        <x:is>
          <x:t/>
        </x:is>
      </x:c>
      <x:c r="D29" s="3" t="inlineStr">
        <x:is>
          <x:t>20 ene. 2022</x:t>
        </x:is>
      </x:c>
      <x:c r="E29" s="3" t="inlineStr">
        <x:is>
          <x:t/>
        </x:is>
      </x:c>
      <x:c r="F29" s="3" t="inlineStr">
        <x:is>
          <x:t>Negada</x:t>
        </x:is>
      </x:c>
      <x:c r="G29" s="3" t="inlineStr">
        <x:is>
          <x:t>DEDICACIÓN</x:t>
        </x:is>
      </x:c>
      <x:c r="H29" s="3" t="inlineStr">
        <x:is>
          <x:t>Juan Daniel Ospina Ortiz, Calle 10Norte # 18-39 apto. 102 Edif. Yakarta, ARMENIA, QUINDIO 630004, CO</x:t>
        </x:is>
      </x:c>
      <x:c r="I29" s="3" t="inlineStr">
        <x:is>
          <x:t>3</x:t>
        </x:is>
      </x:c>
      <x:c r="J29" s="3" t="inlineStr">
        <x:is>
          <x:t>11</x:t>
        </x:is>
      </x:c>
      <x:c r="K29" s="3" t="inlineStr">
        <x:is>
          <x:t>3. Cosméticos y preparaciones de cuidado personal.
</x:t>
        </x:is>
      </x:c>
      <x:c r="L29" s="3" t="inlineStr">
        <x:is>
          <x:t>No</x:t>
        </x:is>
      </x:c>
      <x:c r="M29" s="3" t="inlineStr">
        <x:is>
          <x:t/>
        </x:is>
      </x:c>
      <x:c r="N29" s="3" t="inlineStr">
        <x:is>
          <x:t/>
        </x:is>
      </x:c>
      <x:c r="O29" s="3" t="inlineStr">
        <x:is>
          <x:t>28 ene. 2022</x:t>
        </x:is>
      </x:c>
      <x:c r="P29" s="3" t="inlineStr">
        <x:is>
          <x:t/>
        </x:is>
      </x:c>
      <x:c r="Q29" s="3" t="inlineStr">
        <x:is>
          <x:t/>
        </x:is>
      </x:c>
    </x:row>
    <x:row r="30">
      <x:c r="A30" s="10" t="inlineStr">
        <x:f xml:space="preserve">HYPERLINK("http://sipi.sic.gov.co/sipi/View.ashx?3880154","SD2022/0005143")</x:f>
      </x:c>
      <x:c r="B30" s="3" t="inlineStr">
        <x:is>
          <x:t>ACKÚBELL AQ'BL</x:t>
        </x:is>
      </x:c>
      <x:c r="C30" s="9" t="inlineStr">
        <x:is>
          <x:t/>
        </x:is>
      </x:c>
      <x:c r="D30" s="3" t="inlineStr">
        <x:is>
          <x:t>21 ene. 2022</x:t>
        </x:is>
      </x:c>
      <x:c r="E30" s="3" t="inlineStr">
        <x:is>
          <x:t/>
        </x:is>
      </x:c>
      <x:c r="F30" s="3" t="inlineStr">
        <x:is>
          <x:t>Negada</x:t>
        </x:is>
      </x:c>
      <x:c r="G30" s="3" t="inlineStr">
        <x:is>
          <x:t/>
        </x:is>
      </x:c>
      <x:c r="H30" s="3" t="inlineStr">
        <x:is>
          <x:t>REINALDO DE JESUS SALAZAR VALENCIA, CARRERA 68 NO 28-36, ITAGUI, ANTIOQUIA, CO</x:t>
        </x:is>
      </x:c>
      <x:c r="I30" s="3" t="inlineStr">
        <x:is>
          <x:t>3</x:t>
        </x:is>
      </x:c>
      <x:c r="J30" s="3" t="inlineStr">
        <x:is>
          <x:t>11</x:t>
        </x:is>
      </x:c>
      <x:c r="K30" s="3" t="inlineStr">
        <x:is>
          <x:t>3. Champúes para el cabello; champús 3 en 1; champús acondicionadores; champús anticaspa; champús capilares; champús para el cabello humano; bálsamos capilares; cremas capilares; geles capilares; lociones capilares cosméticas; lociones capilares no medicinales.
</x:t>
        </x:is>
      </x:c>
      <x:c r="L30" s="3" t="inlineStr">
        <x:is>
          <x:t>Sí</x:t>
        </x:is>
      </x:c>
      <x:c r="M30" s="3" t="inlineStr">
        <x:is>
          <x:t/>
        </x:is>
      </x:c>
      <x:c r="N30" s="3" t="inlineStr">
        <x:is>
          <x:t/>
        </x:is>
      </x:c>
      <x:c r="O30" s="3" t="inlineStr">
        <x:is>
          <x:t>08 mar. 2022</x:t>
        </x:is>
      </x:c>
      <x:c r="P30" s="3" t="inlineStr">
        <x:is>
          <x:t/>
        </x:is>
      </x:c>
      <x:c r="Q30" s="3" t="inlineStr">
        <x:is>
          <x:t/>
        </x:is>
      </x:c>
    </x:row>
    <x:row r="31">
      <x:c r="A31" s="10" t="inlineStr">
        <x:f xml:space="preserve">HYPERLINK("http://sipi.sic.gov.co/sipi/View.ashx?3880872","SD2022/0005326")</x:f>
      </x:c>
      <x:c r="B31" s="3" t="inlineStr">
        <x:is>
          <x:t>CAOS BEAUTY</x:t>
        </x:is>
      </x:c>
      <x:c r="C31" s="9" t="inlineStr">
        <x:is>
          <x:t/>
        </x:is>
      </x:c>
      <x:c r="D31" s="3" t="inlineStr">
        <x:is>
          <x:t>21 ene. 2022</x:t>
        </x:is>
      </x:c>
      <x:c r="E31" s="3" t="inlineStr">
        <x:is>
          <x:t/>
        </x:is>
      </x:c>
      <x:c r="F31" s="3" t="inlineStr">
        <x:is>
          <x:t>Negada</x:t>
        </x:is>
      </x:c>
      <x:c r="G31" s="3" t="inlineStr">
        <x:is>
          <x:t/>
        </x:is>
      </x:c>
      <x:c r="H31" s="3" t="inlineStr">
        <x:is>
          <x:t>Carolina Forero Duarte, hacienda fagua vereda canelón casa 37, en la vereda canelón. Después del conjunto Palo e Teka, CAJICA, CUNDINAMARCA 250240, CO</x:t>
        </x:is>
      </x:c>
      <x:c r="I31" s="3" t="inlineStr">
        <x:is>
          <x:t>3</x:t>
        </x:is>
      </x:c>
      <x:c r="J31" s="3" t="inlineStr">
        <x:is>
          <x:t>11</x:t>
        </x:is>
      </x:c>
      <x:c r="K31" s="3" t="inlineStr">
        <x:is>
          <x:t>3. Jabones no medicinales; productos de perfumería, aceites esenciales, cosméticos no medicinales, lociones capilares no medicinales; aguas perfumadas; cosméticos; productos cosméticos para el cuidado de la piel; desmaquilladores; jabones*; lápices para uso cosmético; productos de limpieza; productos de limpieza en seco; maquillaje; productos de maquillaje; preparaciones de tocador*; preparaciones químicas de limpieza para uso doméstico; preparaciones cosméticas para el baño; mascarillas de belleza; cremas cosméticas; productos cosméticos para el cuidado de la piel; champús*; aguas de tocador.
</x:t>
        </x:is>
      </x:c>
      <x:c r="L31" s="3" t="inlineStr">
        <x:is>
          <x:t>No</x:t>
        </x:is>
      </x:c>
      <x:c r="M31" s="3" t="inlineStr">
        <x:is>
          <x:t/>
        </x:is>
      </x:c>
      <x:c r="N31" s="3" t="inlineStr">
        <x:is>
          <x:t/>
        </x:is>
      </x:c>
      <x:c r="O31" s="3" t="inlineStr">
        <x:is>
          <x:t>18 mar. 2022</x:t>
        </x:is>
      </x:c>
      <x:c r="P31" s="3" t="inlineStr">
        <x:is>
          <x:t/>
        </x:is>
      </x:c>
      <x:c r="Q31" s="3" t="inlineStr">
        <x:is>
          <x:t/>
        </x:is>
      </x:c>
    </x:row>
    <x:row r="32">
      <x:c r="A32" s="10" t="inlineStr">
        <x:f xml:space="preserve">HYPERLINK("http://sipi.sic.gov.co/sipi/View.ashx?3880896","SD2022/0005365")</x:f>
      </x:c>
      <x:c r="B32" s="3" t="inlineStr">
        <x:is>
          <x:t>HN</x:t>
        </x:is>
      </x:c>
      <x:c r="C32" s="9" t="inlineStr">
        <x:is>
          <x:t/>
        </x:is>
      </x:c>
      <x:c r="D32" s="3" t="inlineStr">
        <x:is>
          <x:t>21 ene. 2022</x:t>
        </x:is>
      </x:c>
      <x:c r="E32" s="3" t="inlineStr">
        <x:is>
          <x:t/>
        </x:is>
      </x:c>
      <x:c r="F32" s="3" t="inlineStr">
        <x:is>
          <x:t>Negada</x:t>
        </x:is>
      </x:c>
      <x:c r="G32" s="3" t="inlineStr">
        <x:is>
          <x:t>103846/1 HN</x:t>
        </x:is>
      </x:c>
      <x:c r="H32" s="3" t="inlineStr">
        <x:is>
          <x:t> ASLA US Holdings LLC, c/o Corporation Trust Center, 1209 Orange St., , WILMINGTON, DELAWARE 19801 , US</x:t>
        </x:is>
      </x:c>
      <x:c r="I32" s="3" t="inlineStr">
        <x:is>
          <x:t>3, 18, 35</x:t>
        </x:is>
      </x:c>
      <x:c r="J32" s="3" t="inlineStr">
        <x:is>
          <x:t>11</x:t>
        </x:is>
      </x:c>
      <x:c r="K32" s="3" t="inlineStr">
        <x:is>
          <x:t>3. Gel de baño; crema para el cuerpo; manteca corporal; loción corporal; leche corporal; exfoliación corporal; aceite corporal; crema de manos; perfume; agua de perfume; agua de Toilette; preparaciones no medicinales para el cuidado de la piel, a saber, bruma corporal; aerosoles para el cuerpo; preparaciones no medicinales para el cuidado de los labios; brillo de labios; paleta de brillo de labios; bálsamo labial; máscaras faciales; mascarillas corporales; bombas de baño; sales de baño no medicinales, baños de burbujas, gel de ducha, jabón de manos, crema de manos, loción de manos, cosméticos, preparaciones de maquillaje, preparaciones para el cuidado del cabello; preparaciones para el bronceado; preparaciones autobronceadoras y preparaciones para el cuidado solar no medicinales.
18. Equipaje; Etiquetas de equipaje; maletas; bolsos de mano; bolsas de fin de semana; estuches de viaje; bolsas de mano; bolsas de cosméticos vendidas vacías; neceseres vendidos vacíos; correas para bolsas de transporte; carteras; estuches y fundas para tarjetas de crédito; paraguas; carteras; mochilas.
35. Servicios de tiendas de venta al por menor y servicios de tiendas de venta al por menor en línea de prendas de vestir, productos para el cuidado personal, bolsos y accesorios de moda; servicios de tiendas minoristas y servicios de tiendas minoristas en línea que ofrecen ropa, productos de cuidado personal, bolsos y accesorios de moda proporcionados a través de una aplicación móvil que puede ser descargada.
</x:t>
        </x:is>
      </x:c>
      <x:c r="L32" s="3" t="inlineStr">
        <x:is>
          <x:t>Sí</x:t>
        </x:is>
      </x:c>
      <x:c r="M32" s="3" t="inlineStr">
        <x:is>
          <x:t>MAURICIO PATIÑO BONNET, CARRERA 9 No. 74-08 OFICINA 305, BOGOTÁ, D.C., CO</x:t>
        </x:is>
      </x:c>
      <x:c r="N32" s="3" t="inlineStr">
        <x:is>
          <x:t/>
        </x:is>
      </x:c>
      <x:c r="O32" s="3" t="inlineStr">
        <x:is>
          <x:t>07 feb. 2022</x:t>
        </x:is>
      </x:c>
      <x:c r="P32" s="3" t="inlineStr">
        <x:is>
          <x:t>13 ago. 2021</x:t>
        </x:is>
      </x:c>
      <x:c r="Q32" s="3" t="inlineStr">
        <x:is>
          <x:t/>
        </x:is>
      </x:c>
    </x:row>
    <x:row r="33">
      <x:c r="A33" s="10" t="inlineStr">
        <x:f xml:space="preserve">HYPERLINK("http://sipi.sic.gov.co/sipi/View.ashx?3881215","SD2022/0005878")</x:f>
      </x:c>
      <x:c r="B33" s="3" t="inlineStr">
        <x:is>
          <x:t>JÚPITER</x:t>
        </x:is>
      </x:c>
      <x:c r="C33" s="9" t="inlineStr">
        <x:is>
          <x:t/>
        </x:is>
      </x:c>
      <x:c r="D33" s="3" t="inlineStr">
        <x:is>
          <x:t>24 ene. 2022</x:t>
        </x:is>
      </x:c>
      <x:c r="E33" s="3" t="inlineStr">
        <x:is>
          <x:t/>
        </x:is>
      </x:c>
      <x:c r="F33" s="3" t="inlineStr">
        <x:is>
          <x:t>Negada</x:t>
        </x:is>
      </x:c>
      <x:c r="G33" s="3" t="inlineStr">
        <x:is>
          <x:t/>
        </x:is>
      </x:c>
      <x:c r="H33" s="3" t="inlineStr">
        <x:is>
          <x:t> JÚPITER COMPANY SOCIEDAD ANÓNIMA , HILARIO CABRERA 7281, MONTEVIDEO, URUGUAY, MONTEVIDEO, MONTEVIDEO, UY</x:t>
        </x:is>
      </x:c>
      <x:c r="I33" s="3" t="inlineStr">
        <x:is>
          <x:t>3, 5</x:t>
        </x:is>
      </x:c>
      <x:c r="J33" s="3" t="inlineStr">
        <x:is>
          <x:t>11</x:t>
        </x:is>
      </x:c>
      <x:c r="K33" s="3" t="inlineStr">
        <x:is>
          <x:t>3. FRAGANCIAS DE USO PERSONAL Y PARA EL HOGAR, GELES DE DUCHA, CHAMPÚES, ACONDICIONADORES Y ENJUAGUES PARA EL CABELLO, DESODORANTES Y ANTETRANSPIRANTES DE USO PERSONAL; PREPARACIONES PARA LIMPIAR Y AROMATIZAR, JABONES LÍQUIDOS, EN POLVO Y EN BARRA, PRODUCTOS LIMPIADORES, BLANQUEADORES y SUAVIZANTES, LEJÍA, DETERGENTES, CERAS, PULIDORES Y ABRASIVOS.
5. ALCOHOLES MEDICINALES, DESINFECTANTES, DESODORIZANTES DE AMBIENTES; INSECTICIDAS Y PLAGUICIDAS.
</x:t>
        </x:is>
      </x:c>
      <x:c r="L33" s="3" t="inlineStr">
        <x:is>
          <x:t>No</x:t>
        </x:is>
      </x:c>
      <x:c r="M33" s="3" t="inlineStr">
        <x:is>
          <x:t>CLEMENCIA DELGADO VILLEGAS, Avenida Carrera  24 # 37-31 Oficina 202, BOGOTÁ, D.C., CO</x:t>
        </x:is>
      </x:c>
      <x:c r="N33" s="3" t="inlineStr">
        <x:is>
          <x:t/>
        </x:is>
      </x:c>
      <x:c r="O33" s="3" t="inlineStr">
        <x:is>
          <x:t>07 feb. 2022</x:t>
        </x:is>
      </x:c>
      <x:c r="P33" s="3" t="inlineStr">
        <x:is>
          <x:t/>
        </x:is>
      </x:c>
      <x:c r="Q33" s="3" t="inlineStr">
        <x:is>
          <x:t/>
        </x:is>
      </x:c>
    </x:row>
    <x:row r="34">
      <x:c r="A34" s="10" t="inlineStr">
        <x:f xml:space="preserve">HYPERLINK("http://sipi.sic.gov.co/sipi/View.ashx?3881608","SD2022/0005560")</x:f>
      </x:c>
      <x:c r="B34" s="3" t="inlineStr">
        <x:is>
          <x:t>VALERY PERFECT</x:t>
        </x:is>
      </x:c>
      <x:c r="C34" s="9" t="inlineStr">
        <x:is>
          <x:t/>
        </x:is>
      </x:c>
      <x:c r="D34" s="3" t="inlineStr">
        <x:is>
          <x:t>22 ene. 2022</x:t>
        </x:is>
      </x:c>
      <x:c r="E34" s="3" t="inlineStr">
        <x:is>
          <x:t/>
        </x:is>
      </x:c>
      <x:c r="F34" s="3" t="inlineStr">
        <x:is>
          <x:t>Negada</x:t>
        </x:is>
      </x:c>
      <x:c r="G34" s="3" t="inlineStr">
        <x:is>
          <x:t>valery perfect </x:t>
        </x:is>
      </x:c>
      <x:c r="H34" s="3" t="inlineStr">
        <x:is>
          <x:t> LABORATORIOS COSMECOL DE COLOMBIA S.A.S, calle 4 # 5-49 , PIEDECUESTA, SANTANDER, CO</x:t>
        </x:is>
      </x:c>
      <x:c r="I34" s="3" t="inlineStr">
        <x:is>
          <x:t>3</x:t>
        </x:is>
      </x:c>
      <x:c r="J34" s="3" t="inlineStr">
        <x:is>
          <x:t>11</x:t>
        </x:is>
      </x:c>
      <x:c r="K34" s="3" t="inlineStr">
        <x:is>
          <x:t>3.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tratamientos para permanentes capilares.
</x:t>
        </x:is>
      </x:c>
      <x:c r="L34" s="3" t="inlineStr">
        <x:is>
          <x:t>No</x:t>
        </x:is>
      </x:c>
      <x:c r="M34" s="3" t="inlineStr">
        <x:is>
          <x:t>HERNAN DARIO RUIZ JURADO, SIN ESTABLECER, BUCARAMANGA, SANTANDER, CO</x:t>
        </x:is>
      </x:c>
      <x:c r="N34" s="3" t="inlineStr">
        <x:is>
          <x:t/>
        </x:is>
      </x:c>
      <x:c r="O34" s="3" t="inlineStr">
        <x:is>
          <x:t>20 sept. 2022</x:t>
        </x:is>
      </x:c>
      <x:c r="P34" s="3" t="inlineStr">
        <x:is>
          <x:t/>
        </x:is>
      </x:c>
      <x:c r="Q34" s="3" t="inlineStr">
        <x:is>
          <x:t/>
        </x:is>
      </x:c>
    </x:row>
    <x:row r="35">
      <x:c r="A35" s="10" t="inlineStr">
        <x:f xml:space="preserve">HYPERLINK("http://sipi.sic.gov.co/sipi/View.ashx?3882287","SD2022/0005628")</x:f>
      </x:c>
      <x:c r="B35" s="3" t="inlineStr">
        <x:is>
          <x:t>PIEL PERFECTA</x:t>
        </x:is>
      </x:c>
      <x:c r="C35" s="3" t="inlineStr">
        <x:is>
          <x:t/>
        </x:is>
      </x:c>
      <x:c r="D35" s="3" t="inlineStr">
        <x:is>
          <x:t>24 ene. 2022</x:t>
        </x:is>
      </x:c>
      <x:c r="E35" s="3" t="inlineStr">
        <x:is>
          <x:t/>
        </x:is>
      </x:c>
      <x:c r="F35" s="3" t="inlineStr">
        <x:is>
          <x:t>Negada</x:t>
        </x:is>
      </x:c>
      <x:c r="G35" s="3" t="inlineStr">
        <x:is>
          <x:t/>
        </x:is>
      </x:c>
      <x:c r="H35" s="3" t="inlineStr">
        <x:is>
          <x:t> IDUNN PIEL PERFECTA S.A.S., CR 54 NO 124 SUR 28 32, CALDAS, ANTIOQUIA, CO</x:t>
        </x:is>
      </x:c>
      <x:c r="I35" s="3" t="inlineStr">
        <x:is>
          <x:t>3</x:t>
        </x:is>
      </x:c>
      <x:c r="J35" s="3" t="inlineStr">
        <x:is>
          <x:t>11</x:t>
        </x:is>
      </x:c>
      <x:c r="K35" s="3" t="inlineStr">
        <x:is>
          <x:t>3. Correctores de imperfecciones [productos cosméticos]; cosméticos para cuidados corporales y estéticos; cremas y geles cosméticos para cara, manos y cuerpo; cremas, leches, lociones, geles y polvos cosméticos para la cara, el cuerpo y las manos; exfoliantes corporales cosméticos; polvos faciales cosméticos; cremas y lociones cosméticas para el cuidado del rostro y el cuerpo; productos cosméticos para el cuidado de la piel; productos cosméticos y de belleza; productos cosméticos y de maquillaje; sueros de belleza; sueros no medicinales para la piel; correctores para disimular manchas e imperfecciones de la piel; cremas para atenuar las manchas de la vejez de uso cosmético; brillos faciales; polvos faciales; exfoliantes corporales.
</x:t>
        </x:is>
      </x:c>
      <x:c r="L35" s="3" t="inlineStr">
        <x:is>
          <x:t>No</x:t>
        </x:is>
      </x:c>
      <x:c r="M35" s="3" t="inlineStr">
        <x:is>
          <x:t>ALEXANDRA MARIA HERNANDEZ RESTREPO, CL 129 SUR NRO. 46-10, CALDAS, ANTIOQUIA, CO</x:t>
        </x:is>
      </x:c>
      <x:c r="N35" s="3" t="inlineStr">
        <x:is>
          <x:t/>
        </x:is>
      </x:c>
      <x:c r="O35" s="3" t="inlineStr">
        <x:is>
          <x:t>28 ene. 2022</x:t>
        </x:is>
      </x:c>
      <x:c r="P35" s="3" t="inlineStr">
        <x:is>
          <x:t/>
        </x:is>
      </x:c>
      <x:c r="Q35" s="3" t="inlineStr">
        <x:is>
          <x:t/>
        </x:is>
      </x:c>
    </x:row>
    <x:row r="36">
      <x:c r="A36" s="10" t="inlineStr">
        <x:f xml:space="preserve">HYPERLINK("http://sipi.sic.gov.co/sipi/View.ashx?3883738","SD2022/0006681")</x:f>
      </x:c>
      <x:c r="B36" s="3" t="inlineStr">
        <x:is>
          <x:t>CANOA COSMETICS</x:t>
        </x:is>
      </x:c>
      <x:c r="C36" s="9" t="inlineStr">
        <x:is>
          <x:t/>
        </x:is>
      </x:c>
      <x:c r="D36" s="3" t="inlineStr">
        <x:is>
          <x:t>26 ene. 2022</x:t>
        </x:is>
      </x:c>
      <x:c r="E36" s="3" t="inlineStr">
        <x:is>
          <x:t/>
        </x:is>
      </x:c>
      <x:c r="F36" s="3" t="inlineStr">
        <x:is>
          <x:t>Negada</x:t>
        </x:is>
      </x:c>
      <x:c r="G36" s="3" t="inlineStr">
        <x:is>
          <x:t>Canoa Cosmetics </x:t>
        </x:is>
      </x:c>
      <x:c r="H36" s="3" t="inlineStr">
        <x:is>
          <x:t>JUAN PABLO  ACHINTE GIRALDO, av cra 19 no 114-09, BOGOTÁ, D.C. 110101, CO</x:t>
        </x:is>
      </x:c>
      <x:c r="I36" s="3" t="inlineStr">
        <x:is>
          <x:t>3</x:t>
        </x:is>
      </x:c>
      <x:c r="J36" s="3" t="inlineStr">
        <x:is>
          <x:t>11</x:t>
        </x:is>
      </x:c>
      <x:c r="K36" s="3" t="inlineStr">
        <x:is>
          <x:t>3. Bases de maquillaje; bases de maquillaje cremosas; bases de maquillaje en crema; bases de maquillaje líquidas; bases de maquillaje para la piel; cola de maquillaje para uso cosmético; fondo de maquillaje; fundación de maquillaje;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maquillaje [cosméticos]; maquillaje de teatro, a saber, sangre falsa; maquillaje para el cuerpo; maquillaje para el rostro; maquillaje para el rostro y el cuerpo; maquillaje para la cara; maquillaje para la cara y el cuerpo; maquillaje para la piel; maquillaje para los ojos; maquillaje para polveras; maquillaje teatral; maquillaje vendido en polveras; maquillajes de base; maquillajes de base en crema; maquillajes de ojos; maquillajes faciales; maquillajes para el teatro; mizu-oshiroi [bases de maquillaje líquidas];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polvos de maquillaje; preparaciones de maquillaje para el rostro y el cuerpo; preparaciones de maquillaje para la cara y el cuerpo; productos cosméticos y de maquillaje; productos de maquillaje; sangre falsa [maquillaje de teatro]; sprays para fijar el maquillaje.
</x:t>
        </x:is>
      </x:c>
      <x:c r="L36" s="3" t="inlineStr">
        <x:is>
          <x:t>No</x:t>
        </x:is>
      </x:c>
      <x:c r="M36" s="3" t="inlineStr">
        <x:is>
          <x:t>JUAN CAMILO TURBAY DE MIER, Calle 119 # 13 - 51 of 304, BOGOTÁ, D.C., CO</x:t>
        </x:is>
      </x:c>
      <x:c r="N36" s="3" t="inlineStr">
        <x:is>
          <x:t/>
        </x:is>
      </x:c>
      <x:c r="O36" s="3" t="inlineStr">
        <x:is>
          <x:t>28 ene. 2022</x:t>
        </x:is>
      </x:c>
      <x:c r="P36" s="3" t="inlineStr">
        <x:is>
          <x:t/>
        </x:is>
      </x:c>
      <x:c r="Q36" s="3" t="inlineStr">
        <x:is>
          <x:t/>
        </x:is>
      </x:c>
    </x:row>
    <x:row r="37">
      <x:c r="A37" s="10" t="inlineStr">
        <x:f xml:space="preserve">HYPERLINK("http://sipi.sic.gov.co/sipi/View.ashx?3883796","SD2022/0006003")</x:f>
      </x:c>
      <x:c r="B37" s="3" t="inlineStr">
        <x:is>
          <x:t>Altamisa COSMÉTICA ANCESTRAL AROMATERAPIA EN CASA</x:t>
        </x:is>
      </x:c>
      <x:c r="C37" s="9" t="inlineStr">
        <x:is>
          <x:t/>
        </x:is>
      </x:c>
      <x:c r="D37" s="3" t="inlineStr">
        <x:is>
          <x:t>24 ene. 2022</x:t>
        </x:is>
      </x:c>
      <x:c r="E37" s="3" t="inlineStr">
        <x:is>
          <x:t/>
        </x:is>
      </x:c>
      <x:c r="F37" s="3" t="inlineStr">
        <x:is>
          <x:t>Negada</x:t>
        </x:is>
      </x:c>
      <x:c r="G37" s="3" t="inlineStr">
        <x:is>
          <x:t>Altamisa COSMÉTICA ANCESTRAL AROMATERAPIA EN CASA</x:t>
        </x:is>
      </x:c>
      <x:c r="H37" s="3" t="inlineStr">
        <x:is>
          <x:t>Celia Vanessa  Mosquera Pai, Barrio Brisas del Aeropuerto , SAN ANDRES DE TUMACO, NARIÑO, CO</x:t>
        </x:is>
      </x:c>
      <x:c r="I37" s="3" t="inlineStr">
        <x:is>
          <x:t>3</x:t>
        </x:is>
      </x:c>
      <x:c r="J37" s="3" t="inlineStr">
        <x:is>
          <x:t>11</x:t>
        </x:is>
      </x:c>
      <x:c r="K37" s="3" t="inlineStr">
        <x:is>
          <x:t>3. Champús capilares; preparaciones cosméticas para el tratamiento de la piel; preparaciones para tratamientos capilares; tónicos para uso cosmético; jabones de tocador; aceites para el cuerpo; aceites para el cabello; aceites aromáticos para el baño; acondicionadores para el cabello.
</x:t>
        </x:is>
      </x:c>
      <x:c r="L37" s="3" t="inlineStr">
        <x:is>
          <x:t>No</x:t>
        </x:is>
      </x:c>
      <x:c r="M37" s="3" t="inlineStr">
        <x:is>
          <x:t/>
        </x:is>
      </x:c>
      <x:c r="N37" s="3" t="inlineStr">
        <x:is>
          <x:t/>
        </x:is>
      </x:c>
      <x:c r="O37" s="3" t="inlineStr">
        <x:is>
          <x:t>19 abr. 2022</x:t>
        </x:is>
      </x:c>
      <x:c r="P37" s="3" t="inlineStr">
        <x:is>
          <x:t/>
        </x:is>
      </x:c>
      <x:c r="Q37" s="3" t="inlineStr">
        <x:is>
          <x:t/>
        </x:is>
      </x:c>
    </x:row>
    <x:row r="38">
      <x:c r="A38" s="10" t="inlineStr">
        <x:f xml:space="preserve">HYPERLINK("http://sipi.sic.gov.co/sipi/View.ashx?3888410","SD2022/0006911")</x:f>
      </x:c>
      <x:c r="B38" s="3" t="inlineStr">
        <x:is>
          <x:t>ISPIRO</x:t>
        </x:is>
      </x:c>
      <x:c r="C38" s="9" t="inlineStr">
        <x:is>
          <x:t/>
        </x:is>
      </x:c>
      <x:c r="D38" s="3" t="inlineStr">
        <x:is>
          <x:t>27 ene. 2022</x:t>
        </x:is>
      </x:c>
      <x:c r="E38" s="3" t="inlineStr">
        <x:is>
          <x:t/>
        </x:is>
      </x:c>
      <x:c r="F38" s="3" t="inlineStr">
        <x:is>
          <x:t>Negada</x:t>
        </x:is>
      </x:c>
      <x:c r="G38" s="3" t="inlineStr">
        <x:is>
          <x:t>ISPIRO</x:t>
        </x:is>
      </x:c>
      <x:c r="H38" s="3" t="inlineStr">
        <x:is>
          <x:t>CATALINA ARISTIZABAL GARCIA, Cra 35A # 77sur-113 Apto 908, SABANETA, ANTIOQUIA, CO</x:t>
        </x:is>
      </x:c>
      <x:c r="I38" s="3" t="inlineStr">
        <x:is>
          <x:t>3</x:t>
        </x:is>
      </x:c>
      <x:c r="J38" s="3" t="inlineStr">
        <x:is>
          <x:t>11</x:t>
        </x:is>
      </x:c>
      <x:c r="K38" s="3" t="inlineStr">
        <x:is>
          <x:t>3. Productos cosméticos no medicinales.
</x:t>
        </x:is>
      </x:c>
      <x:c r="L38" s="3" t="inlineStr">
        <x:is>
          <x:t>No</x:t>
        </x:is>
      </x:c>
      <x:c r="M38" s="3" t="inlineStr">
        <x:is>
          <x:t>EDUARDO DORADO SANCHEZ , Calle 123 No. 7 - 51 Oficina 902, BOGOTÁ, D.C., CO</x:t>
        </x:is>
      </x:c>
      <x:c r="N38" s="3" t="inlineStr">
        <x:is>
          <x:t/>
        </x:is>
      </x:c>
      <x:c r="O38" s="3" t="inlineStr">
        <x:is>
          <x:t>10 may. 2022</x:t>
        </x:is>
      </x:c>
      <x:c r="P38" s="3" t="inlineStr">
        <x:is>
          <x:t/>
        </x:is>
      </x:c>
      <x:c r="Q38" s="3" t="inlineStr">
        <x:is>
          <x:t/>
        </x:is>
      </x:c>
    </x:row>
    <x:row r="39">
      <x:c r="A39" s="10" t="inlineStr">
        <x:f xml:space="preserve">HYPERLINK("http://sipi.sic.gov.co/sipi/View.ashx?3890231","SD2022/0008298")</x:f>
      </x:c>
      <x:c r="B39" s="3" t="inlineStr">
        <x:is>
          <x:t>Nova Pharmaceutical</x:t>
        </x:is>
      </x:c>
      <x:c r="C39" s="3" t="inlineStr">
        <x:is>
          <x:t/>
        </x:is>
      </x:c>
      <x:c r="D39" s="3" t="inlineStr">
        <x:is>
          <x:t>31 ene. 2022</x:t>
        </x:is>
      </x:c>
      <x:c r="E39" s="3" t="inlineStr">
        <x:is>
          <x:t/>
        </x:is>
      </x:c>
      <x:c r="F39" s="3" t="inlineStr">
        <x:is>
          <x:t>Negada</x:t>
        </x:is>
      </x:c>
      <x:c r="G39" s="3" t="inlineStr">
        <x:is>
          <x:t/>
        </x:is>
      </x:c>
      <x:c r="H39" s="3" t="inlineStr">
        <x:is>
          <x:t> COMERCIALIZADORA NATURAL LIGHT S.A.S , Calle 67 #19-22, BOGOTÁ, D.C., CO</x:t>
        </x:is>
      </x:c>
      <x:c r="I39" s="3" t="inlineStr">
        <x:is>
          <x:t>3, 5</x:t>
        </x:is>
      </x:c>
      <x:c r="J39" s="3" t="inlineStr">
        <x:is>
          <x:t>11</x:t>
        </x:is>
      </x:c>
      <x:c r="K39" s="3" t="inlineStr">
        <x:is>
          <x:t>3. Exfoliantes faciales y corporales no medicamentosos; lociones capilares reparadoras no medicamentosas; preparaciones capilares no medicamentosas; preparaciones cosméticas no medicamentosas para tratamientos capilares; preparaciones de cuidado corporal no medicamentosas; preparaciones limpiadoras no medicamentosas para la piel; productos no medicamentosos para refrescar el aliento; aceites destilados para el cuidado de belleza; cosméticos de belleza; cosméticos para tratamiento de belleza cosméticos para el cuidado de belleza; cremas bálsamos de belleza; cremas de belleza; cremas de belleza para el cuerpo; cremas de belleza para el rostro y el cuerpo; geles de belleza; leches de belleza; lociones de belleza; mascarillas de belleza; mascarillas de belleza para el cabello; mascarillas de belleza para el contorno de los ojos; mascarillas de belleza para las manos; mascarillas faciales de belleza; preparaciones de cuidado corporal y de belleza para uso cosmético; preparaciones para cuidados corporales y de belleza; preparaciones para el cuidado del cuerpo y la belleza; preparaciones para el cuidado y la belleza personal; productos cosméticos y de belleza; sueros de belleza.
5. Cremas labiales medicamentosas; cremas medicamentosas para hidratar la piel; cremas medicamentosas para la hidratación de la piel; medicamentos a base de hierbas; medicamentos antitranspirantes; medicamentos fitoterapéuticos para el consumo humano; alimentos a base de albúmina para uso médico; alimentos para diabéticos; alimentos y bebidas dietéticos para uso médico; aislados de proteína de suero de leche [suplementos dietéticos]; aislados de proteína de suero de leche en cuanto suplementos dietéticos; antioxidantes [suplementos dietéticos]; barras energéticas utilizadas como suplementos dietéticos; batidos a base de suplementos proteínicos para aumentar de peso; batidos de leche en cuanto suplementos proteínicos;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hidrolizados de proteína de suero de leche [suplementos dietéticos]; hidrolizados de proteína de suero de leche en cuanto suplementos dietéticos; preparaciones y suplementos nutricionales para la salud;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suplementos alimenticios; suplementos alimenticios a base de albúmina; suplementos alimenticios a base de aminoácidos; suplementos alimenticios a base de enzimas; suplementos alimenticios a base de germen de trigo; suplementos alimenticios a base de jalea real; suplementos alimenticios a base de lecitina; suplementos alimenticios a base de levadura; suplementos alimenticios a base de minerales; suplementos alimenticios a base de oligoelementos; suplementos alimenticios a base de polen; suplementos alimenticios a base de propóleos; suplementos alimenticios a base de yacón; suplementos alimenticios compuestos de aminoácidos; suplementos alimenticios dietéticos; suplementos alimenticios dietéticos a base de extractos de hierbas deshidratadas en cápsulas; suplementos alimenticios dietéticos en forma de polvo; suplementos alimenticios dietéticos en polvo; suplementos alimenticios en polvo a base de proteinas; suplementos alimenticios en polvo a base de proteínas vegetales; suplementos alimenticios medicinales a base de colágeno; suplementos alimenticios para humanos; suplementos alimenticios proteicos en polvo; suplementos de hierbas líquidos; suplementos de proteína de suero de leche; suplementos dietéticos a base de aminoácidos; suplementos dietéticos a base de calostro; suplementos dietéticos a base de hierbas; suplementos dietéticos compuestos principalmente de calcio; suplementos dietéticos compuestos principalmente de hierro; suplementos dietéticos con efecto cosmético; suplementos dietéticos en forma de polvo; suplementos dietéticos en forma líquida; suplementos dietéticos para el control del peso corporal; suplementos dietéticos y nutricionales; suplementos nutricionales líquidos; suplementos vitamínicos líquidos.
</x:t>
        </x:is>
      </x:c>
      <x:c r="L39" s="3" t="inlineStr">
        <x:is>
          <x:t>No</x:t>
        </x:is>
      </x:c>
      <x:c r="M39" s="3" t="inlineStr">
        <x:is>
          <x:t>GLORIA CECILIA MARQUEZ PAVA, Calle 67 #19-22, BOGOTÁ, D.C., CO</x:t>
        </x:is>
      </x:c>
      <x:c r="N39" s="3" t="inlineStr">
        <x:is>
          <x:t/>
        </x:is>
      </x:c>
      <x:c r="O39" s="3" t="inlineStr">
        <x:is>
          <x:t>28 feb. 2022</x:t>
        </x:is>
      </x:c>
      <x:c r="P39" s="3" t="inlineStr">
        <x:is>
          <x:t/>
        </x:is>
      </x:c>
      <x:c r="Q39" s="3" t="inlineStr">
        <x:is>
          <x:t/>
        </x:is>
      </x:c>
    </x:row>
    <x:row r="40">
      <x:c r="A40" s="10" t="inlineStr">
        <x:f xml:space="preserve">HYPERLINK("http://sipi.sic.gov.co/sipi/View.ashx?3890893","SD2022/0007497")</x:f>
      </x:c>
      <x:c r="B40" s="3" t="inlineStr">
        <x:is>
          <x:t>Biocai</x:t>
        </x:is>
      </x:c>
      <x:c r="C40" s="9" t="inlineStr">
        <x:is>
          <x:t/>
        </x:is>
      </x:c>
      <x:c r="D40" s="3" t="inlineStr">
        <x:is>
          <x:t>28 ene. 2022</x:t>
        </x:is>
      </x:c>
      <x:c r="E40" s="3" t="inlineStr">
        <x:is>
          <x:t/>
        </x:is>
      </x:c>
      <x:c r="F40" s="3" t="inlineStr">
        <x:is>
          <x:t>Negada</x:t>
        </x:is>
      </x:c>
      <x:c r="G40" s="3" t="inlineStr">
        <x:is>
          <x:t>BIOCAI</x:t>
        </x:is>
      </x:c>
      <x:c r="H40" s="3" t="inlineStr">
        <x:is>
          <x:t> SOLUCIONES VITALES EN SALUD S.A.S., CR 52 D 76 67 LC 1113 CENTRO COMERCIAL PLATINO PLAZA, ITAGUI, ANTIOQUIA, CO</x:t>
        </x:is>
      </x:c>
      <x:c r="I40" s="3" t="inlineStr">
        <x:is>
          <x:t>3</x:t>
        </x:is>
      </x:c>
      <x:c r="J40" s="3" t="inlineStr">
        <x:is>
          <x:t>11</x:t>
        </x:is>
      </x:c>
      <x:c r="K40" s="3" t="inlineStr">
        <x:is>
          <x:t>3. Cosméticos para cuidados corporales y estéticos; crema corporal; crema corporal para uso cosmético; cremas corporales; cremas corporales [cosméticos]; cremas reafirmantes corporales; desodorantes corporales; desodorantes corporales [perfumería]; desodorantes corporales [productos de perfumería]; desodorantes corporales en comprimidos; jabones corporales no medicados; leches hidratantes corporales; lociones corporales; lociones y cremas corporales perfumadas; manteca corporal; manteca corporal para uso cosmético; preparaciones de cuidado corporal no medicamentosas; preparaciones de cuidado corporal y de belleza para uso cosmético; preparaciones para cuidados corporales y de belleza; productos cosméticos para el cuidado corporal.
</x:t>
        </x:is>
      </x:c>
      <x:c r="L40" s="3" t="inlineStr">
        <x:is>
          <x:t>No</x:t>
        </x:is>
      </x:c>
      <x:c r="M40" s="3" t="inlineStr">
        <x:is>
          <x:t>MARIA CRISTINA RIOS HENAO, Cra 52 D N. 76-67, ITAGUI, ANTIOQUIA, CO</x:t>
        </x:is>
      </x:c>
      <x:c r="N40" s="3" t="inlineStr">
        <x:is>
          <x:t/>
        </x:is>
      </x:c>
      <x:c r="O40" s="3" t="inlineStr">
        <x:is>
          <x:t>07 feb. 2022</x:t>
        </x:is>
      </x:c>
      <x:c r="P40" s="3" t="inlineStr">
        <x:is>
          <x:t/>
        </x:is>
      </x:c>
      <x:c r="Q40" s="3" t="inlineStr">
        <x:is>
          <x:t/>
        </x:is>
      </x:c>
    </x:row>
    <x:row r="41">
      <x:c r="A41" s="10" t="inlineStr">
        <x:f xml:space="preserve">HYPERLINK("http://sipi.sic.gov.co/sipi/View.ashx?3890935","SD2022/0007500")</x:f>
      </x:c>
      <x:c r="B41" s="3" t="inlineStr">
        <x:is>
          <x:t>MOSTAZA BY VERÓNICA CÓRDOBA</x:t>
        </x:is>
      </x:c>
      <x:c r="C41" s="9" t="inlineStr">
        <x:is>
          <x:t/>
        </x:is>
      </x:c>
      <x:c r="D41" s="3" t="inlineStr">
        <x:is>
          <x:t>01 feb. 2022</x:t>
        </x:is>
      </x:c>
      <x:c r="E41" s="3" t="inlineStr">
        <x:is>
          <x:t/>
        </x:is>
      </x:c>
      <x:c r="F41" s="3" t="inlineStr">
        <x:is>
          <x:t>Negada</x:t>
        </x:is>
      </x:c>
      <x:c r="G41" s="3" t="inlineStr">
        <x:is>
          <x:t>MOSTAZA</x:t>
        </x:is>
      </x:c>
      <x:c r="H41" s="3" t="inlineStr">
        <x:is>
          <x:t> MOSTAZA BELLEZA INTEGRAL SAS, CALLE 29 77 117 CASA 106, MEDELLIN, ANTIOQUIA, CO</x:t>
        </x:is>
      </x:c>
      <x:c r="I41" s="3" t="inlineStr">
        <x:is>
          <x:t>3</x:t>
        </x:is>
      </x:c>
      <x:c r="J41" s="3" t="inlineStr">
        <x:is>
          <x:t>11</x:t>
        </x:is>
      </x:c>
      <x:c r="K41" s="3" t="inlineStr">
        <x:is>
          <x:t>3. Cremas de belleza para el rostro y el cuerpo; geles de belleza; mascarillas de belleza; cremas de belleza para el cuerpo; cosméticos para tratamiento de belleza cosméticos para el cuidado de belleza; aceites destilados para el cuidado de belleza; cosméticos de belleza; preparaciones para cuidados corporales y de belleza; preparaciones de cuidado corporal y de belleza para uso cosmético; preparaciones para el cuidado y la belleza personal; productos cosméticos y de belleza; sueros de belleza; lociones de belleza; mascarillas de belleza para el cabello; mascarillas de belleza para el contorno de los ojos; mascarillas de belleza para las manos; mascarillas faciales de belleza; cremas bálsamos de belleza; cremas de belleza; preparaciones para el cuidado del cuerpo y la belleza; leches de belleza.
</x:t>
        </x:is>
      </x:c>
      <x:c r="L41" s="3" t="inlineStr">
        <x:is>
          <x:t>Sí</x:t>
        </x:is>
      </x:c>
      <x:c r="M41" s="3" t="inlineStr">
        <x:is>
          <x:t>VERONICA  CORDOBA, Calle 29 77 117 casa 106, MEDELLIN, ANTIOQUIA, CO</x:t>
        </x:is>
      </x:c>
      <x:c r="N41" s="3" t="inlineStr">
        <x:is>
          <x:t/>
        </x:is>
      </x:c>
      <x:c r="O41" s="3" t="inlineStr">
        <x:is>
          <x:t>19 abr. 2022</x:t>
        </x:is>
      </x:c>
      <x:c r="P41" s="3" t="inlineStr">
        <x:is>
          <x:t/>
        </x:is>
      </x:c>
      <x:c r="Q41" s="3" t="inlineStr">
        <x:is>
          <x:t/>
        </x:is>
      </x:c>
    </x:row>
    <x:row r="42">
      <x:c r="A42" s="10" t="inlineStr">
        <x:f xml:space="preserve">HYPERLINK("http://sipi.sic.gov.co/sipi/View.ashx?3892234","SD2022/0007986")</x:f>
      </x:c>
      <x:c r="B42" s="3" t="inlineStr">
        <x:is>
          <x:t>APOTHEKANNA</x:t>
        </x:is>
      </x:c>
      <x:c r="C42" s="9" t="inlineStr">
        <x:is>
          <x:t/>
        </x:is>
      </x:c>
      <x:c r="D42" s="3" t="inlineStr">
        <x:is>
          <x:t>30 ene. 2022</x:t>
        </x:is>
      </x:c>
      <x:c r="E42" s="3" t="inlineStr">
        <x:is>
          <x:t/>
        </x:is>
      </x:c>
      <x:c r="F42" s="3" t="inlineStr">
        <x:is>
          <x:t>Negada</x:t>
        </x:is>
      </x:c>
      <x:c r="G42" s="3" t="inlineStr">
        <x:is>
          <x:t>APOTHEKANNA ALIVIUM</x:t>
        </x:is>
      </x:c>
      <x:c r="H42" s="3" t="inlineStr">
        <x:is>
          <x:t> APOTHEKANNA S.A.S., CR 3 # 11- 32, CALI, VALLE DEL CAUCA, CO</x:t>
        </x:is>
      </x:c>
      <x:c r="I42" s="3" t="inlineStr">
        <x:is>
          <x:t>3, 5, 35</x:t>
        </x:is>
      </x:c>
      <x:c r="J42" s="3" t="inlineStr">
        <x:is>
          <x:t>11</x:t>
        </x:is>
      </x:c>
      <x:c r="K42" s="3" t="inlineStr">
        <x:is>
          <x:t>3. Fragancias; aceites esenciales; aceites esenciales a base de cáñamo; aceites esenciales de aromaterapia; aceites esenciales naturales; aceites esenciales para uso cosmético; cremas cosméticas detoxificantes fitoactivas; preparaciones fito-cosméticas; aceites cosméticos; aceites para uso cosmético; cosméticos; cosméticos naturales; productos cosméticos de cbd; productos de perfumería, aceites esenciales, cosméticos, lociones capilares; cosméticos a base de cannabis; aceites de cáñamo a base de cbd para uso cosmético.
5. Productos farmacéuticos; productos farmacéuticos homeopáticos; productos farmacéuticos para uso humano; cannabis medicinal en forma de aceites para facilitar la administración de fármacos.
35. Servicios de publicidad en relación con productos farmacéuticos; servicio de distribución comercial en el ámbito de los cosméticos; servicios de distribución comercial al por mayor de productos cosméticos; servicios de publicidad en relación con productos cosméticos; servicios de venta minorista o mayorista de productos cosméticos; comercialización; comercialización de productos; comercialización por internet; servicios de presentación de productos de comercialización; creación de redes comerciales; promoción comercial de productos.
</x:t>
        </x:is>
      </x:c>
      <x:c r="L42" s="3" t="inlineStr">
        <x:is>
          <x:t>No</x:t>
        </x:is>
      </x:c>
      <x:c r="M42" s="3" t="inlineStr">
        <x:is>
          <x:t>LUISA FERNANDA  HERRERA SIERRA, Calle 69 No. 04-48, BOGOTÁ, D.C., CO</x:t>
        </x:is>
      </x:c>
      <x:c r="N42" s="3" t="inlineStr">
        <x:is>
          <x:t/>
        </x:is>
      </x:c>
      <x:c r="O42" s="3" t="inlineStr">
        <x:is>
          <x:t>07 feb. 2022</x:t>
        </x:is>
      </x:c>
      <x:c r="P42" s="3" t="inlineStr">
        <x:is>
          <x:t/>
        </x:is>
      </x:c>
      <x:c r="Q42" s="3" t="inlineStr">
        <x:is>
          <x:t/>
        </x:is>
      </x:c>
    </x:row>
    <x:row r="43">
      <x:c r="A43" s="10" t="inlineStr">
        <x:f xml:space="preserve">HYPERLINK("http://sipi.sic.gov.co/sipi/View.ashx?3892269","SD2022/0011121")</x:f>
      </x:c>
      <x:c r="B43" s="3" t="inlineStr">
        <x:is>
          <x:t>KaoVital</x:t>
        </x:is>
      </x:c>
      <x:c r="C43" s="9" t="inlineStr">
        <x:is>
          <x:t/>
        </x:is>
      </x:c>
      <x:c r="D43" s="3" t="inlineStr">
        <x:is>
          <x:t>08 feb. 2022</x:t>
        </x:is>
      </x:c>
      <x:c r="E43" s="3" t="inlineStr">
        <x:is>
          <x:t/>
        </x:is>
      </x:c>
      <x:c r="F43" s="3" t="inlineStr">
        <x:is>
          <x:t>Negada</x:t>
        </x:is>
      </x:c>
      <x:c r="G43" s="3" t="inlineStr">
        <x:is>
          <x:t>KaoVital</x:t>
        </x:is>
      </x:c>
      <x:c r="H43" s="3" t="inlineStr">
        <x:is>
          <x:t>Viviana Ortega, Av 5 C Bis Oeste # 47B-15, CALI, VALLE DEL CAUCA, CO; Daniel Quinayás Tello, Calle 55N #2AN -107, CALI, VALLE DEL CAUCA, VALLE DEL CAUCA, CO; Diana Alejandra Portilla Ortiz, Carrera 1E #62A-02, CALI, VALLE DEL CAUCA, VALLE DEL CAUCA, CO</x:t>
        </x:is>
      </x:c>
      <x:c r="I43" s="3" t="inlineStr">
        <x:is>
          <x:t>3</x:t>
        </x:is>
      </x:c>
      <x:c r="J43" s="3" t="inlineStr">
        <x:is>
          <x:t>11</x:t>
        </x:is>
      </x:c>
      <x:c r="K43" s="3" t="inlineStr">
        <x:is>
          <x:t>3. Jabones no medicinales; productos de perfumería, aceites esenciales, cosméticos no medicinales, lociones capilares no medicinales; dentífricos no medicinales; barras de labios con protección solar [cosméticos]; bloqueador solar [cosméticos]; colonias, perfumes y productos cosméticos; correctores de imperfecciones [productos cosméticos]; cosméticos; cosméticos a base de hierbas; cosméticos ecológicos; cosméticos naturales; cosméticos orgánicos; cosméticos para el cabello; cosméticos para el cuero cabelludo; cosméticos para las cejas; cosméticos para pestañas; cosméticos y preparaciones de cuidado personal; cremas corporales [cosméticos]; cremas de limpieza [cosméticos]; exfoliantes corporales cosméticos; geles cosméticos; hidratantes faciales [cosméticos]; jabones cosméticos; limpiadores cosméticos cutáneos; productos cosméticos a base de hierbas; champúes para el cabello; champús corporales; champús en barritas sólidas; champús para animales [preparaciones higiénicas no medicinales]; champús y acondicionadores; serum para el contorno de ojos; cera depilatoria.
</x:t>
        </x:is>
      </x:c>
      <x:c r="L43" s="3" t="inlineStr">
        <x:is>
          <x:t>No</x:t>
        </x:is>
      </x:c>
      <x:c r="M43" s="3" t="inlineStr">
        <x:is>
          <x:t/>
        </x:is>
      </x:c>
      <x:c r="N43" s="3" t="inlineStr">
        <x:is>
          <x:t/>
        </x:is>
      </x:c>
      <x:c r="O43" s="3" t="inlineStr">
        <x:is>
          <x:t>08 mar. 2022</x:t>
        </x:is>
      </x:c>
      <x:c r="P43" s="3" t="inlineStr">
        <x:is>
          <x:t/>
        </x:is>
      </x:c>
      <x:c r="Q43" s="3" t="inlineStr">
        <x:is>
          <x:t/>
        </x:is>
      </x:c>
    </x:row>
    <x:row r="44">
      <x:c r="A44" s="10" t="inlineStr">
        <x:f xml:space="preserve">HYPERLINK("http://sipi.sic.gov.co/sipi/View.ashx?3892435","SD2022/0007873")</x:f>
      </x:c>
      <x:c r="B44" s="3" t="inlineStr">
        <x:is>
          <x:t>ARTICARE</x:t>
        </x:is>
      </x:c>
      <x:c r="C44" s="3" t="inlineStr">
        <x:is>
          <x:t/>
        </x:is>
      </x:c>
      <x:c r="D44" s="3" t="inlineStr">
        <x:is>
          <x:t>28 ene. 2022</x:t>
        </x:is>
      </x:c>
      <x:c r="E44" s="3" t="inlineStr">
        <x:is>
          <x:t/>
        </x:is>
      </x:c>
      <x:c r="F44" s="3" t="inlineStr">
        <x:is>
          <x:t>Negada</x:t>
        </x:is>
      </x:c>
      <x:c r="G44" s="3" t="inlineStr">
        <x:is>
          <x:t>ARTICARE</x:t>
        </x:is>
      </x:c>
      <x:c r="H44" s="3" t="inlineStr">
        <x:is>
          <x:t> HUMANCARE S.A.S., Calle 162 # 21-68, BOGOTÁ, D.C., CO</x:t>
        </x:is>
      </x:c>
      <x:c r="I44" s="3" t="inlineStr">
        <x:is>
          <x:t>3, 5</x:t>
        </x:is>
      </x:c>
      <x:c r="J44" s="3" t="inlineStr">
        <x:is>
          <x:t>11</x:t>
        </x:is>
      </x:c>
      <x:c r="K44" s="3" t="inlineStr">
        <x:is>
          <x:t>3. Productos cosméticos no medicinales, jabones no medicinales, cosmecéuticos, productos de higiene doméstica, productos de perfumería, aceites esenciales, lociones capilares no medicinales, dentífricos no medicinales.
5. Productos farmacéuticos, preparaciones para uso médico como medicamentos, fitoterapéuticos y homeopáticos, productos higiénicos y sanitarios para uso médico, alimentos y sustancias dietéticas para uso médico, alimentos y complementos alimenticios para personas, suplementos dietarios, alimentos para propósito médico especial, productos absorbentes y de higiene personal.
</x:t>
        </x:is>
      </x:c>
      <x:c r="L44" s="3" t="inlineStr">
        <x:is>
          <x:t>No</x:t>
        </x:is>
      </x:c>
      <x:c r="M44" s="3" t="inlineStr">
        <x:is>
          <x:t>FRANCISCO ADOLFO ACOSTA DE LA ROSA, CARRERA 12 A No.137-51 Apto.611, BOGOTÁ, D.C., CO</x:t>
        </x:is>
      </x:c>
      <x:c r="N44" s="3" t="inlineStr">
        <x:is>
          <x:t/>
        </x:is>
      </x:c>
      <x:c r="O44" s="3" t="inlineStr">
        <x:is>
          <x:t>19 abr. 2022</x:t>
        </x:is>
      </x:c>
      <x:c r="P44" s="3" t="inlineStr">
        <x:is>
          <x:t/>
        </x:is>
      </x:c>
      <x:c r="Q44" s="3" t="inlineStr">
        <x:is>
          <x:t/>
        </x:is>
      </x:c>
    </x:row>
    <x:row r="45">
      <x:c r="A45" s="10" t="inlineStr">
        <x:f xml:space="preserve">HYPERLINK("http://sipi.sic.gov.co/sipi/View.ashx?3892528","SD2022/0007878")</x:f>
      </x:c>
      <x:c r="B45" s="3" t="inlineStr">
        <x:is>
          <x:t>MAMALINA</x:t>
        </x:is>
      </x:c>
      <x:c r="C45" s="3" t="inlineStr">
        <x:is>
          <x:t/>
        </x:is>
      </x:c>
      <x:c r="D45" s="3" t="inlineStr">
        <x:is>
          <x:t>28 ene. 2022</x:t>
        </x:is>
      </x:c>
      <x:c r="E45" s="3" t="inlineStr">
        <x:is>
          <x:t/>
        </x:is>
      </x:c>
      <x:c r="F45" s="3" t="inlineStr">
        <x:is>
          <x:t>Negada</x:t>
        </x:is>
      </x:c>
      <x:c r="G45" s="3" t="inlineStr">
        <x:is>
          <x:t>MAMALINA</x:t>
        </x:is>
      </x:c>
      <x:c r="H45" s="3" t="inlineStr">
        <x:is>
          <x:t> HUMANCARE S.A.S., Calle 162 # 21-68, BOGOTÁ, D.C., CO</x:t>
        </x:is>
      </x:c>
      <x:c r="I45" s="3" t="inlineStr">
        <x:is>
          <x:t>3, 5</x:t>
        </x:is>
      </x:c>
      <x:c r="J45" s="3" t="inlineStr">
        <x:is>
          <x:t>11</x:t>
        </x:is>
      </x:c>
      <x:c r="K45" s="3" t="inlineStr">
        <x:is>
          <x:t>3. Productos cosméticos no medicinales, jabones no medicinales, cosmecéuticos, productos de higiene doméstica, productos de perfumería, aceites esenciales, lociones capilares no medicinales, dentífricos no medicinales.
5. Productos farmacéuticos, preparaciones para uso médico como medicamentos, fitoterapéuticos y homeopáticos, productos higiénicos y sanitarios para uso médico, alimentos y sustancias dietéticas para uso médico, alimentos y complementos alimenticios para personas, suplementos dietarios, alimentos para propósito médico especial, productos absorbentes y de higiene personal.
</x:t>
        </x:is>
      </x:c>
      <x:c r="L45" s="3" t="inlineStr">
        <x:is>
          <x:t>No</x:t>
        </x:is>
      </x:c>
      <x:c r="M45" s="3" t="inlineStr">
        <x:is>
          <x:t>FRANCISCO ADOLFO ACOSTA DE LA ROSA, CARRERA 12 A No.137-51 Apto.611, BOGOTÁ, D.C., CO</x:t>
        </x:is>
      </x:c>
      <x:c r="N45" s="3" t="inlineStr">
        <x:is>
          <x:t/>
        </x:is>
      </x:c>
      <x:c r="O45" s="3" t="inlineStr">
        <x:is>
          <x:t>19 abr. 2022</x:t>
        </x:is>
      </x:c>
      <x:c r="P45" s="3" t="inlineStr">
        <x:is>
          <x:t/>
        </x:is>
      </x:c>
      <x:c r="Q45" s="3" t="inlineStr">
        <x:is>
          <x:t/>
        </x:is>
      </x:c>
    </x:row>
    <x:row r="46">
      <x:c r="A46" s="10" t="inlineStr">
        <x:f xml:space="preserve">HYPERLINK("http://sipi.sic.gov.co/sipi/View.ashx?3893944","SD2022/0008654")</x:f>
      </x:c>
      <x:c r="B46" s="3" t="inlineStr">
        <x:is>
          <x:t>Selvoria</x:t>
        </x:is>
      </x:c>
      <x:c r="C46" s="9" t="inlineStr">
        <x:is>
          <x:t/>
        </x:is>
      </x:c>
      <x:c r="D46" s="3" t="inlineStr">
        <x:is>
          <x:t>01 feb. 2022</x:t>
        </x:is>
      </x:c>
      <x:c r="E46" s="3" t="inlineStr">
        <x:is>
          <x:t/>
        </x:is>
      </x:c>
      <x:c r="F46" s="3" t="inlineStr">
        <x:is>
          <x:t>Negada</x:t>
        </x:is>
      </x:c>
      <x:c r="G46" s="3" t="inlineStr">
        <x:is>
          <x:t>PA-PO-IT589</x:t>
        </x:is>
      </x:c>
      <x:c r="H46" s="3" t="inlineStr">
        <x:is>
          <x:t>YESIKA  ROJAS CACERES , Calle 69a No. 24 37 , MANIZALES, CALDAS 17001, CO</x:t>
        </x:is>
      </x:c>
      <x:c r="I46" s="3" t="inlineStr">
        <x:is>
          <x:t>3</x:t>
        </x:is>
      </x:c>
      <x:c r="J46" s="3" t="inlineStr">
        <x:is>
          <x:t>11</x:t>
        </x:is>
      </x:c>
      <x:c r="K46" s="3" t="inlineStr">
        <x:is>
          <x:t>3. Cosméticos; cosméticos a base de hierbas; cosméticos biológicos; cosméticos de belleza; cosméticos ecológicos; cosméticos naturales; cosméticos orgánicos; cosméticos para tratamiento de belleza cosméticos para el cuidado de belleza; cosméticos y preparaciones de cuidado personal; cremas de limpieza [cosméticos]; cremas de limpieza [productos cosméticos]; cremas hidratantes para la piel [cosméticos]; cremas limpiadoras [cosméticos]; cremas limpiadoras [productos cosméticos]; cremas para la cara [cosméticos]; cremas tonificantes [cosméticos]; cremas y geles cosméticos para cara, manos y cuerpo; cremas y geles cosméticos para rostro, manos y cuerpo; exfoliantes corporales cosméticos; geles corporales y faciales [cosméticos]; geles cosméticos; geles hidratantes [cosméticos]; geles para la cara [cosméticos]; hidratantes [cosméticos]; hidratantes faciales [cosméticos]; hidratantes para la piel utilizados como cosméticos;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hidratantes [cosméticos]; lociones hidratantes para la piel [cosméticos]; maquillaje [cosméticos]; polvos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para el cuidado corporal; productos cosméticos para el cuidado de la piel; productos cosméticos para la piel; productos cosméticos para uso personal; productos cosméticos y de belleza; productos cosméticos y de maquillaje; tónicos cosméticos; tónicos cosméticos para el rostro; tónicos cosméticos para la cara; tónicos faciales [cosméticos].
</x:t>
        </x:is>
      </x:c>
      <x:c r="L46" s="3" t="inlineStr">
        <x:is>
          <x:t>No</x:t>
        </x:is>
      </x:c>
      <x:c r="M46" s="3" t="inlineStr">
        <x:is>
          <x:t>NATALI  RAMIREZ GARCIA, CALLE 69A No.24-37, MANIZALES, CALDAS, CO</x:t>
        </x:is>
      </x:c>
      <x:c r="N46" s="3" t="inlineStr">
        <x:is>
          <x:t/>
        </x:is>
      </x:c>
      <x:c r="O46" s="3" t="inlineStr">
        <x:is>
          <x:t>17 feb. 2022</x:t>
        </x:is>
      </x:c>
      <x:c r="P46" s="3" t="inlineStr">
        <x:is>
          <x:t/>
        </x:is>
      </x:c>
      <x:c r="Q46" s="3" t="inlineStr">
        <x:is>
          <x:t/>
        </x:is>
      </x:c>
    </x:row>
    <x:row r="47">
      <x:c r="A47" s="10" t="inlineStr">
        <x:f xml:space="preserve">HYPERLINK("http://sipi.sic.gov.co/sipi/View.ashx?3896065","SD2022/0008505")</x:f>
      </x:c>
      <x:c r="B47" s="3" t="inlineStr">
        <x:is>
          <x:t>EXTREMCLEAN</x:t>
        </x:is>
      </x:c>
      <x:c r="C47" s="3" t="inlineStr">
        <x:is>
          <x:t/>
        </x:is>
      </x:c>
      <x:c r="D47" s="3" t="inlineStr">
        <x:is>
          <x:t>01 feb. 2022</x:t>
        </x:is>
      </x:c>
      <x:c r="E47" s="3" t="inlineStr">
        <x:is>
          <x:t/>
        </x:is>
      </x:c>
      <x:c r="F47" s="3" t="inlineStr">
        <x:is>
          <x:t>Negada</x:t>
        </x:is>
      </x:c>
      <x:c r="G47" s="3" t="inlineStr">
        <x:is>
          <x:t>EXTREMCLEAN</x:t>
        </x:is>
      </x:c>
      <x:c r="H47" s="3" t="inlineStr">
        <x:is>
          <x:t>MICHEL LEANDRO BOHORQUEZ ARIAS, CALLE 25 C # 84 B 38 PISO 3, BOGOTA, CUNDINAMARCA 110911, CO</x:t>
        </x:is>
      </x:c>
      <x:c r="I47" s="3" t="inlineStr">
        <x:is>
          <x:t>3</x:t>
        </x:is>
      </x:c>
      <x:c r="J47" s="3" t="inlineStr">
        <x:is>
          <x:t>11</x:t>
        </x:is>
      </x:c>
      <x:c r="K47" s="3" t="inlineStr">
        <x:is>
          <x:t>3. Esponjas impregnadas con jabón; jabón de afeitar; jabón de almendras; jabón de aloe vera; jabón de baño; jabón en polvo; jabón en polvo para la colada; jabón en polvo para lavar; jabón en seco; jabón granulado; jabón líquido para lavar la loza; productos de jabón; jabones detergentes; jabones industriales; jabones líquidos; jabones líquidos para baños de pies; jabones líquidos para el baño; jabones para alfombras; jabones para el cuerpo; jabones para el cuidado del cuerpo; jabones para la piel; jabones para lavar la ropa; jabones para uso personal; jabones perfumados; jabones y detergentes; jabones*.
</x:t>
        </x:is>
      </x:c>
      <x:c r="L47" s="3" t="inlineStr">
        <x:is>
          <x:t>Sí</x:t>
        </x:is>
      </x:c>
      <x:c r="M47" s="3" t="inlineStr">
        <x:is>
          <x:t/>
        </x:is>
      </x:c>
      <x:c r="N47" s="3" t="inlineStr">
        <x:is>
          <x:t/>
        </x:is>
      </x:c>
      <x:c r="O47" s="3" t="inlineStr">
        <x:is>
          <x:t>18 mar. 2022</x:t>
        </x:is>
      </x:c>
      <x:c r="P47" s="3" t="inlineStr">
        <x:is>
          <x:t/>
        </x:is>
      </x:c>
      <x:c r="Q47" s="3" t="inlineStr">
        <x:is>
          <x:t/>
        </x:is>
      </x:c>
    </x:row>
    <x:row r="48">
      <x:c r="A48" s="10" t="inlineStr">
        <x:f xml:space="preserve">HYPERLINK("http://sipi.sic.gov.co/sipi/View.ashx?3896753","SD2022/0008646")</x:f>
      </x:c>
      <x:c r="B48" s="3" t="inlineStr">
        <x:is>
          <x:t>VERONNI</x:t>
        </x:is>
      </x:c>
      <x:c r="C48" s="3" t="inlineStr">
        <x:is>
          <x:t/>
        </x:is>
      </x:c>
      <x:c r="D48" s="3" t="inlineStr">
        <x:is>
          <x:t>01 feb. 2022</x:t>
        </x:is>
      </x:c>
      <x:c r="E48" s="3" t="inlineStr">
        <x:is>
          <x:t/>
        </x:is>
      </x:c>
      <x:c r="F48" s="3" t="inlineStr">
        <x:is>
          <x:t>Negada</x:t>
        </x:is>
      </x:c>
      <x:c r="G48" s="3" t="inlineStr">
        <x:is>
          <x:t>Proceso de Registro de Marca VERONNI</x:t>
        </x:is>
      </x:c>
      <x:c r="H48" s="3" t="inlineStr">
        <x:is>
          <x:t>ASBEYDI  JAIMES HURTADO, CALLE 11 # 10-50, CUCUTA, NORTE DE SANTANDER, CO</x:t>
        </x:is>
      </x:c>
      <x:c r="I48" s="3" t="inlineStr">
        <x:is>
          <x:t>3</x:t>
        </x:is>
      </x:c>
      <x:c r="J48" s="3" t="inlineStr">
        <x:is>
          <x:t>11</x:t>
        </x:is>
      </x:c>
      <x:c r="K48" s="3" t="inlineStr">
        <x:is>
          <x:t>3. Cosméticos; maquillaje; cosméticos y preparaciones cosméticas; barras de labios; barras de labios con protección solar [cosméticos]; barras de labios en stick con protección solar [cosméticos]; barras de labios hidratantes; bases neutralizantes para labios; brillos de labios; colorantes de labios; colorantes de labios [cosméticos]; cosméticos para los labios; cremas para los labios; estuches para lápices de labios; estuches para pintalabios; lápices de labios; lápices de labios [pintalabios]; lápices de labios [pintalabios] hidratantes; lápices de labios hidratantes; perfiladores de labios; pintalabios; pintalabios hidratantes; preparaciones no medicinales para el cuidado de los labios; tintes de labios; tintes para los labios; bálsamos labiales; bálsamos labiales no medicinales; crema corporal para uso cosmético; cremas de limpieza [para uso cosmético]; cremas, leches, lociones, geles y polvos cosméticos para la cara, el cuerpo y las manos; bases de maquillaje; bases de maquillaje cremosas; bases de maquillaje en crema; bases de maquillaje líquidas; bases de maquillaje para la piel; fondo de maquillaje; kits de cosméticos que comprenden principalmente máscara de pestañas, lápices de labios, lápices de cejas, maquillaje, fundación de maquillaje y brillos de labios; maquillaje para la piel; maquillaje para los ojos; maquillajes de base; maquillajes de base en crema; maquillajes de ojos; maquillajes faciales; polvos de maquillaje; preparaciones de maquillaje para la cara y el cuerpo; productos cosméticos y de maquillaje; sprays para fijar el maquillaje; cosméticos para cuidados corporales y estéticos; cosméticos para tratamiento de belleza cosméticos para el cuidado de belleza; cosméticos y preparaciones de cuidado personal; cremas cosméticas para el cuidado de la piel; cremas y lociones cosméticas para el cuidado de la cara y el cuerpo; emulsiones, geles y lociones para el cuidado de la piel; espumas para el cuidado de la piel; leches limpiadoras para el cuidado de la piel; lociones cosméticas para el cuidado de la piel; lociones lechosas para el cuidado de la piel; mascarillas para el cuidado de la piel de las manos; preparaciones de cuidado facial; cremas exfoliantes; exfoliantes; exfoliantes [preparaciones cosméticas]; exfoliantes corporales; exfoliantes faciales; aceites de protección solar; preparaciones cosméticas de protección solar; preparaciones de protección solar; aceites destilados para el cuidado de belleza; baños de aceite para el cuidado del cabello; cosméticos para el cuidado del cuerpo; aceites esenciales; esencias etéreas.
</x:t>
        </x:is>
      </x:c>
      <x:c r="L48" s="3" t="inlineStr">
        <x:is>
          <x:t>Sí</x:t>
        </x:is>
      </x:c>
      <x:c r="M48" s="3" t="inlineStr">
        <x:is>
          <x:t>RODRIGO  VANEGAS GAVIRIA, CALLE 52 # 47-28 OF.329, MEDELLIN, ANTIOQUIA 050001, CO</x:t>
        </x:is>
      </x:c>
      <x:c r="N48" s="3" t="inlineStr">
        <x:is>
          <x:t/>
        </x:is>
      </x:c>
      <x:c r="O48" s="3" t="inlineStr">
        <x:is>
          <x:t>17 feb. 2022</x:t>
        </x:is>
      </x:c>
      <x:c r="P48" s="3" t="inlineStr">
        <x:is>
          <x:t/>
        </x:is>
      </x:c>
      <x:c r="Q48" s="3" t="inlineStr">
        <x:is>
          <x:t/>
        </x:is>
      </x:c>
    </x:row>
    <x:row r="49">
      <x:c r="A49" s="10" t="inlineStr">
        <x:f xml:space="preserve">HYPERLINK("http://sipi.sic.gov.co/sipi/View.ashx?3897083","SD2022/0008715")</x:f>
      </x:c>
      <x:c r="B49" s="3" t="inlineStr">
        <x:is>
          <x:t>MINKA</x:t>
        </x:is>
      </x:c>
      <x:c r="C49" s="3" t="inlineStr">
        <x:is>
          <x:t/>
        </x:is>
      </x:c>
      <x:c r="D49" s="3" t="inlineStr">
        <x:is>
          <x:t>01 feb. 2022</x:t>
        </x:is>
      </x:c>
      <x:c r="E49" s="3" t="inlineStr">
        <x:is>
          <x:t/>
        </x:is>
      </x:c>
      <x:c r="F49" s="3" t="inlineStr">
        <x:is>
          <x:t>Negada</x:t>
        </x:is>
      </x:c>
      <x:c r="G49" s="3" t="inlineStr">
        <x:is>
          <x:t/>
        </x:is>
      </x:c>
      <x:c r="H49" s="3" t="inlineStr">
        <x:is>
          <x:t> NEW TECHNOLOGY SERVICES S.A.S., KR 65 # 5 - 34, CALI, VALLE DEL CAUCA, CO</x:t>
        </x:is>
      </x:c>
      <x:c r="I49" s="3" t="inlineStr">
        <x:is>
          <x:t>3</x:t>
        </x:is>
      </x:c>
      <x:c r="J49" s="3" t="inlineStr">
        <x:is>
          <x:t>11</x:t>
        </x:is>
      </x:c>
      <x:c r="K49" s="3" t="inlineStr">
        <x:is>
          <x:t>3. Aceites cosméticos; colonias, perfumes y productos cosméticos; cosméticos; cosméticos biológicos; cosméticos de belleza; cosméticos ecológicos; cosméticos naturales; cremas con vitamina a para uso cosmético.
</x:t>
        </x:is>
      </x:c>
      <x:c r="L49" s="3" t="inlineStr">
        <x:is>
          <x:t>No</x:t>
        </x:is>
      </x:c>
      <x:c r="M49" s="3" t="inlineStr">
        <x:is>
          <x:t>AIDA LUCIA CERTUCHE CANDELO, CL 64N 5BN 145 OF 314A, CALI, VALLE DEL CAUCA, CO</x:t>
        </x:is>
      </x:c>
      <x:c r="N49" s="3" t="inlineStr">
        <x:is>
          <x:t/>
        </x:is>
      </x:c>
      <x:c r="O49" s="3" t="inlineStr">
        <x:is>
          <x:t>07 feb. 2022</x:t>
        </x:is>
      </x:c>
      <x:c r="P49" s="3" t="inlineStr">
        <x:is>
          <x:t/>
        </x:is>
      </x:c>
      <x:c r="Q49" s="3" t="inlineStr">
        <x:is>
          <x:t/>
        </x:is>
      </x:c>
    </x:row>
    <x:row r="50">
      <x:c r="A50" s="10" t="inlineStr">
        <x:f xml:space="preserve">HYPERLINK("http://sipi.sic.gov.co/sipi/View.ashx?3901185","SD2022/0009663")</x:f>
      </x:c>
      <x:c r="B50" s="3" t="inlineStr">
        <x:is>
          <x:t>Nube Rosa</x:t>
        </x:is>
      </x:c>
      <x:c r="C50" s="9" t="inlineStr">
        <x:is>
          <x:t/>
        </x:is>
      </x:c>
      <x:c r="D50" s="3" t="inlineStr">
        <x:is>
          <x:t>03 feb. 2022</x:t>
        </x:is>
      </x:c>
      <x:c r="E50" s="3" t="inlineStr">
        <x:is>
          <x:t/>
        </x:is>
      </x:c>
      <x:c r="F50" s="3" t="inlineStr">
        <x:is>
          <x:t>Negada</x:t>
        </x:is>
      </x:c>
      <x:c r="G50" s="3" t="inlineStr">
        <x:is>
          <x:t>Solicitud NUBE ROSA</x:t>
        </x:is>
      </x:c>
      <x:c r="H50" s="3" t="inlineStr">
        <x:is>
          <x:t>PABLO DAVID TANGARIFE GIL, Calle 32 F # 63 A 33, MEDELLIN, ANTIOQUIA, CO</x:t>
        </x:is>
      </x:c>
      <x:c r="I50" s="3" t="inlineStr">
        <x:is>
          <x:t>3</x:t>
        </x:is>
      </x:c>
      <x:c r="J50" s="3" t="inlineStr">
        <x:is>
          <x:t>11</x:t>
        </x:is>
      </x:c>
      <x:c r="K50" s="3" t="inlineStr">
        <x:is>
          <x:t>3. Maquillaje; maquillaje [cosméticos]; maquillaje para el rostro y el cuerpo; maquillaje para los ojos; productos cosméticos y de maquillaje; aceites bronceadores [cosméticos]; aceites cosméticos; aceites cosméticos para la piel; aceites de baño para uso cosmético; aceites para el cuerpo de uso cosmético; aceites puros para uso cosmético; aerosoles cosméticos de uso tópico para la piel; algodón y bastoncillos de algodón para uso cosmético; almohadillas limpiadoras impregnadas de productos cosméticos; autobronceadores [cosméticos]; barras de labios con protección solar [cosméticos]; brillos para uso cosmético; colorantes de labios [cosméticos]; composiciones para aclarar la piel [cosméticos]; compresas oculares para uso cosmético; correctores de imperfecciones [productos cosméticos]; cosméticos ecológicos; cosméticos en forma de cremas; cosméticos en forma de polvos; cosméticos naturales; cosméticos no medicinales; cosméticos orgánicos; cosméticos para cuidados corporales y estéticos; cosméticos para el cabello; cosméticos para el cuero cabelludo; cosméticos para las cejas; cosméticos para los labios; cosméticos para pestañas; cosméticos para polveras; cosméticos para tratamiento de belleza cosméticos para el cuidado de belleza; crema corporal para uso cosmético; cremas acondicionadoras para la piel, de uso cosmético; cremas antiarrugas para uso cosmético; cremas con filtro solar para uso cosmético; cremas corporales [cosméticos]; cremas de limpieza [cosméticos]; cremas exfoliantes para uso cosmético; cremas faciales para uso cosmético; cremas hidratantes para la piel [cosméticos]; cremas limpiadoras [cosméticos]; cremas para el cabello de uso cosmético; cremas para el cuerpo [cosméticos]; cremas para los ojos de uso cosmético; cremas perfumadas para uso cosmético; cremas reparadoras para la piel [cosméticos]; cremas tonificantes [cosméticos]; cremas y geles cosméticos para rostro, manos y cuerpo; cremas, aceites, lociones, aerosoles, lápices y bálsamos para uso cosmético; cremas, leches, lociones, geles y polvos cosméticos para la cara, el cuerpo y las manos; emolientes para la piel de uso cosmético; emulsiones faciales para uso cosmético; enjuagues para el cabello de uso cosmético; esmaltes de base para las uñas [productos cosméticos]; extractos de plantas para uso cosmético; geles cosméticos; henna [tinte cosmético]; jabones cosméticos; joyas de piel para uso cosmético; kits de cosméticos que comprenden principalmente máscara de pestañas, lápices de labios, lápices de cejas, maquillaje, fundación de maquillaje y brillos de labios; leches, geles y aceites bronceadores y para después del sol, de uso cosmético; limpiadores cosméticos faciales; limpiadores cosméticos para la piel; manteca corporal para uso cosmético; mascarillas corporales para uso cosmético; mascarillas faciales [productos cosméticos]; parches de gel para los ojos con fines cosméticos; pañitos cosméticos prehumedecidos; perfumería para cosméticos; polvos cosméticos; pomadas para uso cosmético; preparaciones de colágeno para uso cosmético; preparaciones de cuidado facial [cosméticos]; preparaciones hidratantes [cosméticos]; productos cosméticos de cbd; productos cosméticos de baño y ducha; quitaesmalte para uñas [cosméticos]; reafirmantes en gel para el cuerpo para uso cosmético; revitalizantes cutáneos para uso cosmético; sales de baño para uso cosmético; serum para calmar la piel [cosmético]; sprays de agua mineral para uso cosmético; suavizantes para el cabello de uso cosmético; sueros para uso cosmético; talco para uso cosmético; tintes cosméticos; tónicos cosméticos.
</x:t>
        </x:is>
      </x:c>
      <x:c r="L50" s="3" t="inlineStr">
        <x:is>
          <x:t>Sí</x:t>
        </x:is>
      </x:c>
      <x:c r="M50" s="3" t="inlineStr">
        <x:is>
          <x:t>Santiago  Herrera Cardona, Carrera 15 46 142, MEDELLIN, ANTIOQUIA, CO</x:t>
        </x:is>
      </x:c>
      <x:c r="N50" s="3" t="inlineStr">
        <x:is>
          <x:t/>
        </x:is>
      </x:c>
      <x:c r="O50" s="3" t="inlineStr">
        <x:is>
          <x:t>18 mar. 2022</x:t>
        </x:is>
      </x:c>
      <x:c r="P50" s="3" t="inlineStr">
        <x:is>
          <x:t/>
        </x:is>
      </x:c>
      <x:c r="Q50" s="3" t="inlineStr">
        <x:is>
          <x:t/>
        </x:is>
      </x:c>
    </x:row>
    <x:row r="51">
      <x:c r="A51" s="10" t="inlineStr">
        <x:f xml:space="preserve">HYPERLINK("http://sipi.sic.gov.co/sipi/View.ashx?3902504","SD2022/0010293")</x:f>
      </x:c>
      <x:c r="B51" s="3" t="inlineStr">
        <x:is>
          <x:t>NURA</x:t>
        </x:is>
      </x:c>
      <x:c r="C51" s="9" t="inlineStr">
        <x:is>
          <x:t/>
        </x:is>
      </x:c>
      <x:c r="D51" s="3" t="inlineStr">
        <x:is>
          <x:t>05 feb. 2022</x:t>
        </x:is>
      </x:c>
      <x:c r="E51" s="3" t="inlineStr">
        <x:is>
          <x:t/>
        </x:is>
      </x:c>
      <x:c r="F51" s="3" t="inlineStr">
        <x:is>
          <x:t>Negada</x:t>
        </x:is>
      </x:c>
      <x:c r="G51" s="3" t="inlineStr">
        <x:is>
          <x:t/>
        </x:is>
      </x:c>
      <x:c r="H51" s="3" t="inlineStr">
        <x:is>
          <x:t>ANDREA CAMILA GONZALEZ FLOREZ, CRA 48 # 75 - 44 quisqueya, BARRANQUILLA, ATLÁNTICO, CO</x:t>
        </x:is>
      </x:c>
      <x:c r="I51" s="3" t="inlineStr">
        <x:is>
          <x:t>3</x:t>
        </x:is>
      </x:c>
      <x:c r="J51" s="3" t="inlineStr">
        <x:is>
          <x:t>11</x:t>
        </x:is>
      </x:c>
      <x:c r="K51" s="3" t="inlineStr">
        <x:is>
          <x:t>3. Productos cosméticos y preparaciones de tocador no medicinales; productos capilares, productos de perfumería, aceites; esenciales; shampoos y cremas corporales.
</x:t>
        </x:is>
      </x:c>
      <x:c r="L51" s="3" t="inlineStr">
        <x:is>
          <x:t>No</x:t>
        </x:is>
      </x:c>
      <x:c r="M51" s="3" t="inlineStr">
        <x:is>
          <x:t>Gustavo Trujillo Vanegas, Calle 8 B # 47-95, CALI, VALLE DEL CAUCA, CO</x:t>
        </x:is>
      </x:c>
      <x:c r="N51" s="3" t="inlineStr">
        <x:is>
          <x:t/>
        </x:is>
      </x:c>
      <x:c r="O51" s="3" t="inlineStr">
        <x:is>
          <x:t>29 jul. 2022</x:t>
        </x:is>
      </x:c>
      <x:c r="P51" s="3" t="inlineStr">
        <x:is>
          <x:t/>
        </x:is>
      </x:c>
      <x:c r="Q51" s="3" t="inlineStr">
        <x:is>
          <x:t/>
        </x:is>
      </x:c>
    </x:row>
    <x:row r="52">
      <x:c r="A52" s="10" t="inlineStr">
        <x:f xml:space="preserve">HYPERLINK("http://sipi.sic.gov.co/sipi/View.ashx?3902815","SD2022/0009967")</x:f>
      </x:c>
      <x:c r="B52" s="3" t="inlineStr">
        <x:is>
          <x:t>Knabico</x:t>
        </x:is>
      </x:c>
      <x:c r="C52" s="9" t="inlineStr">
        <x:is>
          <x:t/>
        </x:is>
      </x:c>
      <x:c r="D52" s="3" t="inlineStr">
        <x:is>
          <x:t>04 feb. 2022</x:t>
        </x:is>
      </x:c>
      <x:c r="E52" s="3" t="inlineStr">
        <x:is>
          <x:t/>
        </x:is>
      </x:c>
      <x:c r="F52" s="3" t="inlineStr">
        <x:is>
          <x:t>Negada</x:t>
        </x:is>
      </x:c>
      <x:c r="G52" s="3" t="inlineStr">
        <x:is>
          <x:t>CSA-KANABICO-CL3Y5</x:t>
        </x:is>
      </x:c>
      <x:c r="H52" s="3" t="inlineStr">
        <x:is>
          <x:t> HANNOVERSEAS SAS, Cl 129 A No. 93 51, BOGOTÁ, D.C., CO</x:t>
        </x:is>
      </x:c>
      <x:c r="I52" s="3" t="inlineStr">
        <x:is>
          <x:t>3, 5</x:t>
        </x:is>
      </x:c>
      <x:c r="J52" s="3" t="inlineStr">
        <x:is>
          <x:t>11</x:t>
        </x:is>
      </x:c>
      <x:c r="K52" s="3" t="inlineStr">
        <x:is>
          <x:t>3. Productos cosméticos a base de cannabis.
5. Productos medicinales y farmacéuticos a base de cannabis.
</x:t>
        </x:is>
      </x:c>
      <x:c r="L52" s="3" t="inlineStr">
        <x:is>
          <x:t>No</x:t>
        </x:is>
      </x:c>
      <x:c r="M52" s="3" t="inlineStr">
        <x:is>
          <x:t>ANDRES CASAS SANTOFIMIO, Carrera 17A No. 175 - 82, torre 6 apartamento 903, BOGOTA D.C., CUNDINAMARCA 110141650, CO</x:t>
        </x:is>
      </x:c>
      <x:c r="N52" s="3" t="inlineStr">
        <x:is>
          <x:t/>
        </x:is>
      </x:c>
      <x:c r="O52" s="3" t="inlineStr">
        <x:is>
          <x:t>29 abr. 2022</x:t>
        </x:is>
      </x:c>
      <x:c r="P52" s="3" t="inlineStr">
        <x:is>
          <x:t/>
        </x:is>
      </x:c>
      <x:c r="Q52" s="3" t="inlineStr">
        <x:is>
          <x:t/>
        </x:is>
      </x:c>
    </x:row>
    <x:row r="53">
      <x:c r="A53" s="10" t="inlineStr">
        <x:f xml:space="preserve">HYPERLINK("http://sipi.sic.gov.co/sipi/View.ashx?3903233","SD2022/0010051")</x:f>
      </x:c>
      <x:c r="B53" s="3" t="inlineStr">
        <x:is>
          <x:t>NEO</x:t>
        </x:is>
      </x:c>
      <x:c r="C53" s="9" t="inlineStr">
        <x:is>
          <x:t/>
        </x:is>
      </x:c>
      <x:c r="D53" s="3" t="inlineStr">
        <x:is>
          <x:t>04 feb. 2022</x:t>
        </x:is>
      </x:c>
      <x:c r="E53" s="3" t="inlineStr">
        <x:is>
          <x:t/>
        </x:is>
      </x:c>
      <x:c r="F53" s="3" t="inlineStr">
        <x:is>
          <x:t>Negada</x:t>
        </x:is>
      </x:c>
      <x:c r="G53" s="3" t="inlineStr">
        <x:is>
          <x:t/>
        </x:is>
      </x:c>
      <x:c r="H53" s="3" t="inlineStr">
        <x:is>
          <x:t>Laura Fernanda  Rojas Cubillos, Las mercedes, JAMUNDI, VALLE DEL CAUCA 764001, CO</x:t>
        </x:is>
      </x:c>
      <x:c r="I53" s="3" t="inlineStr">
        <x:is>
          <x:t>3</x:t>
        </x:is>
      </x:c>
      <x:c r="J53" s="3" t="inlineStr">
        <x:is>
          <x:t>11</x:t>
        </x:is>
      </x:c>
      <x:c r="K5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3" s="3" t="inlineStr">
        <x:is>
          <x:t>Sí</x:t>
        </x:is>
      </x:c>
      <x:c r="M53" s="3" t="inlineStr">
        <x:is>
          <x:t/>
        </x:is>
      </x:c>
      <x:c r="N53" s="3" t="inlineStr">
        <x:is>
          <x:t/>
        </x:is>
      </x:c>
      <x:c r="O53" s="3" t="inlineStr">
        <x:is>
          <x:t>17 feb. 2022</x:t>
        </x:is>
      </x:c>
      <x:c r="P53" s="3" t="inlineStr">
        <x:is>
          <x:t/>
        </x:is>
      </x:c>
      <x:c r="Q53" s="3" t="inlineStr">
        <x:is>
          <x:t/>
        </x:is>
      </x:c>
    </x:row>
    <x:row r="54">
      <x:c r="A54" s="10" t="inlineStr">
        <x:f xml:space="preserve">HYPERLINK("http://sipi.sic.gov.co/sipi/View.ashx?3904665","SD2022/0010358")</x:f>
      </x:c>
      <x:c r="B54" s="3" t="inlineStr">
        <x:is>
          <x:t>FAVORBEAUTY</x:t>
        </x:is>
      </x:c>
      <x:c r="C54" s="9" t="inlineStr">
        <x:is>
          <x:t/>
        </x:is>
      </x:c>
      <x:c r="D54" s="3" t="inlineStr">
        <x:is>
          <x:t>05 feb. 2022</x:t>
        </x:is>
      </x:c>
      <x:c r="E54" s="3" t="inlineStr">
        <x:is>
          <x:t/>
        </x:is>
      </x:c>
      <x:c r="F54" s="3" t="inlineStr">
        <x:is>
          <x:t>Negada</x:t>
        </x:is>
      </x:c>
      <x:c r="G54" s="3" t="inlineStr">
        <x:is>
          <x:t>FAVORBEAUTY</x:t>
        </x:is>
      </x:c>
      <x:c r="H54" s="3" t="inlineStr">
        <x:is>
          <x:t>LUIS EDUARDO GIRALDO RAMIREZ, Cra 80 c # 65-36, BOGOTÁ, D.C. 111071, CO</x:t>
        </x:is>
      </x:c>
      <x:c r="I54" s="3" t="inlineStr">
        <x:is>
          <x:t>3</x:t>
        </x:is>
      </x:c>
      <x:c r="J54" s="3" t="inlineStr">
        <x:is>
          <x:t>11</x:t>
        </x:is>
      </x:c>
      <x:c r="K54" s="3" t="inlineStr">
        <x:is>
          <x:t>3. Abrillantadores capilares; aceite de almendras; aceite de rosas; aceite esencial de coco; aceite fijador para el cabello; aceite para el peinado del cabello; aceites aromáticos; aceites bronceadores; aceites cosméticos; aceites de limpieza; aceites de masaje, no medicinales; aceites de tocador; aceites esenciales para uso cosmético; aceites esenciales para uso doméstico; aceites faciales; aceites para cutículas; aceites para el cabello; aceites para el cuerpo; aceites perfumados; aceites puros para uso cosmético; aceites solares de uso cosmético; aceites y lociones de masaje; aclaradores de uñas; acondicionadores de cabello; acondicionadores de cutícula; acondicionadores labiales; acondicionadores para el cabello; acondicionadores para la piel; adhesivos para falsas pestañas; adhesivos para fijar uñas postizas; adhesivos para fijar uñas y pestañas postizas; adhesivos para pegar las pestañas postizas; adhesivos para pegar las uñas postizas; adhesivos para pestañas postizas; aerosoles para afeitar; aerosoles perfumados para el cuerpo; agua micelar; agua micelar de limpieza; aguas de tocador; aguas de tocador perfumadas; aguas perfumadas; almohadillas de algodón para desmaquillar; almohadillas de algodón para uso cosmético; almohadillas de limpieza impregnadas con cosméticos; almohadillas de limpieza impregnadas con productos cosméticos; almohadillas de limpieza prehumedecidas; almohadillas de limpieza preimpregnadas; almohadillas para uso cosmético; almohadillas, toallitas o pañitos húmedos o impregnados de preparaciones limpiadoras; antifaces de gel; aromatizantes para fragancias; bandas abrasivas; barras de labios; barras de labios con protección solar [cosméticos]; barras de labios hidratantes; bases de maquillaje; bases de maquillaje cremosas; bases de maquillaje en crema; bases de maquillaje líquidas; bases de maquillaje para la piel; bases para esmaltes de uñas; blanqueadores para las uñas; brillantina; brillos corporales; brillos de labios; brillos de uñas para aplicar sobre el esmalte; brillos faciales; brillos faciales y corporales; brillos para uso cosmético; bronceadores para la piel; bálsamo acondicionador; bálsamos capilares; bálsamos labiales; bálsamos labiales no medicinales; calcomanías decorativas para uso cosmético; calcomanías decorativas para uñas; calcomanías para las uñas; champúes para el cabello; champús para el cuerpo; champús y acondicionadores; champús*; colonia; colorantes de labios; colorantes de tocador; colorantes labiales; colorantes para los labios; colorantes para los labios [productos cosméticos]; colorete en lápiz; colorete líquido; corrector facial; correctores antiojeras; correctores de imperfecciones [productos cosméticos]; correctores de líneas y arrugas faciales; correctores de ojos; cosméticos; cosméticos de belleza; cosméticos en forma de cremas; cosméticos en forma de polvos; cosméticos funcionales en cuanto preparaciones para blanquear la piel; cosméticos no medicinales; cosméticos para broncear la piel; cosméticos para cuidados corporales y estéticos; cosméticos para el cabello; cosméticos para las cejas; cosméticos para los labios; cosméticos para pestañas; cosméticos para polveras; crema corporal; crema en gel para matificar la piel; crema lavamanos; crema para aclarar la piel; crema para las manos; crema para peinar el cabello; cremas acondicionadoras; cremas bronceadoras; cremas cosméticas; cremas cosméticas de masaje; cremas de belleza; cremas desmaquillantes; cremas exfoliantes; cremas faciales; cremas hidratantes; cremas limpiadoras; cremas limpiadoras para la piel; cremas líquidas y sólidas para la piel; cremas para el cabello; cremas para el rostro; cremas para la piel; cremas para los labios; cremas para los ojos; cremas y lociones cosméticas; desmaquilladores; desmaquilladores de ojos; desmaquillantes de ojos; emulsiones faciales; emulsiones para el cuerpo; endurecedores de uñas; escarcha corporal; escarcha para las uñas; esmaltes de uñas; esmaltes de uñas en gel; esponjas impregnadas con jabones; esponjas impregnadas con jabón; espuma de baño; espuma de limpieza; espuma limpiadora; espumas [cosméticas]; espumas de baño; espumas de limpieza; exfoliante corporal; exfoliantes; exfoliantes [preparaciones cosméticas]; exfoliantes corporales; exfoliantes corporales cosméticos; exfoliantes corporales para uso cosmético; exfoliantes faciales; exfoliantes para el cuerpo; exfoliantes para la cara; exfoliantes para la piel; exfoliantes para labios; exfoliantes para uso cosmético; extensiones de pestañas; filtro solar [cosméticos]; fragancias; gel de baño; gel exfoliante, no medicinal; geles cosméticos; geles hidratantes; hidratantes; hojas abrasivas; jabones cosméticos; jabones de baño; jabones en crema; jabones faciales; jabones para la piel; jabones para las manos; jabones*; kits de maquillaje; lacas para el cabello; leches de limpieza facial; leches hidratantes; leches limpiadoras; limpiadores de la piel; limpiadores faciales; limpiadores para la cara; lociones capilares*; lociones corporales; lociones desmaquillantes; lociones faciales; lociones hidratantes; lápices de cejas; lápices de labios; lápices de labios [pintalabios]; lápices de labios [pintalabios] hidratantes; lápices de labios hidratantes; lápices de maquillaje; lápices de ojos; lápices de ojos para uso cosmético; lápices de párpados; lápices labiales; lápices labiales hidratantes; lápices para aplicar el esmalte de uñas; lápices para uso cosmético; lápices perfiladores de ojos; maquillaje; maquillaje [cosméticos]; maquillaje para el rostro; maquillaje para el rostro y el cuerpo; maquillaje para la cara; maquillaje para la cara y el cuerpo; maquillaje para la piel; maquillaje para los ojos; maquillaje para polveras; maquillajes de base; maquillajes de base en crema; maquillajes de ojos; maquillajes faciales; mascarillas cosméticas; mascarillas de belleza; mascarillas de belleza para el cabello; mascarillas de belleza para el contorno de los ojos; mascarillas de belleza para las manos; mascarillas desechables calentadas al vapor, que no sean para uso médico; mascarillas envasadas para uso cosmético;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hidratantes para la piel; mascarillas limpiadoras; mascarillas para el cabello; mascarillas para el cuidado capilar; mascarillas para el cuidado de la piel de las manos; mascarillas para el cuidado de la piel de los pies; mascarillas para el cuidado del cabello; mascarillas para la cara; mascarillas para la piel; mascarillas para la piel [cosméticos]; mascarillas para la piel de uso cosmético; máscara de pestañas; pañitos cosméticos prehumedecidos; pañitos de limpieza impregnados con preparaciones de tocador; pañitos de limpieza prehumedecidos; pañitos de limpieza preimpregnados; pañitos para bebés; paños de limpieza húmedos; paños de limpieza impregnados con detergente; paños húmedos para bebés; paños o toallitas impregnados de productos limpiadores para la piel; perfiladores de labios; perfiladores de ojos; perfumería para cosméticos; perfumería y fragancias; perfumes; perfumes líquidos; perfumes sólidos; perfumes y aguas de tocador; perfumes y colonias; pestañas postizas; polvo de cejas; polvo para el cabello; polvos compactos para polveras; polvos compactos para polveras [cosméticos]; polvos compactos para polveras cosméticas; polvos cosméticos; polvos de maquillaje; polvos faciales; polvos faciales [cosméticos]; polvos faciales compactos; polvos faciales cosméticos; polvos faciales para uso cosmético; polvos faciales sueltos; productos con filtro solar; productos cosméticos para la piel; productos cosméticos para las pestañas; productos cosméticos para uso personal; productos cosméticos y de belleza; productos cosméticos y de maquillaje; productos cosméticos y de tocador; productos cosméticos y preparaciones de tocador no medicinales; productos cosméticos, a saber, lociones; productos de afeitar; productos de maquillaje; productos de perfumería; productos de tocador no medicinales; productos depilatorios; productos hidratantes para el cabello; productos para aclarar la piel; productos para dar brillo; sombras de ojos; sombras de ojos en polvo o en lápiz; sombras de párpados; sprays para el cuerpo; sprays para el cuerpo de uso cosmético; sprays para fijar el maquillaje; suavizantes para el cabello; suavizantes para el cabello de uso cosmético; sueros de belleza; sueros faciales; sueros faciales para uso cosmético; sueros para el peinado del cabello; sueros para uso cosmético; tintes cosméticos; tintes de cejas; tintes de labios; tintes de labios [cosméticos]; tintes de labios para uso cosmético; tintes de pestañas; tintes labiales; tintes labiales [cosméticos]; tintes labiales [productos cosméticos]; tintes labiales para uso cosmético; tintes para cejas; tintes para los labios; tintes para los labios [productos cosméticos]; tiza para maquillaje; toallas de papel para las manos impregnadas de cosméticos; toallitas cosméticas prehumedecidas; toallitas de limpieza prehumedecidas; toallitas de limpieza preimpregnadas; toallitas limpiadoras para el rostro; toallitas para bebés; toallitas para el rostro; tónicos clarificadores faciales; tónicos cosméticos; tónicos cosméticos para el rostro; tónicos cosméticos para la cara; tónicos faciales; tónicos faciales [cosméticos]; tónicos para uso cosmético; uñas postizas.
</x:t>
        </x:is>
      </x:c>
      <x:c r="L54" s="3" t="inlineStr">
        <x:is>
          <x:t>No</x:t>
        </x:is>
      </x:c>
      <x:c r="M54" s="3" t="inlineStr">
        <x:is>
          <x:t/>
        </x:is>
      </x:c>
      <x:c r="N54" s="3" t="inlineStr">
        <x:is>
          <x:t/>
        </x:is>
      </x:c>
      <x:c r="O54" s="3" t="inlineStr">
        <x:is>
          <x:t>17 feb. 2022</x:t>
        </x:is>
      </x:c>
      <x:c r="P54" s="3" t="inlineStr">
        <x:is>
          <x:t/>
        </x:is>
      </x:c>
      <x:c r="Q54" s="3" t="inlineStr">
        <x:is>
          <x:t/>
        </x:is>
      </x:c>
    </x:row>
    <x:row r="55">
      <x:c r="A55" s="10" t="inlineStr">
        <x:f xml:space="preserve">HYPERLINK("http://sipi.sic.gov.co/sipi/View.ashx?3905081","SD2022/0014675")</x:f>
      </x:c>
      <x:c r="B55" s="3" t="inlineStr">
        <x:is>
          <x:t>ENGRAZIA SOY YO</x:t>
        </x:is>
      </x:c>
      <x:c r="C55" s="9" t="inlineStr">
        <x:is>
          <x:t/>
        </x:is>
      </x:c>
      <x:c r="D55" s="3" t="inlineStr">
        <x:is>
          <x:t>18 feb. 2022</x:t>
        </x:is>
      </x:c>
      <x:c r="E55" s="3" t="inlineStr">
        <x:is>
          <x:t/>
        </x:is>
      </x:c>
      <x:c r="F55" s="3" t="inlineStr">
        <x:is>
          <x:t>Negada</x:t>
        </x:is>
      </x:c>
      <x:c r="G55" s="3" t="inlineStr">
        <x:is>
          <x:t>ENGRAZIA SOY YO</x:t>
        </x:is>
      </x:c>
      <x:c r="H55" s="3" t="inlineStr">
        <x:is>
          <x:t> ENGRAZIA S.A.S, BARRIO CANTALEJO CALLE 159 #54-42 APTO 12-06, BOGOTA, CUNDINAMARCA 111176, CO</x:t>
        </x:is>
      </x:c>
      <x:c r="I55" s="3" t="inlineStr">
        <x:is>
          <x:t>3, 14, 25</x:t>
        </x:is>
      </x:c>
      <x:c r="J55" s="3" t="inlineStr">
        <x:is>
          <x:t>11</x:t>
        </x:is>
      </x:c>
      <x:c r="K55" s="3" t="inlineStr">
        <x:is>
          <x:t>3. Colonias, productos de perfumería, aceites esenciales, productos cosméticos y preparaciones de tocador no medicinales.
14. Artículos de joyería, piedras preciosas y semipreciosas; artículos de relojería e instrumentos cronométricos; artículos de bisutería.
25. Prendas de vestir, calzado, artículos de sombrerería; prendas de vestir bordadas.
</x:t>
        </x:is>
      </x:c>
      <x:c r="L55" s="3" t="inlineStr">
        <x:is>
          <x:t>No</x:t>
        </x:is>
      </x:c>
      <x:c r="M55" s="3" t="inlineStr">
        <x:is>
          <x:t>CLAUDIA LUZ ENGRACIA BOSSA OLMOS, CALLE 159 # 54 - 42 APTO 1206 TORRE 2 CONJUNTO MEDITERRANEO ALEJA, BOGOTÁ, D.C., CO</x:t>
        </x:is>
      </x:c>
      <x:c r="N55" s="3" t="inlineStr">
        <x:is>
          <x:t/>
        </x:is>
      </x:c>
      <x:c r="O55" s="3" t="inlineStr">
        <x:is>
          <x:t>28 feb. 2022</x:t>
        </x:is>
      </x:c>
      <x:c r="P55" s="3" t="inlineStr">
        <x:is>
          <x:t/>
        </x:is>
      </x:c>
      <x:c r="Q55" s="3" t="inlineStr">
        <x:is>
          <x:t/>
        </x:is>
      </x:c>
    </x:row>
    <x:row r="56">
      <x:c r="A56" s="10" t="inlineStr">
        <x:f xml:space="preserve">HYPERLINK("http://sipi.sic.gov.co/sipi/View.ashx?3905128","SD2022/0010453")</x:f>
      </x:c>
      <x:c r="B56" s="3" t="inlineStr">
        <x:is>
          <x:t>LIRU</x:t>
        </x:is>
      </x:c>
      <x:c r="C56" s="3" t="inlineStr">
        <x:is>
          <x:t/>
        </x:is>
      </x:c>
      <x:c r="D56" s="3" t="inlineStr">
        <x:is>
          <x:t>07 feb. 2022</x:t>
        </x:is>
      </x:c>
      <x:c r="E56" s="3" t="inlineStr">
        <x:is>
          <x:t/>
        </x:is>
      </x:c>
      <x:c r="F56" s="3" t="inlineStr">
        <x:is>
          <x:t>Negada</x:t>
        </x:is>
      </x:c>
      <x:c r="G56" s="3" t="inlineStr">
        <x:is>
          <x:t>Proceso de Registro de Marca LIRU</x:t>
        </x:is>
      </x:c>
      <x:c r="H56" s="3" t="inlineStr">
        <x:is>
          <x:t>ASBEYDI  JAIMES HURTADO, CALLE 11 # 10-50, CUCUTA, NORTE DE SANTANDER, CO</x:t>
        </x:is>
      </x:c>
      <x:c r="I56" s="3" t="inlineStr">
        <x:is>
          <x:t>3</x:t>
        </x:is>
      </x:c>
      <x:c r="J56" s="3" t="inlineStr">
        <x:is>
          <x:t>11</x:t>
        </x:is>
      </x:c>
      <x:c r="K56" s="3" t="inlineStr">
        <x:is>
          <x:t>3. Cosméticos; maquillaje; cosméticos y preparaciones cosméticas; crema corporal para uso cosmético; cremas de limpieza [para uso cosmético]; cremas, leches, lociones, geles y polvos cosméticos para la cara, el cuerpo y las manos; bases de maquillaje; bases de maquillaje cremosas; bases de maquillaje en crema; bases de maquillaje líquidas; bases de maquillaje para la piel; fondo de maquillaje; kits de cosméticos que comprenden principalmente máscara de pestañas, lápices de labios, lápices de cejas, maquillaje, fundación de maquillaje y brillos de labios; maquillaje para la piel; maquillaje para los ojos; maquillajes de base; maquillajes de base en crema; maquillajes de ojos; maquillajes faciales; polvos de maquillaje; preparaciones de maquillaje para la cara y el cuerpo; productos cosméticos y de maquillaje; sprays para fijar el maquillaje; cosméticos para cuidados corporales y estéticos; cosméticos para tratamiento de belleza cosméticos para el cuidado de belleza; cosméticos y preparaciones de cuidado personal; cremas cosméticas para el cuidado de la piel; cremas y lociones cosméticas para el cuidado de la cara y el cuerpo; emulsiones, geles y lociones para el cuidado de la piel; espumas para el cuidado de la piel; leches limpiadoras para el cuidado de la piel; lociones cosméticas para el cuidado de la piel; lociones lechosas para el cuidado de la piel; mascarillas para el cuidado de la piel de las manos; preparaciones de cuidado facial; barras de labios; barras de labios con protección solar [cosméticos]; barras de labios en stick con protección solar [cosméticos]; barras de labios hidratantes; bases neutralizantes para labios; brillos de labios; colorantes de labios; colorantes de labios [cosméticos]; cosméticos para los labios; cremas para los labios; estuches para lápices de labios; estuches para pintalabios; lápices de labios; lápices de labios [pintalabios]; lápices de labios [pintalabios] hidratantes; lápices de labios hidratantes; perfiladores de labios; pintalabios; pintalabios hidratantes; preparaciones no medicinales para el cuidado de los labios; tintes de labios; tintes para los labios; bálsamos labiales; bálsamos labiales no medicinales; cremas exfoliantes; exfoliantes; exfoliantes [preparaciones cosméticas]; exfoliantes corporales; exfoliantes faciales; aceites de protección solar; preparaciones cosméticas de protección solar; preparaciones de protección solar; aceites destilados para el cuidado de belleza; baños de aceite para el cuidado del cabello; cosméticos para el cuidado del cuerpo; aceites esenciales; esencias etéreas.
</x:t>
        </x:is>
      </x:c>
      <x:c r="L56" s="3" t="inlineStr">
        <x:is>
          <x:t>No</x:t>
        </x:is>
      </x:c>
      <x:c r="M56" s="3" t="inlineStr">
        <x:is>
          <x:t>RODRIGO  VANEGAS GAVIRIA, CALLE 52 # 47-28 OF.329, MEDELLIN, ANTIOQUIA 050001, CO</x:t>
        </x:is>
      </x:c>
      <x:c r="N56" s="3" t="inlineStr">
        <x:is>
          <x:t/>
        </x:is>
      </x:c>
      <x:c r="O56" s="3" t="inlineStr">
        <x:is>
          <x:t>18 mar. 2022</x:t>
        </x:is>
      </x:c>
      <x:c r="P56" s="3" t="inlineStr">
        <x:is>
          <x:t/>
        </x:is>
      </x:c>
      <x:c r="Q56" s="3" t="inlineStr">
        <x:is>
          <x:t/>
        </x:is>
      </x:c>
    </x:row>
    <x:row r="57">
      <x:c r="A57" s="10" t="inlineStr">
        <x:f xml:space="preserve">HYPERLINK("http://sipi.sic.gov.co/sipi/View.ashx?3907033","SD2022/0010727")</x:f>
      </x:c>
      <x:c r="B57" s="3" t="inlineStr">
        <x:is>
          <x:t>SHAKANTI</x:t>
        </x:is>
      </x:c>
      <x:c r="C57" s="9" t="inlineStr">
        <x:is>
          <x:t/>
        </x:is>
      </x:c>
      <x:c r="D57" s="3" t="inlineStr">
        <x:is>
          <x:t>07 feb. 2022</x:t>
        </x:is>
      </x:c>
      <x:c r="E57" s="3" t="inlineStr">
        <x:is>
          <x:t/>
        </x:is>
      </x:c>
      <x:c r="F57" s="3" t="inlineStr">
        <x:is>
          <x:t>Negada</x:t>
        </x:is>
      </x:c>
      <x:c r="G57" s="3" t="inlineStr">
        <x:is>
          <x:t>1152448967</x:t>
        </x:is>
      </x:c>
      <x:c r="H57" s="3" t="inlineStr">
        <x:is>
          <x:t>Alejandra Castañeda, calle 4G # 84 B 85 apto 1348, MEDELLIN, ANTIOQUIA, CO</x:t>
        </x:is>
      </x:c>
      <x:c r="I57" s="3" t="inlineStr">
        <x:is>
          <x:t>3</x:t>
        </x:is>
      </x:c>
      <x:c r="J57" s="3" t="inlineStr">
        <x:is>
          <x:t>11</x:t>
        </x:is>
      </x:c>
      <x:c r="K57" s="3" t="inlineStr">
        <x:is>
          <x:t>3. Crema corporal para uso cosmético; crema en gel para matificar la piel; cremas acondicionadoras para la piel, de uso cosmético; cremas antienvejecimiento para uso cosmético; cremas autobronceadoras; cremas bronceadoras; cremas con vitamina a para uso cosmético; cremas corporales; cremas corporales [cosméticos]; cremas cosmética para el cuerpo; cremas cosméticas; cremas cosméticas a base de extractos de plantas; cremas cosméticas de masaje; cremas cosméticas nutritivas; cremas cosméticas para el cuidado de la piel; cremas cosméticas para la piel; cremas de baño; cremas de masaje cosméticas; cremas de masaje no medicinales; cremas de masaje, que no sean para uso médico; cremas depilatorias; cremas emolientes reparadoras para el cuidado diario de la piel; cremas exfoliantes; cremas exfoliantes para uso cosmético; cremas hidratantes; cremas hidratantes para después del afeitado; cremas hidratantes para la piel [cosméticos]; cremas no medicadas para aliviar la piel; cremas no medicadas para hidratar la piel; cremas no medicadas para la hidratación de la piel; cremas no medicadas para la piel; cremas no medicadas para la protección de la piel; cremas no medicadas para suavizar la piel; cremas no medicinales para después de afeitar; cremas no medicinales para la piel; cremas no medicinales para los pies; cremas para antes del afeitado; cremas para broncear la piel; cremas para después del afeitado; cremas para después del afeitado (no medicinales); cremas para después del sol; cremas para después del sol de uso cosmético; cremas para el cuerpo [cosméticos]; cremas para el cuerpo cosméticas; cremas para el cuidado de la piel que no sean de uso médico; cremas para el cuidado de la piel que no sean para uso médico; cremas para el cuidado de la piel, no medicinales; cremas para la piel de uso cosmético; cremas reafirmantes corporales; cremas regeneradoras; cremas regenerantes; cremas reparadoras para la piel [cosméticos]; cremas reparadoras para la piel de uso cosmético; cremas revitalizantes para la piel; cremas tonificantes [cosméticos];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geles, cremas y aceites de ducha.
</x:t>
        </x:is>
      </x:c>
      <x:c r="L57" s="3" t="inlineStr">
        <x:is>
          <x:t>No</x:t>
        </x:is>
      </x:c>
      <x:c r="M57" s="3" t="inlineStr">
        <x:is>
          <x:t/>
        </x:is>
      </x:c>
      <x:c r="N57" s="3" t="inlineStr">
        <x:is>
          <x:t/>
        </x:is>
      </x:c>
      <x:c r="O57" s="3" t="inlineStr">
        <x:is>
          <x:t>17 feb. 2022</x:t>
        </x:is>
      </x:c>
      <x:c r="P57" s="3" t="inlineStr">
        <x:is>
          <x:t/>
        </x:is>
      </x:c>
      <x:c r="Q57" s="3" t="inlineStr">
        <x:is>
          <x:t/>
        </x:is>
      </x:c>
    </x:row>
    <x:row r="58">
      <x:c r="A58" s="10" t="inlineStr">
        <x:f xml:space="preserve">HYPERLINK("http://sipi.sic.gov.co/sipi/View.ashx?3908301","SD2022/0010958")</x:f>
      </x:c>
      <x:c r="B58" s="3" t="inlineStr">
        <x:is>
          <x:t>VetClean</x:t>
        </x:is>
      </x:c>
      <x:c r="C58" s="9" t="inlineStr">
        <x:is>
          <x:t/>
        </x:is>
      </x:c>
      <x:c r="D58" s="3" t="inlineStr">
        <x:is>
          <x:t>08 feb. 2022</x:t>
        </x:is>
      </x:c>
      <x:c r="E58" s="3" t="inlineStr">
        <x:is>
          <x:t/>
        </x:is>
      </x:c>
      <x:c r="F58" s="3" t="inlineStr">
        <x:is>
          <x:t>Negada</x:t>
        </x:is>
      </x:c>
      <x:c r="G58" s="3" t="inlineStr">
        <x:is>
          <x:t>petitorio VetClean</x:t>
        </x:is>
      </x:c>
      <x:c r="H58" s="3" t="inlineStr">
        <x:is>
          <x:t> LABORATORIO HOMEOPÁTICO ALEMÁN S.A.S, CALLE 74 A No 20C - 60, BOGOTÁ, D.C., CO</x:t>
        </x:is>
      </x:c>
      <x:c r="I58" s="3" t="inlineStr">
        <x:is>
          <x:t>3</x:t>
        </x:is>
      </x:c>
      <x:c r="J58" s="3" t="inlineStr">
        <x:is>
          <x:t>11</x:t>
        </x:is>
      </x:c>
      <x:c r="K58" s="3" t="inlineStr">
        <x:is>
          <x:t>3. Cosmético veterinario.
</x:t>
        </x:is>
      </x:c>
      <x:c r="L58" s="3" t="inlineStr">
        <x:is>
          <x:t>No</x:t>
        </x:is>
      </x:c>
      <x:c r="M58" s="3" t="inlineStr">
        <x:is>
          <x:t>JULIO CESAR RAMÍREZ PIÑA, Transversal 19 A No. 96-17 OFICINA 305, BOGOTÁ, D.C., CO</x:t>
        </x:is>
      </x:c>
      <x:c r="N58" s="3" t="inlineStr">
        <x:is>
          <x:t/>
        </x:is>
      </x:c>
      <x:c r="O58" s="3" t="inlineStr">
        <x:is>
          <x:t>08 abr. 2022</x:t>
        </x:is>
      </x:c>
      <x:c r="P58" s="3" t="inlineStr">
        <x:is>
          <x:t/>
        </x:is>
      </x:c>
      <x:c r="Q58" s="3" t="inlineStr">
        <x:is>
          <x:t/>
        </x:is>
      </x:c>
    </x:row>
    <x:row r="59">
      <x:c r="A59" s="10" t="inlineStr">
        <x:f xml:space="preserve">HYPERLINK("http://sipi.sic.gov.co/sipi/View.ashx?3908594","SD2022/0011001")</x:f>
      </x:c>
      <x:c r="B59" s="3" t="inlineStr">
        <x:is>
          <x:t>KAM.DFLY</x:t>
        </x:is>
      </x:c>
      <x:c r="C59" s="3" t="inlineStr">
        <x:is>
          <x:t/>
        </x:is>
      </x:c>
      <x:c r="D59" s="3" t="inlineStr">
        <x:is>
          <x:t>08 feb. 2022</x:t>
        </x:is>
      </x:c>
      <x:c r="E59" s="3" t="inlineStr">
        <x:is>
          <x:t/>
        </x:is>
      </x:c>
      <x:c r="F59" s="3" t="inlineStr">
        <x:is>
          <x:t>Negada</x:t>
        </x:is>
      </x:c>
      <x:c r="G59" s="3" t="inlineStr">
        <x:is>
          <x:t/>
        </x:is>
      </x:c>
      <x:c r="H59" s="3" t="inlineStr">
        <x:is>
          <x:t>SEBASTIAN ALBERTO GOMEZ GOMEZ, CALLE 48 No. 53 39 BODEGA 1203, MEDELLIN, ANTIOQUIA, CO</x:t>
        </x:is>
      </x:c>
      <x:c r="I59" s="3" t="inlineStr">
        <x:is>
          <x:t>3</x:t>
        </x:is>
      </x:c>
      <x:c r="J59" s="3" t="inlineStr">
        <x:is>
          <x:t>11</x:t>
        </x:is>
      </x:c>
      <x:c r="K59" s="3" t="inlineStr">
        <x:is>
          <x:t>3. Cosméticos; cosméticos de belleza; cosméticos para cuidados corporales y estéticos; cosméticos para el cabello; cosméticos para las cejas; cosméticos para los labios; cosméticos para pestañas; cosméticos y preparaciones cosméticas; cremas limpiadoras [cosméticos]; cremas limpiadoras [productos cosméticos]; esmaltes de base para las uñas [productos cosméticos].
</x:t>
        </x:is>
      </x:c>
      <x:c r="L59" s="3" t="inlineStr">
        <x:is>
          <x:t>No</x:t>
        </x:is>
      </x:c>
      <x:c r="M59" s="3" t="inlineStr">
        <x:is>
          <x:t>Libardo  Quintero Salazar, Carrera 48 nro 50a 06 apto 501, SANTUARIO, ANTIOQUIA, CO</x:t>
        </x:is>
      </x:c>
      <x:c r="N59" s="3" t="inlineStr">
        <x:is>
          <x:t/>
        </x:is>
      </x:c>
      <x:c r="O59" s="3" t="inlineStr">
        <x:is>
          <x:t>17 feb. 2022</x:t>
        </x:is>
      </x:c>
      <x:c r="P59" s="3" t="inlineStr">
        <x:is>
          <x:t/>
        </x:is>
      </x:c>
      <x:c r="Q59" s="3" t="inlineStr">
        <x:is>
          <x:t/>
        </x:is>
      </x:c>
    </x:row>
    <x:row r="60">
      <x:c r="A60" s="10" t="inlineStr">
        <x:f xml:space="preserve">HYPERLINK("http://sipi.sic.gov.co/sipi/View.ashx?3909272","SD2022/0011137")</x:f>
      </x:c>
      <x:c r="B60" s="3" t="inlineStr">
        <x:is>
          <x:t>BLUEY </x:t>
        </x:is>
      </x:c>
      <x:c r="C60" s="9" t="inlineStr">
        <x:is>
          <x:t/>
        </x:is>
      </x:c>
      <x:c r="D60" s="3" t="inlineStr">
        <x:is>
          <x:t>08 feb. 2022</x:t>
        </x:is>
      </x:c>
      <x:c r="E60" s="3" t="inlineStr">
        <x:is>
          <x:t/>
        </x:is>
      </x:c>
      <x:c r="F60" s="3" t="inlineStr">
        <x:is>
          <x:t>Negada</x:t>
        </x:is>
      </x:c>
      <x:c r="G60" s="3" t="inlineStr">
        <x:is>
          <x:t/>
        </x:is>
      </x:c>
      <x:c r="H60" s="3" t="inlineStr">
        <x:is>
          <x:t> Ludo Studio Pty Ltd, Level 2, 282 Wickham Street Fortitude Valley Queensland 4006, BRISBANE, QUEENSLAND, AU</x:t>
        </x:is>
      </x:c>
      <x:c r="I60" s="3" t="inlineStr">
        <x:is>
          <x:t>3, 9, 16, 18, 21, 24, 25, 28, 30, 41</x:t>
        </x:is>
      </x:c>
      <x:c r="J60" s="3" t="inlineStr">
        <x:is>
          <x:t>11</x:t>
        </x:is>
      </x:c>
      <x:c r="K60" s="3" t="inlineStr">
        <x:is>
          <x:t>3. Preparaciones de tocador no medicinales; jabones; champús; talco; preparaciones para el baño y la ducha; preparaciones para baño de espuma; espumas de baño; sales de baño; aceites de baño; geles para la ducha; preparaciones para el cabello; geles para el cabello; preparaciones para la higiene dental; perfumes; agua de colonia; desodorantes para uso personal; aceites esenciales; preparaciones de tocador; preparaciones para el cuidado de la piel; lociones; cremas; cosméticos; bolsitas perfumadas; maderas aromáticas; pintura facial.
9. Videos grabados o descargables, filmes, películas, programas de radio y televisión; animaciones grabadas o descargables, dibujos animados, vídeos animados, películas animadas, películas animadas y programas animados de televisión; publicaciones grabadas o descargables; libros, revistas, folletos, novelas gráficas, cómics, carteles, fotografías, gráficos, imágenes, folletos y periódicos, material educativo y didáctico; programas informáticos, incluidos los programas para acceder, transmitir, descargar, recibir o transmitir vídeos, películas, películas, programas de radio, programas de televisión, dibujos animados, juegos, publicaciones, material educativo y didáctico; programas informáticos educativos; tonos de llamada y gráficos grabados o descargables para teléfonos móviles; tablones de anuncios electrónicos; alfombras para ratón; aparatos electrónicos de instrucción y enseñanza; cascos, rodilleras (profesionales) protectores), cojines (protectores); discos, discos de vídeo, cintas, casetes, cartuchos, tarjetas y memorias USB; CD, DVD; música digital grabada o descargable; juegos de ordenador; videojuegos; juegos electrónicos para teléfonos móviles, dispositivos móviles, ordenadores personales, consolas y tabletas; programas de juegos electrónicos descargables; programas de juegos electrónicos; programas de juegos interactivos; programas de juegos interactivos; fundas para teléfonos móviles; monitores para bebés; balanzas para bebés; artículos de óptica para la vista; gafas; gafas (ópticas); gafas de sol; fundas para gafas; cadenas para gafas; gafas 3D; videos, animaciones, películas animadas para niños, programas de televisión, juegos de ordenador, programas informáticos, aplicaciones móviles, publicaciones descargables, archivos de imagen descargables, gráficos.
16. Publicaciones impresas; revistas [publicaciones periódicas]; libros; libros de actividades; tarjetas de actividades; novelas gráficas, cómics, dibujos animados, material didáctico y didáctico; fotografías [impresas]; artículos de papelería; artículos de fiesta; pinceles; clichés de imprenta; carteles; tarjetas; tarjetas postales; tarjetas de felicitación; tarjetas de colección; invitaciones impresas; diarios; calendarios; álbumes de fotografías; álbumes; láminas [grabados]; bolsas de papel o plástico para regalos, cajas de regalo, etiquetas de regalo y papel de regalo; decoraciones de papel para fiestas; Pastas y gomas para artículos de papelería y uso doméstico; instrumentos de escritura; adhesivos; calcomanías; sellos de estampar; clichés de multicopista; agendas personales; libretas de direcciones; libretas; portalápices y portabolígrafos; tapetes de escritorio; sellos postales; salvamanteles de papel; carpetas de papelería; posavasos de papel y cartón; lápices de cera; patrones de costura y de punto; posabotellas y posavasos de cartón; cartas intercambiables que no sean para juegos; blocs [artículos de papelería]; guirnaldas de banderines de papel; patrones de bordado; pañuelos de papel; material para artistas; bandejas para pintura; lienzos para pintar; paletas de pintor; moldes para arcilla de modelar [material para artistas]; material de instrucción o material didáctico.
18. Cuero; cuero de imitación; baúles y maletas; paraguas y sombrillas; bolsas; maletas; maletas; mochilas; mochilas escolares; monederos; billeteras.
21. Utensilios y recipientes para uso doméstico y culinario; pequeños utensilios domésticos y recipientes; peines y esponjas; cepillos; artículos de cristalería, porcelana y loza; ornamentos, estatuillas y figurillas de cerámica, porcelana, cristal, vidrio, barro, terracota y porcelana; vajilla; placas y placas ornamentales; recipientes para beber; tazas altas; cántaros; picheles; botellas, botellas y frascos aislados; tarros; hueveras; portaviandas; posavasos; bandejas de servicio; candeleros; anillos y soportes de servilleta; jaboneras; cepillos de dientes; platos y copas de papel; posavasos cerámicos.
24. Textiles y productos textiles; ropa de hogar; ropa de cama; ropa de mesa; cortinas; alfombras; sábanas, fundas de almohada, edredones; esparcidores, sacos de dormir para niños; toallas; toallas faciales; colgantes de textiles; estandartes; Banderolas de materias textiles; pañuelos de bolsillo de materias textiles; fundas de cojín; posabotellas y posavasos de materias textiles.
25. Ropa; calzado; sombrería; ropa de exterior; ropa de lluvia; ropa de dormir; ropa de baño; ropa interior; ropa, calzado y sombrería para niños; disfraces para niños.
28. Juguetes, juegos, juguetes; artículos deportivos; galletas navideñas, adornos y adornos de árboles; novedades; muñecas; juguetes suaves; juguetes de peluche; mascarillas faciales de juguete y novedad; cajas musicales de juguete; instrumentos musicales de juguete; modelos; de juguete; rompecabezas; juegos de mesa; cometas; pelotas y globos de juego; aletas; flotadores; carrozas; juguetes inflables juegos; naipes; equipos de ordenador, electrónicos y videojuegos; juegos electrónicos; aparatos de juegos adaptados para su utilización con receptores de televisión; juegos de ordenador portátiles; títeres; juguetes de plástico; juguetes de baño; juegos de juego; juguetes de desarrollo; juguetes con ruedas; patinetas, bicicletas y triciclos (juguetes); gimnasios para bebés; lanzadores de serpentinas y confetis; globos de fiesta; favores de fiesta de papel; sombreros de fiesta de plástico.
30. Café, té, cacao y café artificial; arroz; tapioca y sagú; harina y preparaciones a base de cereales; pan, pasteles y confitería; helados comestibles; azúcar, miel, melaza; levadura, polvo para hornear; sal; mostaza; vinagre, salsas [condimentos]; especias; hielo [agua congelada]; chocolate Artículos de confitería; huevos de chocolate; dulces; bebidas de chocolate con leche; mousse de chocolate; adornos de chocolate para pasteles; chocolate para untar que contenga frutos secos; bebidas a base de chocolate; chocolate para untar; nueces recubiertas de chocolate; helados; galletas; tortas.
41. Servicios de esparcimiento, educación, recreación, instrucción, enseñanza y capacitación; producción, presentación y distribución de audio, vídeo, imágenes fijas y en movimiento; producción, presentación, distribución, sindicación, establecimiento de redes y alquiler de programas de televisión, radio, cable, satélite e Internet y de películas, grabaciones sonoras, grabaciones de vídeo, dibujos animados, películas animadas, películas animadas y DVD; servicios educativos relacionados con la entrada entretenimiento; información relacionada con el entretenimiento o la educación, facilitada en línea a partir de una base de datos informática o de Internet o por satélite de comunicaciones, microondas u otros medios electrónicos, digitales o analógicos; servicios de edición (incluidos los servicios de edición electrónica); publicaciones electrónicas no descargables; espectáculos en directo; organización, producción y presentación de espectáculos, concursos, juegos, conciertos, exposiciones y acontecimientos, concursos, espectáculos itinerantes servicios de espectáculos, representaciones teatrales, representaciones en directo y actos de participación; servicios de parques de atracciones y parques temáticos; servicios de espectáculos en línea; servicios de información sobre espectáculos; servicios de juegos en línea; entretenimiento de vídeo digital, audio y multimedia; servicios de edición; publicación de material multimedia en línea; enseñanza de idiomas; suministro de información y asesoramiento relativos a cualquiera de los servicios mencionados, incluso en línea a partir de una base de una base de una base de datos o de Internet; producción, Producción, presentación, distribución, sindicación, creación de redes y alquiler de programas de televisión, radio, cable, satélite e Internet, así como de películas, grabaciones sonoras, grabaciones de vídeo, dibujos animados, vídeos animados, películas animadas, películas animadas y DVD; publicaciones electrónicas no descargables con cuentos para niños.
</x:t>
        </x:is>
      </x:c>
      <x:c r="L60" s="3" t="inlineStr">
        <x:is>
          <x:t>No</x:t>
        </x:is>
      </x:c>
      <x:c r="M60" s="3" t="inlineStr">
        <x:is>
          <x:t>JUAN PABLO CONCHA DELGADO, AVENIDA 82 No. 10-62 PISO 5, BOGOTÁ, D.C., CO</x:t>
        </x:is>
      </x:c>
      <x:c r="N60" s="3" t="inlineStr">
        <x:is>
          <x:t/>
        </x:is>
      </x:c>
      <x:c r="O60" s="3" t="inlineStr">
        <x:is>
          <x:t>08 jul. 2022</x:t>
        </x:is>
      </x:c>
      <x:c r="P60" s="3" t="inlineStr">
        <x:is>
          <x:t/>
        </x:is>
      </x:c>
      <x:c r="Q60" s="3" t="inlineStr">
        <x:is>
          <x:t/>
        </x:is>
      </x:c>
    </x:row>
    <x:row r="61">
      <x:c r="A61" s="10" t="inlineStr">
        <x:f xml:space="preserve">HYPERLINK("http://sipi.sic.gov.co/sipi/View.ashx?3909503","SD2022/0011311")</x:f>
      </x:c>
      <x:c r="B61" s="3" t="inlineStr">
        <x:is>
          <x:t>BENCHMARK'S DERMA SHIELD</x:t>
        </x:is>
      </x:c>
      <x:c r="C61" s="9" t="inlineStr">
        <x:is>
          <x:t/>
        </x:is>
      </x:c>
      <x:c r="D61" s="3" t="inlineStr">
        <x:is>
          <x:t>09 feb. 2022</x:t>
        </x:is>
      </x:c>
      <x:c r="E61" s="3" t="inlineStr">
        <x:is>
          <x:t/>
        </x:is>
      </x:c>
      <x:c r="F61" s="3" t="inlineStr">
        <x:is>
          <x:t>Negada</x:t>
        </x:is>
      </x:c>
      <x:c r="G61" s="3" t="inlineStr">
        <x:is>
          <x:t>BENCHMARK’S DERMA SHIELD </x:t>
        </x:is>
      </x:c>
      <x:c r="H61" s="3" t="inlineStr">
        <x:is>
          <x:t> BENCHMARK SKINCARE LTD, UNIDAD 307 SPRING VALE INDUSTRIAL ESTATE, FLINTSHIRE, GALES, GB</x:t>
        </x:is>
      </x:c>
      <x:c r="I61" s="3" t="inlineStr">
        <x:is>
          <x:t>3</x:t>
        </x:is>
      </x:c>
      <x:c r="J61" s="3" t="inlineStr">
        <x:is>
          <x:t>11</x:t>
        </x:is>
      </x:c>
      <x:c r="K61" s="3" t="inlineStr">
        <x:is>
          <x:t>3. Productos cosméticos.
</x:t>
        </x:is>
      </x:c>
      <x:c r="L61" s="3" t="inlineStr">
        <x:is>
          <x:t>No</x:t>
        </x:is>
      </x:c>
      <x:c r="M61" s="3" t="inlineStr">
        <x:is>
          <x:t>Manuel Guillermo Gaitan Cuesta, kra 69 H No 80-40 apto 503 T 9 , BOGOTA, CUNDINAMARCA 110221, CO</x:t>
        </x:is>
      </x:c>
      <x:c r="N61" s="3" t="inlineStr">
        <x:is>
          <x:t/>
        </x:is>
      </x:c>
      <x:c r="O61" s="3" t="inlineStr">
        <x:is>
          <x:t>08 mar. 2022</x:t>
        </x:is>
      </x:c>
      <x:c r="P61" s="3" t="inlineStr">
        <x:is>
          <x:t/>
        </x:is>
      </x:c>
      <x:c r="Q61" s="3" t="inlineStr">
        <x:is>
          <x:t/>
        </x:is>
      </x:c>
    </x:row>
    <x:row r="62">
      <x:c r="A62" s="10" t="inlineStr">
        <x:f xml:space="preserve">HYPERLINK("http://sipi.sic.gov.co/sipi/View.ashx?3916197","SD2022/0012669")</x:f>
      </x:c>
      <x:c r="B62" s="3" t="inlineStr">
        <x:is>
          <x:t>TU SECRETO INTIMO MYSTA</x:t>
        </x:is>
      </x:c>
      <x:c r="C62" s="9" t="inlineStr">
        <x:is>
          <x:t/>
        </x:is>
      </x:c>
      <x:c r="D62" s="3" t="inlineStr">
        <x:is>
          <x:t>11 feb. 2022</x:t>
        </x:is>
      </x:c>
      <x:c r="E62" s="3" t="inlineStr">
        <x:is>
          <x:t/>
        </x:is>
      </x:c>
      <x:c r="F62" s="3" t="inlineStr">
        <x:is>
          <x:t>Negada</x:t>
        </x:is>
      </x:c>
      <x:c r="G62" s="3" t="inlineStr">
        <x:is>
          <x:t/>
        </x:is>
      </x:c>
      <x:c r="H62" s="3" t="inlineStr">
        <x:is>
          <x:t>YAMILY ESCOBAR SAAVEDRA, KR 105 # 15 B 45 LOC 24 CCO LAS VELAS PISO 1, CALI, VALLE DEL CAUCA, CO</x:t>
        </x:is>
      </x:c>
      <x:c r="I62" s="3" t="inlineStr">
        <x:is>
          <x:t>3</x:t>
        </x:is>
      </x:c>
      <x:c r="J62" s="3" t="inlineStr">
        <x:is>
          <x:t>11</x:t>
        </x:is>
      </x:c>
      <x:c r="K62" s="3" t="inlineStr">
        <x:is>
          <x:t>3. Productos destinados para tratamientos de belleza de uso cosméticos tales como: shampoos, productos hidratantes para el cabello, geles, cremas, cosméticos capilares, bálsamos para el amoldamiento y para el cuidado del cabello, rinse, gel fijador para el cabello, cera moldeadora de cabello, desfrizante, silicona para el cabello, lacas para el cabello; preparaciones colorantes y decolorantes para el cabello de uso cosmético; preparaciones para el ondulado y rizado permanente, suavizantes para el cabello, revitalizantes para el cabello (de uso cosmético) preparaciones para el cuidado y la limpieza del cabello cremas, leches, lociones, gel y polvos para la cara y las manos; preparaciones para el bronceado y cuidado de la piel por el sol (productos cosméticos); agua de tocador; jabones de tocador; desodorantes para el cuerpo( de uso cosmético); preparaciones para maquillaje, aceites esenciales para uso personal, preparaciones cosméticas para el cuidado de las uñas, esmalte de uñas, removedores, dilusor de esmaltes, base fortalecedora de uñas, brillo secante, aceite humectante para uñas, barniz de uñas, removedores de barnices, lacas para el pintado, abrillantado, delineado, cuidado fortalecimiento y secado de las uñas; removedor de cutícula, gel antibacterial, jabón líquido, desodorantes, lápices para las cejas, labiales, maquillaje para uso cosmético, tónicos para la piel, tónicos cosméticos para la cara, toallitas para la higiene femenina no medicinal, toallitas o paños impregnados de productos limpiadores para la piel [de uso cosmético]; toallitas impregnadas de productos cosméticos; toallitas impregnadas de aceites esenciales, para uso cosmético; toallitas impregnadas con sustancias cosméticas; talco de tocador; sueros no medicinales para la piel de uso cosmético; sueros de belleza; sprays para el cuerpo [de uso cosmético]; sombras de ojos en polvo o en lápiz; sales de baño para uso cosmético; sales de baño no medicinales; revitalizantes cutáneos de uso cosmético; protectores labiales no medicinales; productos hidratantes antienvejecimiento; productos de tocador no medicinales; productos depilatorios; productos de perfumería, fragancias e incienso; aceites esenciales; productos de aromaterapia; preparaciones para baños de espuma [para uso cosmético]; preparaciones para antes y después del afeitado; preparaciones de afeitar y para antes y después de afeitar, incluidos geles, cremas y espumas; productos de tocador; aceites para el cabello, aceites para el cuerpo de uso cosmético aceites para masajes; aceites perfumados (de uso cosmético).
</x:t>
        </x:is>
      </x:c>
      <x:c r="L62" s="3" t="inlineStr">
        <x:is>
          <x:t>No</x:t>
        </x:is>
      </x:c>
      <x:c r="M62" s="3" t="inlineStr">
        <x:is>
          <x:t>AIDA LUCIA CERTUCHE CANDELO, CL 64N 5BN 145 OF 314A, CALI, VALLE DEL CAUCA, CO</x:t>
        </x:is>
      </x:c>
      <x:c r="N62" s="3" t="inlineStr">
        <x:is>
          <x:t/>
        </x:is>
      </x:c>
      <x:c r="O62" s="3" t="inlineStr">
        <x:is>
          <x:t>09 ago. 2022</x:t>
        </x:is>
      </x:c>
      <x:c r="P62" s="3" t="inlineStr">
        <x:is>
          <x:t/>
        </x:is>
      </x:c>
      <x:c r="Q62" s="3" t="inlineStr">
        <x:is>
          <x:t/>
        </x:is>
      </x:c>
    </x:row>
    <x:row r="63">
      <x:c r="A63" s="10" t="inlineStr">
        <x:f xml:space="preserve">HYPERLINK("http://sipi.sic.gov.co/sipi/View.ashx?3917444","SD2022/0012871")</x:f>
      </x:c>
      <x:c r="B63" s="3" t="inlineStr">
        <x:is>
          <x:t>Icónica By Karen Paladines</x:t>
        </x:is>
      </x:c>
      <x:c r="C63" s="9" t="inlineStr">
        <x:is>
          <x:t/>
        </x:is>
      </x:c>
      <x:c r="D63" s="3" t="inlineStr">
        <x:is>
          <x:t>12 feb. 2022</x:t>
        </x:is>
      </x:c>
      <x:c r="E63" s="3" t="inlineStr">
        <x:is>
          <x:t/>
        </x:is>
      </x:c>
      <x:c r="F63" s="3" t="inlineStr">
        <x:is>
          <x:t>Negada</x:t>
        </x:is>
      </x:c>
      <x:c r="G63" s="3" t="inlineStr">
        <x:is>
          <x:t>1</x:t>
        </x:is>
      </x:c>
      <x:c r="H63" s="3" t="inlineStr">
        <x:is>
          <x:t> Icónica Store SAS, Calle 69B 70-35, BOGOTÁ, D.C. 111061, CO</x:t>
        </x:is>
      </x:c>
      <x:c r="I63" s="3" t="inlineStr">
        <x:is>
          <x:t>3</x:t>
        </x:is>
      </x:c>
      <x:c r="J63" s="3" t="inlineStr">
        <x:is>
          <x:t>11</x:t>
        </x:is>
      </x:c>
      <x:c r="K6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adhesivos para falsas pestañas; adhesivos para fijar uñas y pestañas postizas; adhesivos para pegar las pestañas postizas; adhesivos para pestañas postizas; adhesivos para pestañas, cabello y uñas postizos; cosméticos para pestañas; extensiones de; pestañas;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máscara de pestañas; máscara para pestañas largas; máscaras para pestañas largas;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pestañas artificiales magnéticas; pestañas postizas; pestañas postizas magnéticas; preparaciones cosméticas para pestañas; productos cosméticos para las pestañas; productos de limpieza para las pestañas; tintes de pestañas; tintes para pestañas.
</x:t>
        </x:is>
      </x:c>
      <x:c r="L63" s="3" t="inlineStr">
        <x:is>
          <x:t>No</x:t>
        </x:is>
      </x:c>
      <x:c r="M63" s="3" t="inlineStr">
        <x:is>
          <x:t>Karen Banessa Paladines Martinez, Calle 69 B 70-35, BOGOTÁ, D.C. 111061, CO</x:t>
        </x:is>
      </x:c>
      <x:c r="N63" s="3" t="inlineStr">
        <x:is>
          <x:t/>
        </x:is>
      </x:c>
      <x:c r="O63" s="3" t="inlineStr">
        <x:is>
          <x:t>10 jun. 2022</x:t>
        </x:is>
      </x:c>
      <x:c r="P63" s="3" t="inlineStr">
        <x:is>
          <x:t/>
        </x:is>
      </x:c>
      <x:c r="Q63" s="3" t="inlineStr">
        <x:is>
          <x:t/>
        </x:is>
      </x:c>
    </x:row>
    <x:row r="64">
      <x:c r="A64" s="10" t="inlineStr">
        <x:f xml:space="preserve">HYPERLINK("http://sipi.sic.gov.co/sipi/View.ashx?3919596","SD2022/0013262")</x:f>
      </x:c>
      <x:c r="B64" s="3" t="inlineStr">
        <x:is>
          <x:t>AMALGAMA COSMÉTICA NATURAL</x:t>
        </x:is>
      </x:c>
      <x:c r="C64" s="9" t="inlineStr">
        <x:is>
          <x:t/>
        </x:is>
      </x:c>
      <x:c r="D64" s="3" t="inlineStr">
        <x:is>
          <x:t>14 feb. 2022</x:t>
        </x:is>
      </x:c>
      <x:c r="E64" s="3" t="inlineStr">
        <x:is>
          <x:t/>
        </x:is>
      </x:c>
      <x:c r="F64" s="3" t="inlineStr">
        <x:is>
          <x:t>Negada</x:t>
        </x:is>
      </x:c>
      <x:c r="G64" s="3" t="inlineStr">
        <x:is>
          <x:t>Amalgama Cosméticos</x:t>
        </x:is>
      </x:c>
      <x:c r="H64" s="3" t="inlineStr">
        <x:is>
          <x:t>Catalina López, Calle 131a#57-41, Apto 304 interior 2, BOGOTÁ, D.C. 111111, CO</x:t>
        </x:is>
      </x:c>
      <x:c r="I64" s="3" t="inlineStr">
        <x:is>
          <x:t>3</x:t>
        </x:is>
      </x:c>
      <x:c r="J64" s="3" t="inlineStr">
        <x:is>
          <x:t>11</x:t>
        </x:is>
      </x:c>
      <x:c r="K64" s="3" t="inlineStr">
        <x:is>
          <x:t>3. Bases de maquillaje; kits de maquillaje; maquillaje; maquillaje [cosméticos]; maquillaje para el rostro; productos de maquillaje; rubores para las mejillas; sombras de ojos; geles para el peinado de las cejas; cosméticos; cosméticos naturales; colonias, perfumes y productos cosméticos.
</x:t>
        </x:is>
      </x:c>
      <x:c r="L64" s="3" t="inlineStr">
        <x:is>
          <x:t>No</x:t>
        </x:is>
      </x:c>
      <x:c r="M64" s="3" t="inlineStr">
        <x:is>
          <x:t/>
        </x:is>
      </x:c>
      <x:c r="N64" s="3" t="inlineStr">
        <x:is>
          <x:t/>
        </x:is>
      </x:c>
      <x:c r="O64" s="3" t="inlineStr">
        <x:is>
          <x:t>08 mar. 2022</x:t>
        </x:is>
      </x:c>
      <x:c r="P64" s="3" t="inlineStr">
        <x:is>
          <x:t/>
        </x:is>
      </x:c>
      <x:c r="Q64" s="3" t="inlineStr">
        <x:is>
          <x:t/>
        </x:is>
      </x:c>
    </x:row>
    <x:row r="65">
      <x:c r="A65" s="10" t="inlineStr">
        <x:f xml:space="preserve">HYPERLINK("http://sipi.sic.gov.co/sipi/View.ashx?3919623","SD2022/0013241")</x:f>
      </x:c>
      <x:c r="B65" s="3" t="inlineStr">
        <x:is>
          <x:t>GALIA VITAL</x:t>
        </x:is>
      </x:c>
      <x:c r="C65" s="9" t="inlineStr">
        <x:is>
          <x:t/>
        </x:is>
      </x:c>
      <x:c r="D65" s="3" t="inlineStr">
        <x:is>
          <x:t>15 feb. 2022</x:t>
        </x:is>
      </x:c>
      <x:c r="E65" s="3" t="inlineStr">
        <x:is>
          <x:t/>
        </x:is>
      </x:c>
      <x:c r="F65" s="3" t="inlineStr">
        <x:is>
          <x:t>Negada</x:t>
        </x:is>
      </x:c>
      <x:c r="G65" s="3" t="inlineStr">
        <x:is>
          <x:t>GALIA VITAL</x:t>
        </x:is>
      </x:c>
      <x:c r="H65" s="3" t="inlineStr">
        <x:is>
          <x:t>ANDRES FELIPE PENCUA ESCOBAR, cra 4c #60-27, CALI, VALLE DEL CAUCA, CO</x:t>
        </x:is>
      </x:c>
      <x:c r="I65" s="3" t="inlineStr">
        <x:is>
          <x:t>3</x:t>
        </x:is>
      </x:c>
      <x:c r="J65" s="3" t="inlineStr">
        <x:is>
          <x:t>11</x:t>
        </x:is>
      </x:c>
      <x:c r="K65" s="3" t="inlineStr">
        <x:is>
          <x:t>3. Productos de perfumería, aceites esenciales, cosméticos no medicinales, lociones capilares no medicinales; bálsamos capilares; champús capilares; cremas capilares; cremas de protección capilar, no medicinales; geles capilares; mascarillas para el cuidado capilar; preparaciones capilares a base de aceite de coco virgen ecológico y de aceite de coco virgen; preparaciones capilares de protección solar; preparaciones para tratamientos capilares.
</x:t>
        </x:is>
      </x:c>
      <x:c r="L65" s="3" t="inlineStr">
        <x:is>
          <x:t>No</x:t>
        </x:is>
      </x:c>
      <x:c r="M65" s="3" t="inlineStr">
        <x:is>
          <x:t/>
        </x:is>
      </x:c>
      <x:c r="N65" s="3" t="inlineStr">
        <x:is>
          <x:t/>
        </x:is>
      </x:c>
      <x:c r="O65" s="3" t="inlineStr">
        <x:is>
          <x:t>28 feb. 2022</x:t>
        </x:is>
      </x:c>
      <x:c r="P65" s="3" t="inlineStr">
        <x:is>
          <x:t/>
        </x:is>
      </x:c>
      <x:c r="Q65" s="3" t="inlineStr">
        <x:is>
          <x:t/>
        </x:is>
      </x:c>
    </x:row>
    <x:row r="66">
      <x:c r="A66" s="10" t="inlineStr">
        <x:f xml:space="preserve">HYPERLINK("http://sipi.sic.gov.co/sipi/View.ashx?3919977","SD2022/0013327")</x:f>
      </x:c>
      <x:c r="B66" s="3" t="inlineStr">
        <x:is>
          <x:t>LA POMPA &amp; LA DICHA</x:t>
        </x:is>
      </x:c>
      <x:c r="C66" s="9" t="inlineStr">
        <x:is>
          <x:t/>
        </x:is>
      </x:c>
      <x:c r="D66" s="3" t="inlineStr">
        <x:is>
          <x:t>14 feb. 2022</x:t>
        </x:is>
      </x:c>
      <x:c r="E66" s="3" t="inlineStr">
        <x:is>
          <x:t/>
        </x:is>
      </x:c>
      <x:c r="F66" s="3" t="inlineStr">
        <x:is>
          <x:t>Negada</x:t>
        </x:is>
      </x:c>
      <x:c r="G66" s="3" t="inlineStr">
        <x:is>
          <x:t>Reg. LA POMPA &amp; LA DICHA</x:t>
        </x:is>
      </x:c>
      <x:c r="H66" s="3" t="inlineStr">
        <x:is>
          <x:t>ERIKA MARCELA POSADA PEREZ, Cra.37ª No. 1 Sur – 155 interior 203, MEDELLIN, ANTIOQUIA, CO</x:t>
        </x:is>
      </x:c>
      <x:c r="I66" s="3" t="inlineStr">
        <x:is>
          <x:t>3</x:t>
        </x:is>
      </x:c>
      <x:c r="J66" s="3" t="inlineStr">
        <x:is>
          <x:t>11</x:t>
        </x:is>
      </x:c>
      <x:c r="K66" s="3" t="inlineStr">
        <x:is>
          <x:t>3. Aceites de tocador; Aceites esenciales; Aceites esenciales para aromaterapia; Aceites para uso cosmético; Acondicionadores para el cabello; Agua de Colonia; Aguas de tocador; Algodón para uso cosmético; Bolsitas para perfumar la ropa; Champús; Champús en seco; Cremas a base de aceites esenciales para aromaterapia; Cremas cosméticas; Dentífricos; Desmaquilladores; Incienso; Jabones; Hisopos para uso cosmético; Jabón de afeitar; Jabón de almendras; Jabones desodorantes; Leches limpiadoras de tocador; Lociones capilares; Lociones para después del afeitado; Lociones para uso cosmético; Mascarillas de belleza; Neceseres de cosmética; Pastillas de jabón; Perfumes; Piedra pómez; Piedras para suavizar; Popurrís aromáticos; Pomadas para uso cosmético; Preparaciones cosméticas para el baño; Preparaciones de aloe vera para uso cosmético; Preparaciones de tocador; Preparaciones para el baño que no sean para uso médico; Productos cosméticos para el cuidado de la piel; Productos cosméticos para niños; Productos de perfumería; Productos para perfumar el ambiente; Productos para perfumar la ropa; Sales de baño que no sean para uso médico; Talco de tocador; Té de baño para uso cosmético; Tónicos para uso cosmético; Varillas de incienso; Productos de afeitar; Piedras de alumbre [astringentes]; Pastas de dientes; Parches de gel para los ojos de uso cosmético; Geles de masaje que no sean para uso médico; Enjuagues bucales que no sean para uso médico; Difusores de perfumes de ambiente con varillas; Desodorantes para personas o animales [productos de perfumería]; Aguas perfumadas; Aromas [aceites esenciales]; Bálsamos que no sean para uso médico; Brillos de labios; Cosméticos.
</x:t>
        </x:is>
      </x:c>
      <x:c r="L66" s="3" t="inlineStr">
        <x:is>
          <x:t>No</x:t>
        </x:is>
      </x:c>
      <x:c r="M66" s="3" t="inlineStr">
        <x:is>
          <x:t>LINA MARIA JARAMILLO SALDARRIAGA , calle 10 30 - 160, MEDELLIN, ANTIOQUIA, CO</x:t>
        </x:is>
      </x:c>
      <x:c r="N66" s="3" t="inlineStr">
        <x:is>
          <x:t/>
        </x:is>
      </x:c>
      <x:c r="O66" s="3" t="inlineStr">
        <x:is>
          <x:t>08 mar. 2022</x:t>
        </x:is>
      </x:c>
      <x:c r="P66" s="3" t="inlineStr">
        <x:is>
          <x:t/>
        </x:is>
      </x:c>
      <x:c r="Q66" s="3" t="inlineStr">
        <x:is>
          <x:t/>
        </x:is>
      </x:c>
    </x:row>
    <x:row r="67">
      <x:c r="A67" s="10" t="inlineStr">
        <x:f xml:space="preserve">HYPERLINK("http://sipi.sic.gov.co/sipi/View.ashx?3921604","SD2022/0013635")</x:f>
      </x:c>
      <x:c r="B67" s="3" t="inlineStr">
        <x:is>
          <x:t>CRYSOL</x:t>
        </x:is>
      </x:c>
      <x:c r="C67" s="3" t="inlineStr">
        <x:is>
          <x:t/>
        </x:is>
      </x:c>
      <x:c r="D67" s="3" t="inlineStr">
        <x:is>
          <x:t>15 feb. 2022</x:t>
        </x:is>
      </x:c>
      <x:c r="E67" s="3" t="inlineStr">
        <x:is>
          <x:t/>
        </x:is>
      </x:c>
      <x:c r="F67" s="3" t="inlineStr">
        <x:is>
          <x:t>Negada</x:t>
        </x:is>
      </x:c>
      <x:c r="G67" s="3" t="inlineStr">
        <x:is>
          <x:t>F667</x:t>
        </x:is>
      </x:c>
      <x:c r="H67" s="3" t="inlineStr">
        <x:is>
          <x:t> ALPEVAL S.A.S., Cl 161 A # 16 C 35, BOGOTÁ, D.C., CO</x:t>
        </x:is>
      </x:c>
      <x:c r="I67" s="3" t="inlineStr">
        <x:is>
          <x:t>3</x:t>
        </x:is>
      </x:c>
      <x:c r="J67" s="3" t="inlineStr">
        <x:is>
          <x:t>11</x:t>
        </x:is>
      </x:c>
      <x:c r="K67" s="3" t="inlineStr">
        <x:is>
          <x:t>3. JABÓN EN CREMA O LIQUIDO PARA LAVAR LA LOZA.
</x:t>
        </x:is>
      </x:c>
      <x:c r="L67" s="3" t="inlineStr">
        <x:is>
          <x:t>Sí</x:t>
        </x:is>
      </x:c>
      <x:c r="M67" s="3" t="inlineStr">
        <x:is>
          <x:t>MARTHA AMPARO FONSECA FIERRO, CRA 7 No. 17-01 Oficina 435, BOGOTÁ, D.C., CO</x:t>
        </x:is>
      </x:c>
      <x:c r="N67" s="3" t="inlineStr">
        <x:is>
          <x:t/>
        </x:is>
      </x:c>
      <x:c r="O67" s="3" t="inlineStr">
        <x:is>
          <x:t>29 mar. 2022</x:t>
        </x:is>
      </x:c>
      <x:c r="P67" s="3" t="inlineStr">
        <x:is>
          <x:t/>
        </x:is>
      </x:c>
      <x:c r="Q67" s="3" t="inlineStr">
        <x:is>
          <x:t/>
        </x:is>
      </x:c>
    </x:row>
    <x:row r="68">
      <x:c r="A68" s="10" t="inlineStr">
        <x:f xml:space="preserve">HYPERLINK("http://sipi.sic.gov.co/sipi/View.ashx?3922155","SD2022/0013783")</x:f>
      </x:c>
      <x:c r="B68" s="3" t="inlineStr">
        <x:is>
          <x:t>Raia Beauty Its Conexion Belleza</x:t>
        </x:is>
      </x:c>
      <x:c r="C68" s="9" t="inlineStr">
        <x:is>
          <x:t/>
        </x:is>
      </x:c>
      <x:c r="D68" s="3" t="inlineStr">
        <x:is>
          <x:t>15 feb. 2022</x:t>
        </x:is>
      </x:c>
      <x:c r="E68" s="3" t="inlineStr">
        <x:is>
          <x:t/>
        </x:is>
      </x:c>
      <x:c r="F68" s="3" t="inlineStr">
        <x:is>
          <x:t>Negada</x:t>
        </x:is>
      </x:c>
      <x:c r="G68" s="3" t="inlineStr">
        <x:is>
          <x:t/>
        </x:is>
      </x:c>
      <x:c r="H68" s="3" t="inlineStr">
        <x:is>
          <x:t>Nestor Camilo Zuluaga Gomez, Carrera 100 # 15a 61, CALI, VALLE DEL CAUCA 760001, CO</x:t>
        </x:is>
      </x:c>
      <x:c r="I68" s="3" t="inlineStr">
        <x:is>
          <x:t>3</x:t>
        </x:is>
      </x:c>
      <x:c r="J68" s="3" t="inlineStr">
        <x:is>
          <x:t>11</x:t>
        </x:is>
      </x:c>
      <x:c r="K68" s="3" t="inlineStr">
        <x:is>
          <x:t>3. Bases de maquillaje; bases de maquillaje cremosas; bases de maquillaje en crema; bases de maquillaje líquidas; bases de maquillaje para la piel; fundación de maquillaje;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maquillaje [cosméticos]; maquillaje para el rostro; maquillaje para la cara; maquillaje para la piel; maquillaje para los ojos; maquillajes de base; maquillajes de base en crema; maquillajes de ojos; maquillajes faciales; polvos de maquillaje; preparaciones de maquillaje para el rostro y el cuerpo; preparaciones de maquillaje para la cara y el cuerpo; productos cosméticos y de maquillaje; productos de maquillaje; sprays para fijar el maquillaje.
</x:t>
        </x:is>
      </x:c>
      <x:c r="L68" s="3" t="inlineStr">
        <x:is>
          <x:t>No</x:t>
        </x:is>
      </x:c>
      <x:c r="M68" s="3" t="inlineStr">
        <x:is>
          <x:t/>
        </x:is>
      </x:c>
      <x:c r="N68" s="3" t="inlineStr">
        <x:is>
          <x:t/>
        </x:is>
      </x:c>
      <x:c r="O68" s="3" t="inlineStr">
        <x:is>
          <x:t>30 ago. 2022</x:t>
        </x:is>
      </x:c>
      <x:c r="P68" s="3" t="inlineStr">
        <x:is>
          <x:t/>
        </x:is>
      </x:c>
      <x:c r="Q68" s="3" t="inlineStr">
        <x:is>
          <x:t/>
        </x:is>
      </x:c>
    </x:row>
    <x:row r="69">
      <x:c r="A69" s="10" t="inlineStr">
        <x:f xml:space="preserve">HYPERLINK("http://sipi.sic.gov.co/sipi/View.ashx?3922787","SD2022/0013875")</x:f>
      </x:c>
      <x:c r="B69" s="3" t="inlineStr">
        <x:is>
          <x:t>CAPRICHOS EQUINOS</x:t>
        </x:is>
      </x:c>
      <x:c r="C69" s="3" t="inlineStr">
        <x:is>
          <x:t/>
        </x:is>
      </x:c>
      <x:c r="D69" s="3" t="inlineStr">
        <x:is>
          <x:t>16 feb. 2022</x:t>
        </x:is>
      </x:c>
      <x:c r="E69" s="3" t="inlineStr">
        <x:is>
          <x:t/>
        </x:is>
      </x:c>
      <x:c r="F69" s="3" t="inlineStr">
        <x:is>
          <x:t>Negada</x:t>
        </x:is>
      </x:c>
      <x:c r="G69" s="3" t="inlineStr">
        <x:is>
          <x:t/>
        </x:is>
      </x:c>
      <x:c r="H69" s="3" t="inlineStr">
        <x:is>
          <x:t>LAURA MARIA AGUIRRE OCAMPO, Calle 48 #28- 16 , MANIZALES, CALDAS, CO</x:t>
        </x:is>
      </x:c>
      <x:c r="I69" s="3" t="inlineStr">
        <x:is>
          <x:t>3, 31</x:t>
        </x:is>
      </x:c>
      <x:c r="J69" s="3" t="inlineStr">
        <x:is>
          <x:t>11</x:t>
        </x:is>
      </x:c>
      <x:c r="K69" s="3" t="inlineStr">
        <x:is>
          <x:t>3. Productos de aseo y limpieza para animales.
31. Sustancias alimenticias para animales.
</x:t>
        </x:is>
      </x:c>
      <x:c r="L69" s="3" t="inlineStr">
        <x:is>
          <x:t>Sí</x:t>
        </x:is>
      </x:c>
      <x:c r="M69" s="3" t="inlineStr">
        <x:is>
          <x:t>MARINO SERNA DUQUE, calle 53B No. 24-08, BOGOTÁ, D.C., CO</x:t>
        </x:is>
      </x:c>
      <x:c r="N69" s="3" t="inlineStr">
        <x:is>
          <x:t/>
        </x:is>
      </x:c>
      <x:c r="O69" s="3" t="inlineStr">
        <x:is>
          <x:t>19 abr. 2022</x:t>
        </x:is>
      </x:c>
      <x:c r="P69" s="3" t="inlineStr">
        <x:is>
          <x:t/>
        </x:is>
      </x:c>
      <x:c r="Q69" s="3" t="inlineStr">
        <x:is>
          <x:t/>
        </x:is>
      </x:c>
    </x:row>
    <x:row r="70">
      <x:c r="A70" s="10" t="inlineStr">
        <x:f xml:space="preserve">HYPERLINK("http://sipi.sic.gov.co/sipi/View.ashx?3923022","SD2022/0013911")</x:f>
      </x:c>
      <x:c r="B70" s="3" t="inlineStr">
        <x:is>
          <x:t>Hidroxia</x:t>
        </x:is>
      </x:c>
      <x:c r="C70" s="9" t="inlineStr">
        <x:is>
          <x:t/>
        </x:is>
      </x:c>
      <x:c r="D70" s="3" t="inlineStr">
        <x:is>
          <x:t>16 feb. 2022</x:t>
        </x:is>
      </x:c>
      <x:c r="E70" s="3" t="inlineStr">
        <x:is>
          <x:t/>
        </x:is>
      </x:c>
      <x:c r="F70" s="3" t="inlineStr">
        <x:is>
          <x:t>Negada</x:t>
        </x:is>
      </x:c>
      <x:c r="G70" s="3" t="inlineStr">
        <x:is>
          <x:t>SOLICITUD MARCA HIDROXIA CL 03</x:t>
        </x:is>
      </x:c>
      <x:c r="H70" s="3" t="inlineStr">
        <x:is>
          <x:t> ARMESSO S.A.S., CRA 129 NO 22B - 57 INT 24, BOGOTÁ, D.C., CO</x:t>
        </x:is>
      </x:c>
      <x:c r="I70" s="3" t="inlineStr">
        <x:is>
          <x:t>3</x:t>
        </x:is>
      </x:c>
      <x:c r="J70" s="3" t="inlineStr">
        <x:is>
          <x:t>11</x:t>
        </x:is>
      </x:c>
      <x:c r="K70" s="3" t="inlineStr">
        <x:is>
          <x:t>3. Productos cosméticos y preparaciones de tocador; aceites esenciales; productos para el cuidado del cutis (indicaciones cosméticas); mascarillas para la piel (cutis); cremas e hidratantes faciales (cutis).
</x:t>
        </x:is>
      </x:c>
      <x:c r="L70" s="3" t="inlineStr">
        <x:is>
          <x:t>No</x:t>
        </x:is>
      </x:c>
      <x:c r="M70" s="3" t="inlineStr">
        <x:is>
          <x:t>JUAN PABLO REYES VILLAMIZAR, CARRERA 17 NO. 88-23 OFICINA 205, BOGOTÁ, D.C., CO</x:t>
        </x:is>
      </x:c>
      <x:c r="N70" s="3" t="inlineStr">
        <x:is>
          <x:t/>
        </x:is>
      </x:c>
      <x:c r="O70" s="3" t="inlineStr">
        <x:is>
          <x:t>19 abr. 2022</x:t>
        </x:is>
      </x:c>
      <x:c r="P70" s="3" t="inlineStr">
        <x:is>
          <x:t/>
        </x:is>
      </x:c>
      <x:c r="Q70" s="3" t="inlineStr">
        <x:is>
          <x:t/>
        </x:is>
      </x:c>
    </x:row>
    <x:row r="71">
      <x:c r="A71" s="10" t="inlineStr">
        <x:f xml:space="preserve">HYPERLINK("http://sipi.sic.gov.co/sipi/View.ashx?3924880","SD2022/0019113")</x:f>
      </x:c>
      <x:c r="B71" s="3" t="inlineStr">
        <x:is>
          <x:t>MY LAND BY MI LABORATORIOS MILAN SAS.</x:t>
        </x:is>
      </x:c>
      <x:c r="C71" s="9" t="inlineStr">
        <x:is>
          <x:t/>
        </x:is>
      </x:c>
      <x:c r="D71" s="3" t="inlineStr">
        <x:is>
          <x:t>01 mar. 2022</x:t>
        </x:is>
      </x:c>
      <x:c r="E71" s="3" t="inlineStr">
        <x:is>
          <x:t/>
        </x:is>
      </x:c>
      <x:c r="F71" s="3" t="inlineStr">
        <x:is>
          <x:t>Negada</x:t>
        </x:is>
      </x:c>
      <x:c r="G71" s="3" t="inlineStr">
        <x:is>
          <x:t>MY LAND</x:t>
        </x:is>
      </x:c>
      <x:c r="H71" s="3" t="inlineStr">
        <x:is>
          <x:t> MI LABORATORIOS MILAN S.A.S., Carrera 26 B No. 28-27 sur, BOGOTÁ, D.C., CO</x:t>
        </x:is>
      </x:c>
      <x:c r="I71" s="3" t="inlineStr">
        <x:is>
          <x:t>3</x:t>
        </x:is>
      </x:c>
      <x:c r="J71" s="3" t="inlineStr">
        <x:is>
          <x:t>11</x:t>
        </x:is>
      </x:c>
      <x:c r="K71" s="3" t="inlineStr">
        <x:is>
          <x:t>3. Aceite de menta [perfumería]; aceites de perfumería; aceites esenciales en cuanto perfumes de lavandería; aceites para perfumes y fragancias; agua de perfume; colonias, perfumes y productos cosméticos; fragancias y productos de perfumería; iononas [productos de perfumería]; mezclas de perfumería; perfumería y fragancias; perfumes; perfumes y colonias; perfumes, aguas de colonia y productos para después del afeitado; preparaciones ambientadoras (perfumes); productos de perfumería; productos de perfumería y productos de fragancias.
</x:t>
        </x:is>
      </x:c>
      <x:c r="L71" s="3" t="inlineStr">
        <x:is>
          <x:t>No</x:t>
        </x:is>
      </x:c>
      <x:c r="M71" s="3" t="inlineStr">
        <x:is>
          <x:t>JUAN CARLOS  PARGA GOMEZ, carrera 26 b No. 28-27 sur, BOGOTÁ, D.C., CO</x:t>
        </x:is>
      </x:c>
      <x:c r="N71" s="3" t="inlineStr">
        <x:is>
          <x:t/>
        </x:is>
      </x:c>
      <x:c r="O71" s="3" t="inlineStr">
        <x:is>
          <x:t>08 mar. 2022</x:t>
        </x:is>
      </x:c>
      <x:c r="P71" s="3" t="inlineStr">
        <x:is>
          <x:t/>
        </x:is>
      </x:c>
      <x:c r="Q71" s="3" t="inlineStr">
        <x:is>
          <x:t/>
        </x:is>
      </x:c>
    </x:row>
    <x:row r="72">
      <x:c r="A72" s="10" t="inlineStr">
        <x:f xml:space="preserve">HYPERLINK("http://sipi.sic.gov.co/sipi/View.ashx?3925058","SD2022/0014515")</x:f>
      </x:c>
      <x:c r="B72" s="3" t="inlineStr">
        <x:is>
          <x:t>KEEO</x:t>
        </x:is>
      </x:c>
      <x:c r="C72" s="9" t="inlineStr">
        <x:is>
          <x:t/>
        </x:is>
      </x:c>
      <x:c r="D72" s="3" t="inlineStr">
        <x:is>
          <x:t>17 feb. 2022</x:t>
        </x:is>
      </x:c>
      <x:c r="E72" s="3" t="inlineStr">
        <x:is>
          <x:t/>
        </x:is>
      </x:c>
      <x:c r="F72" s="3" t="inlineStr">
        <x:is>
          <x:t>Negada</x:t>
        </x:is>
      </x:c>
      <x:c r="G72" s="3" t="inlineStr">
        <x:is>
          <x:t>KEEO</x:t>
        </x:is>
      </x:c>
      <x:c r="H72" s="3" t="inlineStr">
        <x:is>
          <x:t> TOUELL S.A.S., Carrera 96b # 17a - 10. Ofc: 501, BOGOTÁ, D.C., CO</x:t>
        </x:is>
      </x:c>
      <x:c r="I72" s="3" t="inlineStr">
        <x:is>
          <x:t>3</x:t>
        </x:is>
      </x:c>
      <x:c r="J72" s="3" t="inlineStr">
        <x:is>
          <x:t>11</x:t>
        </x:is>
      </x:c>
      <x:c r="K72" s="3" t="inlineStr">
        <x:is>
          <x:t>3. Productos y preparaciones para el cuidado de la piel no medicinales y para uso cosmético, preparaciones de tocador, a saber, cremas, aguas, lociones, aceites, jabones, cosméticos, pañitos, toallitas, maquillaje, mascarillas, geles. Ninguno de los anteriores relacionados con limpieza del hogar o ropa, únicamente para uso de la piel humana.
</x:t>
        </x:is>
      </x:c>
      <x:c r="L72" s="3" t="inlineStr">
        <x:is>
          <x:t>No</x:t>
        </x:is>
      </x:c>
      <x:c r="M72" s="3" t="inlineStr">
        <x:is>
          <x:t>EDGAR GERARDO GARCIA ESCOBAR , CALLE 7 No  52-75  Ofc 201, BOGOTÁ, D.C., CO</x:t>
        </x:is>
      </x:c>
      <x:c r="N72" s="3" t="inlineStr">
        <x:is>
          <x:t/>
        </x:is>
      </x:c>
      <x:c r="O72" s="3" t="inlineStr">
        <x:is>
          <x:t>29 mar. 2022</x:t>
        </x:is>
      </x:c>
      <x:c r="P72" s="3" t="inlineStr">
        <x:is>
          <x:t/>
        </x:is>
      </x:c>
      <x:c r="Q72" s="3" t="inlineStr">
        <x:is>
          <x:t/>
        </x:is>
      </x:c>
    </x:row>
    <x:row r="73">
      <x:c r="A73" s="10" t="inlineStr">
        <x:f xml:space="preserve">HYPERLINK("http://sipi.sic.gov.co/sipi/View.ashx?3926421","SD2022/0014845")</x:f>
      </x:c>
      <x:c r="B73" s="3" t="inlineStr">
        <x:is>
          <x:t>Silvana Ama tu cuerpo </x:t>
        </x:is>
      </x:c>
      <x:c r="C73" s="9" t="inlineStr">
        <x:is>
          <x:t/>
        </x:is>
      </x:c>
      <x:c r="D73" s="3" t="inlineStr">
        <x:is>
          <x:t>17 feb. 2022</x:t>
        </x:is>
      </x:c>
      <x:c r="E73" s="3" t="inlineStr">
        <x:is>
          <x:t/>
        </x:is>
      </x:c>
      <x:c r="F73" s="3" t="inlineStr">
        <x:is>
          <x:t>Negada</x:t>
        </x:is>
      </x:c>
      <x:c r="G73" s="3" t="inlineStr">
        <x:is>
          <x:t>1060652904</x:t>
        </x:is>
      </x:c>
      <x:c r="H73" s="3" t="inlineStr">
        <x:is>
          <x:t>Jessica Lorena  Montoya Lopez, carrera 10 No. 8-51 apto 202, Altos del Portón, VILLAMARIA, CALDAS 176001, CO</x:t>
        </x:is>
      </x:c>
      <x:c r="I73" s="3" t="inlineStr">
        <x:is>
          <x:t>3</x:t>
        </x:is>
      </x:c>
      <x:c r="J73" s="3" t="inlineStr">
        <x:is>
          <x:t>11</x:t>
        </x:is>
      </x:c>
      <x:c r="K73" s="3" t="inlineStr">
        <x:is>
          <x:t>3. Champús 3 en 1.
</x:t>
        </x:is>
      </x:c>
      <x:c r="L73" s="3" t="inlineStr">
        <x:is>
          <x:t>No</x:t>
        </x:is>
      </x:c>
      <x:c r="M73" s="3" t="inlineStr">
        <x:is>
          <x:t/>
        </x:is>
      </x:c>
      <x:c r="N73" s="3" t="inlineStr">
        <x:is>
          <x:t/>
        </x:is>
      </x:c>
      <x:c r="O73" s="3" t="inlineStr">
        <x:is>
          <x:t>08 abr. 2022</x:t>
        </x:is>
      </x:c>
      <x:c r="P73" s="3" t="inlineStr">
        <x:is>
          <x:t/>
        </x:is>
      </x:c>
      <x:c r="Q73" s="3" t="inlineStr">
        <x:is>
          <x:t/>
        </x:is>
      </x:c>
    </x:row>
    <x:row r="74">
      <x:c r="A74" s="10" t="inlineStr">
        <x:f xml:space="preserve">HYPERLINK("http://sipi.sic.gov.co/sipi/View.ashx?3926616","SD2022/0014889")</x:f>
      </x:c>
      <x:c r="B74" s="3" t="inlineStr">
        <x:is>
          <x:t>BYE BYE FRIZZ</x:t>
        </x:is>
      </x:c>
      <x:c r="C74" s="3" t="inlineStr">
        <x:is>
          <x:t/>
        </x:is>
      </x:c>
      <x:c r="D74" s="3" t="inlineStr">
        <x:is>
          <x:t>17 feb. 2022</x:t>
        </x:is>
      </x:c>
      <x:c r="E74" s="3" t="inlineStr">
        <x:is>
          <x:t/>
        </x:is>
      </x:c>
      <x:c r="F74" s="3" t="inlineStr">
        <x:is>
          <x:t>Negada</x:t>
        </x:is>
      </x:c>
      <x:c r="G74" s="3" t="inlineStr">
        <x:is>
          <x:t>BYE BYE  FRIZZ</x:t>
        </x:is>
      </x:c>
      <x:c r="H74" s="3" t="inlineStr">
        <x:is>
          <x:t>RUTH YULIE  GARCIA ARBOLEDA, Calle 26 #38 - 26, MEDELLIN, ANTIOQUIA 050001, CO</x:t>
        </x:is>
      </x:c>
      <x:c r="I74" s="3" t="inlineStr">
        <x:is>
          <x:t>3</x:t>
        </x:is>
      </x:c>
      <x:c r="J74" s="3" t="inlineStr">
        <x:is>
          <x:t>11</x:t>
        </x:is>
      </x:c>
      <x:c r="K74"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tratamientos para permanentes capilares; cera para el pelo; ceras para el cuidado del pelo; ceras para el pelo; cremas para el cuidado del pelo; enjuagues de color para el pelo; preparaciones para decolorar el pelo.
</x:t>
        </x:is>
      </x:c>
      <x:c r="L74" s="3" t="inlineStr">
        <x:is>
          <x:t>No</x:t>
        </x:is>
      </x:c>
      <x:c r="M74" s="3" t="inlineStr">
        <x:is>
          <x:t>Mauricio  Velásquez Botero, Carrera 71 # 2-30, apartamento 101, MEDELLIN, ANTIOQUIA, CO</x:t>
        </x:is>
      </x:c>
      <x:c r="N74" s="3" t="inlineStr">
        <x:is>
          <x:t/>
        </x:is>
      </x:c>
      <x:c r="O74" s="3" t="inlineStr">
        <x:is>
          <x:t>20 sept. 2022</x:t>
        </x:is>
      </x:c>
      <x:c r="P74" s="3" t="inlineStr">
        <x:is>
          <x:t/>
        </x:is>
      </x:c>
      <x:c r="Q74" s="3" t="inlineStr">
        <x:is>
          <x:t/>
        </x:is>
      </x:c>
    </x:row>
    <x:row r="75">
      <x:c r="A75" s="10" t="inlineStr">
        <x:f xml:space="preserve">HYPERLINK("http://sipi.sic.gov.co/sipi/View.ashx?3926746","SD2022/0014950")</x:f>
      </x:c>
      <x:c r="B75" s="3" t="inlineStr">
        <x:is>
          <x:t>WILL</x:t>
        </x:is>
      </x:c>
      <x:c r="C75" s="9" t="inlineStr">
        <x:is>
          <x:t/>
        </x:is>
      </x:c>
      <x:c r="D75" s="3" t="inlineStr">
        <x:is>
          <x:t>17 feb. 2022</x:t>
        </x:is>
      </x:c>
      <x:c r="E75" s="3" t="inlineStr">
        <x:is>
          <x:t/>
        </x:is>
      </x:c>
      <x:c r="F75" s="3" t="inlineStr">
        <x:is>
          <x:t>Negada</x:t>
        </x:is>
      </x:c>
      <x:c r="G75" s="3" t="inlineStr">
        <x:is>
          <x:t>TEMA</x:t>
        </x:is>
      </x:c>
      <x:c r="H75" s="3" t="inlineStr">
        <x:is>
          <x:t> GRUPO EMPRESARIAL BETEL S.A.S, AV 7 19N 50 PARQUE INDUSTRIAL DEL ORIENTE N2B8, CUCUTA, NORTE DE SANTANDER 54001, CO</x:t>
        </x:is>
      </x:c>
      <x:c r="I75" s="3" t="inlineStr">
        <x:is>
          <x:t>3</x:t>
        </x:is>
      </x:c>
      <x:c r="J75" s="3" t="inlineStr">
        <x:is>
          <x:t>11</x:t>
        </x:is>
      </x:c>
      <x:c r="K75" s="3" t="inlineStr">
        <x:is>
          <x:t>3. Preparaciones para blanquear y otras sustancias para lavar la ropa; preparaciones para lavar los platos; productos de limpieza para vidrios.
</x:t>
        </x:is>
      </x:c>
      <x:c r="L75" s="3" t="inlineStr">
        <x:is>
          <x:t>No</x:t>
        </x:is>
      </x:c>
      <x:c r="M75" s="3" t="inlineStr">
        <x:is>
          <x:t>WILLIAM TARAZONA PACHECO, AV 7 #15AN-90 PARQUE IND.ORIENTE NUCLEO 2 BOD.8, CUCUTA, NORTE DE SANTANDER, CO</x:t>
        </x:is>
      </x:c>
      <x:c r="N75" s="3" t="inlineStr">
        <x:is>
          <x:t/>
        </x:is>
      </x:c>
      <x:c r="O75" s="3" t="inlineStr">
        <x:is>
          <x:t>18 mar. 2022</x:t>
        </x:is>
      </x:c>
      <x:c r="P75" s="3" t="inlineStr">
        <x:is>
          <x:t/>
        </x:is>
      </x:c>
      <x:c r="Q75" s="3" t="inlineStr">
        <x:is>
          <x:t/>
        </x:is>
      </x:c>
    </x:row>
    <x:row r="76">
      <x:c r="A76" s="10" t="inlineStr">
        <x:f xml:space="preserve">HYPERLINK("http://sipi.sic.gov.co/sipi/View.ashx?3927569","SD2022/0015115")</x:f>
      </x:c>
      <x:c r="B76" s="3" t="inlineStr">
        <x:is>
          <x:t>ÚNULA uñas sanas</x:t>
        </x:is>
      </x:c>
      <x:c r="C76" s="9" t="inlineStr">
        <x:is>
          <x:t/>
        </x:is>
      </x:c>
      <x:c r="D76" s="3" t="inlineStr">
        <x:is>
          <x:t>18 feb. 2022</x:t>
        </x:is>
      </x:c>
      <x:c r="E76" s="3" t="inlineStr">
        <x:is>
          <x:t/>
        </x:is>
      </x:c>
      <x:c r="F76" s="3" t="inlineStr">
        <x:is>
          <x:t>Negada</x:t>
        </x:is>
      </x:c>
      <x:c r="G76" s="3" t="inlineStr">
        <x:is>
          <x:t>ÚNULA</x:t>
        </x:is>
      </x:c>
      <x:c r="H76" s="3" t="inlineStr">
        <x:is>
          <x:t>Alejandra Avila, Carrera 46#7-40, Edificio Balcones de Patio Bonito 1101, MEDELLIN, ANTIOQUIA 050023, CO</x:t>
        </x:is>
      </x:c>
      <x:c r="I76" s="3" t="inlineStr">
        <x:is>
          <x:t>3, 44</x:t>
        </x:is>
      </x:c>
      <x:c r="J76" s="3" t="inlineStr">
        <x:is>
          <x:t>11</x:t>
        </x:is>
      </x:c>
      <x:c r="K76" s="3" t="inlineStr">
        <x:is>
          <x:t>3. Esta clase comprende: productos cosméticos y preparaciones de tocador no medicinales; Esmaltes y lacas para uñas, pegatinas para uñas, productos para el cuidado de las uñas, dedos y manos, uñas postizas, toallitas desmaquillántes, cremas cosméticas, cremas para la piel, productos cosméticos para el cuidado de la piel.
44. Esta clase incluye: servicios médicos; tratamientos de higiene y belleza para personas. Servicio de salones de belleza, servicios de salud. Servicios de salud dermatológica.
</x:t>
        </x:is>
      </x:c>
      <x:c r="L76" s="3" t="inlineStr">
        <x:is>
          <x:t>No</x:t>
        </x:is>
      </x:c>
      <x:c r="M76" s="3" t="inlineStr">
        <x:is>
          <x:t>SARA ESTEFANIA PEÑUELA SUAZA, Carrera 50 #46-58, RIONEGRO, ANTIOQUIA, CO</x:t>
        </x:is>
      </x:c>
      <x:c r="N76" s="3" t="inlineStr">
        <x:is>
          <x:t/>
        </x:is>
      </x:c>
      <x:c r="O76" s="3" t="inlineStr">
        <x:is>
          <x:t>08 mar. 2022</x:t>
        </x:is>
      </x:c>
      <x:c r="P76" s="3" t="inlineStr">
        <x:is>
          <x:t/>
        </x:is>
      </x:c>
      <x:c r="Q76" s="3" t="inlineStr">
        <x:is>
          <x:t/>
        </x:is>
      </x:c>
    </x:row>
    <x:row r="77">
      <x:c r="A77" s="10" t="inlineStr">
        <x:f xml:space="preserve">HYPERLINK("http://sipi.sic.gov.co/sipi/View.ashx?3928020","SD2022/0015221")</x:f>
      </x:c>
      <x:c r="B77" s="3" t="inlineStr">
        <x:is>
          <x:t>O-rea by Marly Gomez</x:t>
        </x:is>
      </x:c>
      <x:c r="C77" s="9" t="inlineStr">
        <x:is>
          <x:t/>
        </x:is>
      </x:c>
      <x:c r="D77" s="3" t="inlineStr">
        <x:is>
          <x:t>18 feb. 2022</x:t>
        </x:is>
      </x:c>
      <x:c r="E77" s="3" t="inlineStr">
        <x:is>
          <x:t/>
        </x:is>
      </x:c>
      <x:c r="F77" s="3" t="inlineStr">
        <x:is>
          <x:t>Negada</x:t>
        </x:is>
      </x:c>
      <x:c r="G77" s="3" t="inlineStr">
        <x:is>
          <x:t>Proceso de Registro de Marca O-rea by Marly Gomez</x:t>
        </x:is>
      </x:c>
      <x:c r="H77" s="3" t="inlineStr">
        <x:is>
          <x:t>MARLIN YULETHSY GOMEZ GOMEZ, CARRERA 92 # 42C-46 APTO 502, MEDELLIN, ANTIOQUIA, CO</x:t>
        </x:is>
      </x:c>
      <x:c r="I77" s="3" t="inlineStr">
        <x:is>
          <x:t>3</x:t>
        </x:is>
      </x:c>
      <x:c r="J77" s="3" t="inlineStr">
        <x:is>
          <x:t>11</x:t>
        </x:is>
      </x:c>
      <x:c r="K77" s="3" t="inlineStr">
        <x:is>
          <x:t>3. Cosméticos; cosméticos de belleza; cosméticos en forma de polvos; cosméticos y preparaciones cosméticas; cremas faciales; cremas faciales para uso cosmético; polvos faciales; aceites faciales; brillos faciales; brillos faciales y corporales; corrector facial; correctores de líneas y arrugas faciales; emulsiones faciales; emulsiones faciales de vitalidad; exfoliantes faciales; exfoliantes faciales y corporales no medicamentosos; geles corporales y faciales [cosméticos]; granulados de limpieza facial; hidratantes faciales; hidratantes faciales [cosméticos]; jabones faciales; leches de limpieza facial; limpiadores cosméticos faciales; limpiadores faciales; limpiadores faciales [cosméticos]; lociones faciales; maquillajes faciales; mascarillas faciales [productos cosméticos]; mascarillas faciales de belleza; mascarillas faciales de carboncillo; mascarillas faciales para limpiar los poros; mascarillas faciales para uso cosmético; papel secante facial [cosméticos]; parches de estiramiento facial para uso cosmético; parches de lifting facial para uso cosmético; pintura facial; polvos faciales [cosméticos]; polvos faciales cosméticos; polvos faciales en crema; preparaciones cosméticas de cuidado facial; preparaciones de cuidado facial; preparaciones de cuidado facial [cosméticos]; preparaciones faciales; tónicos faciales; cremas cosméticas para el rostro; cremas de belleza para el rostro y el cuerpo; cremas para el rostro; jabones líquidos para las manos y el rostro; leches para el rostro y el cuerpo; preparaciones de maquillaje para el rostro y el cuerpo; toallitas limpiadoras para el rostro; toallitas para el rostro.
</x:t>
        </x:is>
      </x:c>
      <x:c r="L77" s="3" t="inlineStr">
        <x:is>
          <x:t>No</x:t>
        </x:is>
      </x:c>
      <x:c r="M77" s="3" t="inlineStr">
        <x:is>
          <x:t>RODRIGO  VANEGAS GAVIRIA, CALLE 52 # 47-28 OF.329, MEDELLIN, ANTIOQUIA 050001, CO</x:t>
        </x:is>
      </x:c>
      <x:c r="N77" s="3" t="inlineStr">
        <x:is>
          <x:t/>
        </x:is>
      </x:c>
      <x:c r="O77" s="3" t="inlineStr">
        <x:is>
          <x:t>08 abr. 2022</x:t>
        </x:is>
      </x:c>
      <x:c r="P77" s="3" t="inlineStr">
        <x:is>
          <x:t/>
        </x:is>
      </x:c>
      <x:c r="Q77" s="3" t="inlineStr">
        <x:is>
          <x:t/>
        </x:is>
      </x:c>
    </x:row>
    <x:row r="78">
      <x:c r="A78" s="10" t="inlineStr">
        <x:f xml:space="preserve">HYPERLINK("http://sipi.sic.gov.co/sipi/View.ashx?3929618","SD2022/0015572")</x:f>
      </x:c>
      <x:c r="B78" s="3" t="inlineStr">
        <x:is>
          <x:t>Folyc</x:t>
        </x:is>
      </x:c>
      <x:c r="C78" s="9" t="inlineStr">
        <x:is>
          <x:t/>
        </x:is>
      </x:c>
      <x:c r="D78" s="3" t="inlineStr">
        <x:is>
          <x:t>19 feb. 2022</x:t>
        </x:is>
      </x:c>
      <x:c r="E78" s="3" t="inlineStr">
        <x:is>
          <x:t/>
        </x:is>
      </x:c>
      <x:c r="F78" s="3" t="inlineStr">
        <x:is>
          <x:t>Negada</x:t>
        </x:is>
      </x:c>
      <x:c r="G78" s="3" t="inlineStr">
        <x:is>
          <x:t>folyc registro</x:t>
        </x:is>
      </x:c>
      <x:c r="H78" s="3" t="inlineStr">
        <x:is>
          <x:t>CLAUDIA PATRICIA  MACHADO SERNA, CRA 1 # 61A-30 C.C COLÓN PLAZA. LOCAL 14, CALI, VALLE DEL CAUCA, CO</x:t>
        </x:is>
      </x:c>
      <x:c r="I78" s="3" t="inlineStr">
        <x:is>
          <x:t>3, 44</x:t>
        </x:is>
      </x:c>
      <x:c r="J78" s="3" t="inlineStr">
        <x:is>
          <x:t>11</x:t>
        </x:is>
      </x:c>
      <x:c r="K78" s="3" t="inlineStr">
        <x:is>
          <x:t>3. Productos de perfumería, aceites esenciales, cosméticos no medicinales, lociones capilares no medicinales.
44. Servicios de peluquerías y salones de belleza.
</x:t>
        </x:is>
      </x:c>
      <x:c r="L78" s="3" t="inlineStr">
        <x:is>
          <x:t>No</x:t>
        </x:is>
      </x:c>
      <x:c r="M78" s="3" t="inlineStr">
        <x:is>
          <x:t>ANDRES CASAS SANTOFIMIO, Carrera 17A No. 175 - 82, torre 6 apartamento 903, BOGOTA D.C., CUNDINAMARCA 110141650, CO</x:t>
        </x:is>
      </x:c>
      <x:c r="N78" s="3" t="inlineStr">
        <x:is>
          <x:t/>
        </x:is>
      </x:c>
      <x:c r="O78" s="3" t="inlineStr">
        <x:is>
          <x:t>28 feb. 2022</x:t>
        </x:is>
      </x:c>
      <x:c r="P78" s="3" t="inlineStr">
        <x:is>
          <x:t/>
        </x:is>
      </x:c>
      <x:c r="Q78" s="3" t="inlineStr">
        <x:is>
          <x:t/>
        </x:is>
      </x:c>
    </x:row>
    <x:row r="79">
      <x:c r="A79" s="10" t="inlineStr">
        <x:f xml:space="preserve">HYPERLINK("http://sipi.sic.gov.co/sipi/View.ashx?3929622","SD2022/0015571")</x:f>
      </x:c>
      <x:c r="B79" s="3" t="inlineStr">
        <x:is>
          <x:t>Pollux</x:t>
        </x:is>
      </x:c>
      <x:c r="C79" s="9" t="inlineStr">
        <x:is>
          <x:t/>
        </x:is>
      </x:c>
      <x:c r="D79" s="3" t="inlineStr">
        <x:is>
          <x:t>19 feb. 2022</x:t>
        </x:is>
      </x:c>
      <x:c r="E79" s="3" t="inlineStr">
        <x:is>
          <x:t/>
        </x:is>
      </x:c>
      <x:c r="F79" s="3" t="inlineStr">
        <x:is>
          <x:t>Negada</x:t>
        </x:is>
      </x:c>
      <x:c r="G79" s="3" t="inlineStr">
        <x:is>
          <x:t>Pollux</x:t>
        </x:is>
      </x:c>
      <x:c r="H79" s="3" t="inlineStr">
        <x:is>
          <x:t>Andrés David Botero Duque, Calle 10a # 10-190 edificio paradisia apto 1503, MEDELLIN, ANTIOQUIA, CO</x:t>
        </x:is>
      </x:c>
      <x:c r="I79" s="3" t="inlineStr">
        <x:is>
          <x:t>3, 5</x:t>
        </x:is>
      </x:c>
      <x:c r="J79" s="3" t="inlineStr">
        <x:is>
          <x:t>11</x:t>
        </x:is>
      </x:c>
      <x:c r="K79" s="3" t="inlineStr">
        <x:is>
          <x: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bronceadoras.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
</x:t>
        </x:is>
      </x:c>
      <x:c r="L79" s="3" t="inlineStr">
        <x:is>
          <x:t>No</x:t>
        </x:is>
      </x:c>
      <x:c r="M79" s="3" t="inlineStr">
        <x:is>
          <x:t>Esteban  Berrio Lopez, calle 8 # 84f - 155 casa 1090 , MEDELLIN, ANTIOQUIA, CO</x:t>
        </x:is>
      </x:c>
      <x:c r="N79" s="3" t="inlineStr">
        <x:is>
          <x:t/>
        </x:is>
      </x:c>
      <x:c r="O79" s="3" t="inlineStr">
        <x:is>
          <x:t>29 abr. 2022</x:t>
        </x:is>
      </x:c>
      <x:c r="P79" s="3" t="inlineStr">
        <x:is>
          <x:t/>
        </x:is>
      </x:c>
      <x:c r="Q79" s="3" t="inlineStr">
        <x:is>
          <x:t/>
        </x:is>
      </x:c>
    </x:row>
    <x:row r="80">
      <x:c r="A80" s="10" t="inlineStr">
        <x:f xml:space="preserve">HYPERLINK("http://sipi.sic.gov.co/sipi/View.ashx?3929687","SD2022/0015597")</x:f>
      </x:c>
      <x:c r="B80" s="3" t="inlineStr">
        <x:is>
          <x:t>POMPONNETTE</x:t>
        </x:is>
      </x:c>
      <x:c r="C80" s="9" t="inlineStr">
        <x:is>
          <x:t/>
        </x:is>
      </x:c>
      <x:c r="D80" s="3" t="inlineStr">
        <x:is>
          <x:t>19 feb. 2022</x:t>
        </x:is>
      </x:c>
      <x:c r="E80" s="3" t="inlineStr">
        <x:is>
          <x:t/>
        </x:is>
      </x:c>
      <x:c r="F80" s="3" t="inlineStr">
        <x:is>
          <x:t>Negada</x:t>
        </x:is>
      </x:c>
      <x:c r="G80" s="3" t="inlineStr">
        <x:is>
          <x:t>POMPONNETTE</x:t>
        </x:is>
      </x:c>
      <x:c r="H80" s="3" t="inlineStr">
        <x:is>
          <x:t>GRETCHEM ADARA ZURIQUE PEDROZA, SOCORRO PLAN 500 B MZ 81  LT 2, CARTAGENA, BOLIVAR 130001, CO</x:t>
        </x:is>
      </x:c>
      <x:c r="I80" s="3" t="inlineStr">
        <x:is>
          <x:t>3</x:t>
        </x:is>
      </x:c>
      <x:c r="J80" s="3" t="inlineStr">
        <x:is>
          <x:t>11</x:t>
        </x:is>
      </x:c>
      <x:c r="K80" s="3" t="inlineStr">
        <x:is>
          <x:t>3. Jabones corporales no medicados; jabones cosméticos; jabones de tocador no medicinales; jabones líquidos; jabones líquidos para las manos y el rostro; jabones no medicados para el cuerpo; jabones no medicados para la cara; cremas cosméticas; cremas cosméticas para el cuidado de la piel; cremas cosméticas para el rostro; cremas cosméticas para la piel; preparaciones cosméticas no medicinales para tratamientos capilares; preparaciones cosméticas para el cuidado de la piel; preparaciones cosméticas para el cuidado del cabello; tratamientos de alisado para el cabello; tónicos cosméticos; tónicos faciales; tónicos para uso cosmético; agua de colonia; agua de rosas [destilados de hierbas]; ceras para el cuidado del cabello; ceras para el peinado del cabello; barras de labios hidratantes; cremas hidratantes; cremas hidratantes para la piel [cosméticos]; hidratantes [cosméticos]; hidratantes faciales [cosméticos]; hidratantes para el cabello; hidratantes para la piel; lociones para ondular el cabello; lociones para ondular el cabello de forma permanente; cremas, lociones y geles hidratantes; lociones capilares*; lociones corporales; champús para el cabello; acondicionadores para uso en el cabello; champús acondicionadores; champús y acondicionadores; cejas postizas; cejas postizas autoadhesivas; cosméticos para las cejas; geles para el peinado de las cejas; lápices de cejas; cosméticos para pestañas; extensiones de pestañas; máscara de pestañas; pestañas postizas; calcomanías para las uñas; endurecedores de uñas; esmaltes de uñas; esmaltes de uñas en gel; lociones, cremas y preparaciones para el cuidado de la cara, cuerpo, cuero cabelludo, uñas y cabello; lociones, cremas y preparaciones para el cuidado del rostro, cuerpo, cuero cabelludo, uñas y cabello; cremas para el cabello de uso cosmético; preparaciones para la limpieza del cabello; preparaciones para limpiar, teñir, colorear, decolorar, marcar y peinar el cabello; preparaciones para rizar permanente el cabello.
</x:t>
        </x:is>
      </x:c>
      <x:c r="L80" s="3" t="inlineStr">
        <x:is>
          <x:t>No</x:t>
        </x:is>
      </x:c>
      <x:c r="M80" s="3" t="inlineStr">
        <x:is>
          <x:t>Heidy Vega Guerrero, Condominio el Portillo torre 2 apto 105, TURBACO, BOLIVAR 001, CO</x:t>
        </x:is>
      </x:c>
      <x:c r="N80" s="3" t="inlineStr">
        <x:is>
          <x:t/>
        </x:is>
      </x:c>
      <x:c r="O80" s="3" t="inlineStr">
        <x:is>
          <x:t>29 abr. 2022</x:t>
        </x:is>
      </x:c>
      <x:c r="P80" s="3" t="inlineStr">
        <x:is>
          <x:t/>
        </x:is>
      </x:c>
      <x:c r="Q80" s="3" t="inlineStr">
        <x:is>
          <x:t/>
        </x:is>
      </x:c>
    </x:row>
    <x:row r="81">
      <x:c r="A81" s="10" t="inlineStr">
        <x:f xml:space="preserve">HYPERLINK("http://sipi.sic.gov.co/sipi/View.ashx?3931886","SD2022/0016477")</x:f>
      </x:c>
      <x:c r="B81" s="3" t="inlineStr">
        <x:is>
          <x:t>CANNBIA</x:t>
        </x:is>
      </x:c>
      <x:c r="C81" s="9" t="inlineStr">
        <x:is>
          <x:t/>
        </x:is>
      </x:c>
      <x:c r="D81" s="3" t="inlineStr">
        <x:is>
          <x:t>22 feb. 2022</x:t>
        </x:is>
      </x:c>
      <x:c r="E81" s="3" t="inlineStr">
        <x:is>
          <x:t/>
        </x:is>
      </x:c>
      <x:c r="F81" s="3" t="inlineStr">
        <x:is>
          <x:t>Negada</x:t>
        </x:is>
      </x:c>
      <x:c r="G81" s="3" t="inlineStr">
        <x:is>
          <x:t>202201</x:t>
        </x:is>
      </x:c>
      <x:c r="H81" s="3" t="inlineStr">
        <x:is>
          <x:t> CANNBIA LAB S.A.S., CR 53 No 106 - 280 OF 7, BARRANQUILLA, ATLÁNTICO, CO</x:t>
        </x:is>
      </x:c>
      <x:c r="I81" s="3" t="inlineStr">
        <x:is>
          <x:t>3, 5, 42</x:t>
        </x:is>
      </x:c>
      <x:c r="J81" s="3" t="inlineStr">
        <x:is>
          <x:t>11</x:t>
        </x:is>
      </x:c>
      <x:c r="K81" s="3" t="inlineStr">
        <x:is>
          <x:t>3. Cosméticos; cosméticos a base de cannabis; cosméticos a base de cáñamo; cosméticos de belleza; cosméticos naturales; cosméticos a base de hierbas; cosméticos naturales; cosméticos ecológicos; cosméticos para cuidados corporales y estéticos; cosméticos para el cuidado del cuerpo; cosméticos y preparaciones cosméticas; cosméticos y preparaciones de cuidado personal; productos cosméticos y de maquillaje; preparaciones cosméticas, aceites de cáñamo a base de cbd para uso cosmético; preparaciones para el cuidado de la piel a base de cbd; productos cosméticos de cbd; preparaciones fito-cosméticas; terpenos [aceites esenciales]; aceites para cosméticos y preparaciones de tocador.
5. Cannabis medicinal en forma de aceites para facilitar la administración de fármacos; cannabis medicinal en forma de tisanas; cannabis medicinal en forma de tisanas para uso medicinal; cannabis para uso médico; suplementos dietéticos con efecto cosmético; productos y derivados para la elaboración y preparación de: productos farmacéuticos, veterinarios, alimenticios y preparaciones de uso médico, provenientes de material vegetal, tanto de cannabis, cañamo y de otras plantas o especies vegetales autorizadas por ley; extractos de plantas y tes para uso médico; extractos de plantas para uso farmacéutico; tinturas para uso médico; preparaciones de vitaminas; aceites, hierbas, raíces, pociones, infusiones medicinales; hierbas de fumar para uso médico.
42. Análisis de laboratorio en el ámbito de los productos cosméticos; ensayos de cosméticos; investigación en laboratorio en el ámbito de los productos cosméticos; servicios de prueba, inspección e investigación en los ámbitos de los productos farmacéuticos, los productos cosméticos y los alimentos; servicios científicos, así como de investigación y desarrollo en estos ámbitos; investigación industrial; investigación biológica; test cosméticos; inspección de cosméticos.
</x:t>
        </x:is>
      </x:c>
      <x:c r="L81" s="3" t="inlineStr">
        <x:is>
          <x:t>Sí</x:t>
        </x:is>
      </x:c>
      <x:c r="M81" s="3" t="inlineStr">
        <x:is>
          <x:t>FRANK FELIPE  LAMADRID FLORIAN, CARRERA 53 # 106 - 280, CENTRO EMPRESARIAL BUENAVISTA, OFICINA 7A1, BARRANQUILLA, ATLÁNTICO, CO</x:t>
        </x:is>
      </x:c>
      <x:c r="N81" s="3" t="inlineStr">
        <x:is>
          <x:t/>
        </x:is>
      </x:c>
      <x:c r="O81" s="3" t="inlineStr">
        <x:is>
          <x:t>08 nov. 2022</x:t>
        </x:is>
      </x:c>
      <x:c r="P81" s="3" t="inlineStr">
        <x:is>
          <x:t/>
        </x:is>
      </x:c>
      <x:c r="Q81" s="3" t="inlineStr">
        <x:is>
          <x:t/>
        </x:is>
      </x:c>
    </x:row>
    <x:row r="82">
      <x:c r="A82" s="10" t="inlineStr">
        <x:f xml:space="preserve">HYPERLINK("http://sipi.sic.gov.co/sipi/View.ashx?3932432","SD2022/0016180")</x:f>
      </x:c>
      <x:c r="B82" s="3" t="inlineStr">
        <x:is>
          <x:t>SOFT &amp; GIRL</x:t>
        </x:is>
      </x:c>
      <x:c r="C82" s="9" t="inlineStr">
        <x:is>
          <x:t/>
        </x:is>
      </x:c>
      <x:c r="D82" s="3" t="inlineStr">
        <x:is>
          <x:t>22 feb. 2022</x:t>
        </x:is>
      </x:c>
      <x:c r="E82" s="3" t="inlineStr">
        <x:is>
          <x:t/>
        </x:is>
      </x:c>
      <x:c r="F82" s="3" t="inlineStr">
        <x:is>
          <x:t>Negada</x:t>
        </x:is>
      </x:c>
      <x:c r="G82" s="3" t="inlineStr">
        <x:is>
          <x:t/>
        </x:is>
      </x:c>
      <x:c r="H82" s="3" t="inlineStr">
        <x:is>
          <x:t> EDUARD LOPEZ ARQUITECTURA Y CONSTRUCCION SAS, CR 101 B NRO 11 B 20, CALI, VALLE DEL CAUCA, CO</x:t>
        </x:is>
      </x:c>
      <x:c r="I82" s="3" t="inlineStr">
        <x:is>
          <x:t>3, 18, 25, 35</x:t>
        </x:is>
      </x:c>
      <x:c r="J82" s="3" t="inlineStr">
        <x:is>
          <x:t>11</x:t>
        </x:is>
      </x:c>
      <x:c r="K82" s="3" t="inlineStr">
        <x:is>
          <x:t>3. Barras de labios con protección solar [cosméticos]; barras de labios en stick con protección solar [cosméticos]; colonias, perfumes y productos cosméticos; colorantes labiales [cosméticos]; colorantes labiales [productos cosméticos]; correctores de imperfecciones [productos cosméticos]; cosméticos; cosméticos a base de cannabis; cosméticos biológicos; cosméticos de belleza; cosméticos ecológicos; cosméticos naturales; cosméticos no medicinales; cosméticos orgánicos; cosméticos para broncear la piel; cosméticos para las cejas; cosméticos para los labios; cosméticos para pestañas; cosméticos para tratamiento de belleza cosméticos para el cuidado de belleza; cosméticos y preparaciones de cuidado personal; cremas corporales [cosméticos]; cremas de limpieza [cosméticos]; cremas hidratantes para la piel [cosméticos]; cremas limpiadoras [cosméticos]; cremas para el cuerpo [cosméticos]; cremas para la cara [cosméticos]; endurecedores de uñas [cosméticos]; esmaltes de base para las uñas [productos cosméticos]; filtro solar [cosméticos]; geles bronceadores [cosméticos]; geles hidratantes [cosméticos]; geles para después del sol [productos cosméticos];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lociones faciales [cosméticos]; maquillaje [cosméticos]; polvos compactos para polveras [cosméticos]; polvos cosméticos; preparaciones de cuidado facial [cosméticos]; preparados cosméticos para el cuidado del cuerpo; preparados cosméticos para el tratamiento de la piel; productos cosméticos de cbd; productos cosméticos de baño y ducha; productos cosméticos decorativos; productos cosméticos para el baño y la ducha; productos cosméticos para el cabello y el cuero cabelludo; productos cosméticos para el cuidado corporal; productos cosméticos para la piel; productos cosméticos y de belleza; productos cosméticos y de maquillaje; productos cosméticos y de tocador; quitaesmalte para uñas [cosméticos]; tintes cosméticos; eau de parfum [agua de perfume]; extractos de flores en cuanto perfumes; fragancias y productos de perfumería; perfumería y fragancias; perfumes; perfumes y aguas de colonia; perfumes y aguas de tocador; perfumes y colonias; productos de perfumería.
18. Billeteras; billeteras de cuero; bolsas, maletas y billeteras de cuero; bolsos y billeteras de cuero; equipaje, bolsas, billeteras y bolsas de transporte; artículos de equipaje, a saber, bolsos; bolsitos de mano sin asas [bolsos de mano]; bolsos; bolsos a mano de cuero sintético; bolsos blandos; bolsos con ruedas; bolsos de cuero; bolsos de cuero de imitación; bolsos de cuero sintético; bolsos de deporte multiusos; bolsos de deporte*; bolsos de mano; bolsos de mano de metales preciosos; bolsos de noche; bolsos de piel sintética; carteras [bolsos de mano]; adornos de cuero para teléfonos celulares; carteras de bolsillo de cuero; carteras de cuero; carteras de cuero para tarjetas; maletas de cuero.
25. Bailarinas [zapatos planos]; botas y zapatos; zapatos; zapatos de cuero; zapatos de tacón; zapatos de tacón alto; zapatos de vestir; zapatos para bebés; zapatos para hombres; zapatos para señora; zapatos y botas; ajuares de prendas de vestir para bebés; bandas abdominales para embarazadas [prendas de vestir]; bermudas [prendas de vestir]; blusas [prendas de vestir]; bodys [prendas de vestir]; cinturones (prendas de vestir); cinturones de tela [prendas de vestir]; pieles artificiales [prendas de vestir]; prendas de vestir bordadas; prendas de vestir de cachemira; prendas de vestir de deporte; prendas de vestir de lino; prendas de vestir de piel artificial; prendas de vestir impermeables; prendas de vestir para bebés y niños pequeños; prendas de vestir para mujeres, hombres y niños; prendas de vestir tejidas; prendas de vestir*; prendas de vestir, calzado y artículos de sombrerería; prendas de vestir, calzado y artículos de sombrerería para bebés y niños pequeños; prendas de vestir, calzado y artículos de sombrerería para seres humanos; pulseras en cuanto prendas de vestir; shorts en cuanto prendas de vestir; pijamas; pijamas para adultos; pijamas para bebés; pijamas para niños.
35. Servicios de tiendas de venta al por mayor o al por menor; servicios de tiendas de venta al por menor o al por mayor; servicios de tiendas de venta al por menor por correspondencia; servicios de venta al por mayor de mercancías; servicios de venta al por mayor de mercancías [por todo tipo de medios]; servicios de venta al por mayor y al por menor en línea; servicios de venta al por menor de mercancías; servicios de venta al por menor en línea; servicios de venta de tienda al por menor en línea en relación con prendas de vestir; servicios de venta de tienda al por menor en línea que incluyen prendas de vestir; servicios de venta de tienda al por menor en línea que incluyen productos cosméticos y de belleza; servicios de venta de tienda minorista en línea de productos cosméticos y de belleza; servicios de venta de tienda minorista en línea en relación con prendas de vestir; servicios de venta de tienda minorista en línea en relación con productos cosméticos y de belleza; servicios de venta de tienda minorista en línea que incluyen prendas de vestir; servicios de venta de tienda minorista en línea que incluyen productos cosméticos y de belleza; servicios de venta mayorista de prendas de vestir; servicios de venta mayorista en relación con prendas de vestir; servicios de venta minorista de prendas de vestir; servicios de venta minorista en línea de prendas de vestir; servicios de venta minorista en línea de productos cosméticos; servicios de venta minorista en línea de productos cosméticos y de belleza, así como de prendas de vestir y complementos; servicios de venta minorista en línea en relación con bolsos de mano; servicios de venta minorista en línea en relación con prendas de vestir; servicios de venta minorista en línea en relación con regalos; servicios de venta minorista en relación con prendas de vestir; servicios de tiendas mayoristas de ropa; servicios de venta al por menor de ropa.
</x:t>
        </x:is>
      </x:c>
      <x:c r="L82" s="3" t="inlineStr">
        <x:is>
          <x:t>No</x:t>
        </x:is>
      </x:c>
      <x:c r="M82" s="3" t="inlineStr">
        <x:is>
          <x:t>DAVID GUILLERMO MOSSOS LOPEZ, Calle 4 Nro 64-59 apto 305 B, CALI, VALLE DEL CAUCA, CO</x:t>
        </x:is>
      </x:c>
      <x:c r="N82" s="3" t="inlineStr">
        <x:is>
          <x:t/>
        </x:is>
      </x:c>
      <x:c r="O82" s="3" t="inlineStr">
        <x:is>
          <x:t>28 feb. 2022</x:t>
        </x:is>
      </x:c>
      <x:c r="P82" s="3" t="inlineStr">
        <x:is>
          <x:t/>
        </x:is>
      </x:c>
      <x:c r="Q82" s="3" t="inlineStr">
        <x:is>
          <x:t/>
        </x:is>
      </x:c>
    </x:row>
    <x:row r="83">
      <x:c r="A83" s="10" t="inlineStr">
        <x:f xml:space="preserve">HYPERLINK("http://sipi.sic.gov.co/sipi/View.ashx?3932909","SD2022/0016519")</x:f>
      </x:c>
      <x:c r="B83" s="3" t="inlineStr">
        <x:is>
          <x:t>CANNUBIA</x:t>
        </x:is>
      </x:c>
      <x:c r="C83" s="3" t="inlineStr">
        <x:is>
          <x:t/>
        </x:is>
      </x:c>
      <x:c r="D83" s="3" t="inlineStr">
        <x:is>
          <x:t>22 feb. 2022</x:t>
        </x:is>
      </x:c>
      <x:c r="E83" s="3" t="inlineStr">
        <x:is>
          <x:t/>
        </x:is>
      </x:c>
      <x:c r="F83" s="3" t="inlineStr">
        <x:is>
          <x:t>Negada</x:t>
        </x:is>
      </x:c>
      <x:c r="G83" s="3" t="inlineStr">
        <x:is>
          <x:t>202202</x:t>
        </x:is>
      </x:c>
      <x:c r="H83" s="3" t="inlineStr">
        <x:is>
          <x:t> CANNBIA LAB S.A.S., CR 53 No 106 - 280 OF 7, BARRANQUILLA, ATLÁNTICO, CO</x:t>
        </x:is>
      </x:c>
      <x:c r="I83" s="3" t="inlineStr">
        <x:is>
          <x:t>3</x:t>
        </x:is>
      </x:c>
      <x:c r="J83" s="3" t="inlineStr">
        <x:is>
          <x:t>11</x:t>
        </x:is>
      </x:c>
      <x:c r="K83" s="3" t="inlineStr">
        <x:is>
          <x:t>3. Cosméticos; cosméticos a base de cannabis; cosméticos a base de cáñamo; cosméticos de belleza; cosméticos naturales; cosméticos a base de hierbas; cosméticos naturales; cosméticos ecológicos; cosméticos para cuidados corporales y; estéticos; cosméticos para el cuidado del cuerpo; cosméticos y preparaciones cosméticas; cosméticos y preparaciones de; cuidado personal; productos cosméticos y de maquillaje; preparaciones cosméticas, aceites de cáñamo a base de cbd para; uso cosmético; preparaciones para el cuidado de la piel a base de cbd; productos cosméticos de cbd; preparaciones fitocosméticas; terpenos [aceites esenciales]; aceites para cosméticos y preparaciones de tocador.
</x:t>
        </x:is>
      </x:c>
      <x:c r="L83" s="3" t="inlineStr">
        <x:is>
          <x:t>No</x:t>
        </x:is>
      </x:c>
      <x:c r="M83" s="3" t="inlineStr">
        <x:is>
          <x:t>FRANK FELIPE  LAMADRID FLORIAN, CARRERA 53 # 106 - 280, CENTRO EMPRESARIAL BUENAVISTA, OFICINA 7A1, BARRANQUILLA, ATLÁNTICO, CO</x:t>
        </x:is>
      </x:c>
      <x:c r="N83" s="3" t="inlineStr">
        <x:is>
          <x:t/>
        </x:is>
      </x:c>
      <x:c r="O83" s="3" t="inlineStr">
        <x:is>
          <x:t>30 jun. 2022</x:t>
        </x:is>
      </x:c>
      <x:c r="P83" s="3" t="inlineStr">
        <x:is>
          <x:t/>
        </x:is>
      </x:c>
      <x:c r="Q83" s="3" t="inlineStr">
        <x:is>
          <x:t/>
        </x:is>
      </x:c>
    </x:row>
    <x:row r="84">
      <x:c r="A84" s="10" t="inlineStr">
        <x:f xml:space="preserve">HYPERLINK("http://sipi.sic.gov.co/sipi/View.ashx?3932988","SD2022/0016524")</x:f>
      </x:c>
      <x:c r="B84" s="3" t="inlineStr">
        <x:is>
          <x:t>BIOCANNAX</x:t>
        </x:is>
      </x:c>
      <x:c r="C84" s="3" t="inlineStr">
        <x:is>
          <x:t/>
        </x:is>
      </x:c>
      <x:c r="D84" s="3" t="inlineStr">
        <x:is>
          <x:t>22 feb. 2022</x:t>
        </x:is>
      </x:c>
      <x:c r="E84" s="3" t="inlineStr">
        <x:is>
          <x:t/>
        </x:is>
      </x:c>
      <x:c r="F84" s="3" t="inlineStr">
        <x:is>
          <x:t>Negada</x:t>
        </x:is>
      </x:c>
      <x:c r="G84" s="3" t="inlineStr">
        <x:is>
          <x:t>202203</x:t>
        </x:is>
      </x:c>
      <x:c r="H84" s="3" t="inlineStr">
        <x:is>
          <x:t> CANNBIA LAB S.A.S., CR 53 No 106 - 280 OF 7, BARRANQUILLA, ATLÁNTICO, CO</x:t>
        </x:is>
      </x:c>
      <x:c r="I84" s="3" t="inlineStr">
        <x:is>
          <x:t>3</x:t>
        </x:is>
      </x:c>
      <x:c r="J84" s="3" t="inlineStr">
        <x:is>
          <x:t>11</x:t>
        </x:is>
      </x:c>
      <x:c r="K84" s="3" t="inlineStr">
        <x:is>
          <x:t>3. Cosméticos; cosméticos a base de cannabis; cosméticos a base de cáñamo; cosméticos de belleza; cosméticos naturales; cosméticos a base de hierbas; cosméticos naturales; cosméticos ecológicos; cosméticos para cuidados corporales y; estéticos; cosméticos para el cuidado del cuerpo; cosméticos y preparaciones cosméticas; cosméticos y preparaciones de; cuidado personal; productos cosméticos y de maquillaje; preparaciones cosméticas, aceites de cáñamo a base de cbd para; uso cosmético; preparaciones para el cuidado de la piel a base de cbd; productos cosméticos de cbd; preparaciones fitocosméticas; terpenos [aceites esenciales]; aceites para cosméticos y preparaciones de tocador.
</x:t>
        </x:is>
      </x:c>
      <x:c r="L84" s="3" t="inlineStr">
        <x:is>
          <x:t>No</x:t>
        </x:is>
      </x:c>
      <x:c r="M84" s="3" t="inlineStr">
        <x:is>
          <x:t>FRANK FELIPE  LAMADRID FLORIAN, CARRERA 53 # 106 - 280, CENTRO EMPRESARIAL BUENAVISTA, OFICINA 7A1, BARRANQUILLA, ATLÁNTICO, CO</x:t>
        </x:is>
      </x:c>
      <x:c r="N84" s="3" t="inlineStr">
        <x:is>
          <x:t/>
        </x:is>
      </x:c>
      <x:c r="O84" s="3" t="inlineStr">
        <x:is>
          <x:t>30 jun. 2022</x:t>
        </x:is>
      </x:c>
      <x:c r="P84" s="3" t="inlineStr">
        <x:is>
          <x:t/>
        </x:is>
      </x:c>
      <x:c r="Q84" s="3" t="inlineStr">
        <x:is>
          <x:t/>
        </x:is>
      </x:c>
    </x:row>
    <x:row r="85">
      <x:c r="A85" s="10" t="inlineStr">
        <x:f xml:space="preserve">HYPERLINK("http://sipi.sic.gov.co/sipi/View.ashx?3933154","SD2022/0016556")</x:f>
      </x:c>
      <x:c r="B85" s="3" t="inlineStr">
        <x:is>
          <x:t>CICAX CBD</x:t>
        </x:is>
      </x:c>
      <x:c r="C85" s="3" t="inlineStr">
        <x:is>
          <x:t/>
        </x:is>
      </x:c>
      <x:c r="D85" s="3" t="inlineStr">
        <x:is>
          <x:t>22 feb. 2022</x:t>
        </x:is>
      </x:c>
      <x:c r="E85" s="3" t="inlineStr">
        <x:is>
          <x:t/>
        </x:is>
      </x:c>
      <x:c r="F85" s="3" t="inlineStr">
        <x:is>
          <x:t>Negada</x:t>
        </x:is>
      </x:c>
      <x:c r="G85" s="3" t="inlineStr">
        <x:is>
          <x:t>202206</x:t>
        </x:is>
      </x:c>
      <x:c r="H85" s="3" t="inlineStr">
        <x:is>
          <x:t> CANNBIA LAB S.A.S., CR 53 No 106 - 280 OF 7, BARRANQUILLA, ATLÁNTICO, CO</x:t>
        </x:is>
      </x:c>
      <x:c r="I85" s="3" t="inlineStr">
        <x:is>
          <x:t>3</x:t>
        </x:is>
      </x:c>
      <x:c r="J85" s="3" t="inlineStr">
        <x:is>
          <x:t>11</x:t>
        </x:is>
      </x:c>
      <x:c r="K85" s="3" t="inlineStr">
        <x:is>
          <x:t>3. Cosméticos; cosméticos a base de cannabis; cosméticos a base de cáñamo; cosméticos de belleza; cosméticos naturales; cosméticos a base de hierbas; cosméticos naturales; cosméticos ecológicos; cosméticos para cuidados corporales y estéticos; cosméticos para el cuidado del cuerpo; cosméticos y preparaciones cosméticas; cosméticos y preparaciones de cuidado personal; productos cosméticos y de maquillaje; preparaciones cosméticas, aceites de cáñamo a base de cbd para uso cosmético; preparaciones para el cuidado de la piel a base de cbd; productos cosméticos de cbd; preparaciones fitocosméticas; terpenos [aceites esenciales]; aceites para cosméticos y preparaciones de tocador.
</x:t>
        </x:is>
      </x:c>
      <x:c r="L85" s="3" t="inlineStr">
        <x:is>
          <x:t>No</x:t>
        </x:is>
      </x:c>
      <x:c r="M85" s="3" t="inlineStr">
        <x:is>
          <x:t>FRANK FELIPE  LAMADRID FLORIAN, CARRERA 53 # 106 - 280, CENTRO EMPRESARIAL BUENAVISTA, OFICINA 7A1, BARRANQUILLA, ATLÁNTICO, CO</x:t>
        </x:is>
      </x:c>
      <x:c r="N85" s="3" t="inlineStr">
        <x:is>
          <x:t/>
        </x:is>
      </x:c>
      <x:c r="O85" s="3" t="inlineStr">
        <x:is>
          <x:t>19 abr. 2022</x:t>
        </x:is>
      </x:c>
      <x:c r="P85" s="3" t="inlineStr">
        <x:is>
          <x:t/>
        </x:is>
      </x:c>
      <x:c r="Q85" s="3" t="inlineStr">
        <x:is>
          <x:t/>
        </x:is>
      </x:c>
    </x:row>
    <x:row r="86">
      <x:c r="A86" s="10" t="inlineStr">
        <x:f xml:space="preserve">HYPERLINK("http://sipi.sic.gov.co/sipi/View.ashx?3933222","SD2022/0016559")</x:f>
      </x:c>
      <x:c r="B86" s="3" t="inlineStr">
        <x:is>
          <x:t>CARE Q10 CBD</x:t>
        </x:is>
      </x:c>
      <x:c r="C86" s="3" t="inlineStr">
        <x:is>
          <x:t/>
        </x:is>
      </x:c>
      <x:c r="D86" s="3" t="inlineStr">
        <x:is>
          <x:t>22 feb. 2022</x:t>
        </x:is>
      </x:c>
      <x:c r="E86" s="3" t="inlineStr">
        <x:is>
          <x:t/>
        </x:is>
      </x:c>
      <x:c r="F86" s="3" t="inlineStr">
        <x:is>
          <x:t>Negada</x:t>
        </x:is>
      </x:c>
      <x:c r="G86" s="3" t="inlineStr">
        <x:is>
          <x:t>202207</x:t>
        </x:is>
      </x:c>
      <x:c r="H86" s="3" t="inlineStr">
        <x:is>
          <x:t> CANNBIA LAB S.A.S., CR 53 No 106 - 280 OF 7, BARRANQUILLA, ATLÁNTICO, CO</x:t>
        </x:is>
      </x:c>
      <x:c r="I86" s="3" t="inlineStr">
        <x:is>
          <x:t>3</x:t>
        </x:is>
      </x:c>
      <x:c r="J86" s="3" t="inlineStr">
        <x:is>
          <x:t>11</x:t>
        </x:is>
      </x:c>
      <x:c r="K86" s="3" t="inlineStr">
        <x:is>
          <x:t>3. Cosméticos; cosméticos a base de cannabis; cosméticos a base de cáñamo; cosméticos de belleza; cosméticos naturales; cosméticos a base de hierbas; cosméticos naturales; cosméticos ecológicos; cosméticos para cuidados corporales y estéticos; cosméticos para el cuidado del cuerpo; cosméticos y preparaciones cosméticas; cosméticos y preparaciones de cuidado personal; productos cosméticos y de maquillaje; preparaciones cosméticas, aceites de cáñamo a base de cbd para uso cosmético; preparaciones para el cuidado de la piel a base de cbd; productos cosméticos de cbd; preparaciones fitocosméticas; terpenos [aceites esenciales]; aceites para cosméticos y preparaciones de tocador.
</x:t>
        </x:is>
      </x:c>
      <x:c r="L86" s="3" t="inlineStr">
        <x:is>
          <x:t>No</x:t>
        </x:is>
      </x:c>
      <x:c r="M86" s="3" t="inlineStr">
        <x:is>
          <x:t>FRANK FELIPE  LAMADRID FLORIAN, CARRERA 53 # 106 - 280, CENTRO EMPRESARIAL BUENAVISTA, OFICINA 7A1, BARRANQUILLA, ATLÁNTICO, CO</x:t>
        </x:is>
      </x:c>
      <x:c r="N86" s="3" t="inlineStr">
        <x:is>
          <x:t/>
        </x:is>
      </x:c>
      <x:c r="O86" s="3" t="inlineStr">
        <x:is>
          <x:t>19 abr. 2022</x:t>
        </x:is>
      </x:c>
      <x:c r="P86" s="3" t="inlineStr">
        <x:is>
          <x:t/>
        </x:is>
      </x:c>
      <x:c r="Q86" s="3" t="inlineStr">
        <x:is>
          <x:t/>
        </x:is>
      </x:c>
    </x:row>
    <x:row r="87">
      <x:c r="A87" s="10" t="inlineStr">
        <x:f xml:space="preserve">HYPERLINK("http://sipi.sic.gov.co/sipi/View.ashx?3935931","SD2022/0016834")</x:f>
      </x:c>
      <x:c r="B87" s="3" t="inlineStr">
        <x:is>
          <x:t/>
        </x:is>
      </x:c>
      <x:c r="C87" s="9" t="inlineStr">
        <x:is>
          <x:t/>
        </x:is>
      </x:c>
      <x:c r="D87" s="3" t="inlineStr">
        <x:is>
          <x:t>23 feb. 2022</x:t>
        </x:is>
      </x:c>
      <x:c r="E87" s="3" t="inlineStr">
        <x:is>
          <x:t/>
        </x:is>
      </x:c>
      <x:c r="F87" s="3" t="inlineStr">
        <x:is>
          <x:t>Negada</x:t>
        </x:is>
      </x:c>
      <x:c r="G87" s="3" t="inlineStr">
        <x:is>
          <x:t>M 2022/5207</x:t>
        </x:is>
      </x:c>
      <x:c r="H87" s="3" t="inlineStr">
        <x:is>
          <x:t> UNITED STATES POLO ASSOCIATION, 1400 Centrepark Blvd., Suite 200, West Palm Beach, FL 33401, WEST PALM BEACH, FLORIDA, US</x:t>
        </x:is>
      </x:c>
      <x:c r="I87" s="3" t="inlineStr">
        <x:is>
          <x:t>3</x:t>
        </x:is>
      </x:c>
      <x:c r="J87" s="3" t="inlineStr">
        <x:is>
          <x:t>11</x:t>
        </x:is>
      </x:c>
      <x:c r="K87" s="3" t="inlineStr">
        <x:is>
          <x:t>3. Perfumes; aguas de tocador; fragancias y sprays para el cuerpo; cosméticos.
</x:t>
        </x:is>
      </x:c>
      <x:c r="L87" s="3" t="inlineStr">
        <x:is>
          <x:t>No</x:t>
        </x:is>
      </x:c>
      <x:c r="M87" s="3" t="inlineStr">
        <x:is>
          <x:t>CAROLINA MERCEDES DAZA MONTALVO, CARRERA 11 No. 86 - 53 PISO 6, BOGOTÁ, D.C., CO</x:t>
        </x:is>
      </x:c>
      <x:c r="N87" s="3" t="inlineStr">
        <x:is>
          <x:t/>
        </x:is>
      </x:c>
      <x:c r="O87" s="3" t="inlineStr">
        <x:is>
          <x:t>19 abr. 2022</x:t>
        </x:is>
      </x:c>
      <x:c r="P87" s="3" t="inlineStr">
        <x:is>
          <x:t/>
        </x:is>
      </x:c>
      <x:c r="Q87" s="3" t="inlineStr">
        <x:is>
          <x:t/>
        </x:is>
      </x:c>
    </x:row>
    <x:row r="88">
      <x:c r="A88" s="10" t="inlineStr">
        <x:f xml:space="preserve">HYPERLINK("http://sipi.sic.gov.co/sipi/View.ashx?3936275","SD2022/0016927")</x:f>
      </x:c>
      <x:c r="B88" s="3" t="inlineStr">
        <x:is>
          <x:t>ATHENA PELO DE DIOSA</x:t>
        </x:is>
      </x:c>
      <x:c r="C88" s="9" t="inlineStr">
        <x:is>
          <x:t/>
        </x:is>
      </x:c>
      <x:c r="D88" s="3" t="inlineStr">
        <x:is>
          <x:t>23 feb. 2022</x:t>
        </x:is>
      </x:c>
      <x:c r="E88" s="3" t="inlineStr">
        <x:is>
          <x:t/>
        </x:is>
      </x:c>
      <x:c r="F88" s="3" t="inlineStr">
        <x:is>
          <x:t>Negada</x:t>
        </x:is>
      </x:c>
      <x:c r="G88" s="3" t="inlineStr">
        <x:is>
          <x:t/>
        </x:is>
      </x:c>
      <x:c r="H88" s="3" t="inlineStr">
        <x:is>
          <x:t> GRUPO RAYCALL COL S.A.S, Carrera 7 # 75-51 oficina 402, BOGOTÁ, D.C. 1110111, CO</x:t>
        </x:is>
      </x:c>
      <x:c r="I88" s="3" t="inlineStr">
        <x:is>
          <x:t>3</x:t>
        </x:is>
      </x:c>
      <x:c r="J88" s="3" t="inlineStr">
        <x:is>
          <x:t>11</x:t>
        </x:is>
      </x:c>
      <x:c r="K8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88" s="3" t="inlineStr">
        <x:is>
          <x:t>Sí</x:t>
        </x:is>
      </x:c>
      <x:c r="M88" s="3" t="inlineStr">
        <x:is>
          <x:t>LINA MARIA  FRANCO MARTINEZ, CARRERA 7 # 75-51, BOGOTÁ, D.C. 111110, CO</x:t>
        </x:is>
      </x:c>
      <x:c r="N88" s="3" t="inlineStr">
        <x:is>
          <x:t/>
        </x:is>
      </x:c>
      <x:c r="O88" s="3" t="inlineStr">
        <x:is>
          <x:t>08 abr. 2022</x:t>
        </x:is>
      </x:c>
      <x:c r="P88" s="3" t="inlineStr">
        <x:is>
          <x:t/>
        </x:is>
      </x:c>
      <x:c r="Q88" s="3" t="inlineStr">
        <x:is>
          <x:t/>
        </x:is>
      </x:c>
    </x:row>
    <x:row r="89">
      <x:c r="A89" s="10" t="inlineStr">
        <x:f xml:space="preserve">HYPERLINK("http://sipi.sic.gov.co/sipi/View.ashx?3936447","SD2022/0016966")</x:f>
      </x:c>
      <x:c r="B89" s="3" t="inlineStr">
        <x:is>
          <x:t>Piel Rosa</x:t>
        </x:is>
      </x:c>
      <x:c r="C89" s="9" t="inlineStr">
        <x:is>
          <x:t/>
        </x:is>
      </x:c>
      <x:c r="D89" s="3" t="inlineStr">
        <x:is>
          <x:t>25 feb. 2022</x:t>
        </x:is>
      </x:c>
      <x:c r="E89" s="3" t="inlineStr">
        <x:is>
          <x:t/>
        </x:is>
      </x:c>
      <x:c r="F89" s="3" t="inlineStr">
        <x:is>
          <x:t>Negada</x:t>
        </x:is>
      </x:c>
      <x:c r="G89" s="3" t="inlineStr">
        <x:is>
          <x:t>001</x:t>
        </x:is>
      </x:c>
      <x:c r="H89" s="3" t="inlineStr">
        <x:is>
          <x:t>mariana toro gomez, calle 20 # 33 - 08 apt 401 quintas de la florida, CARMEN DE VIBORAL, ANTIOQUIA 054030, CO</x:t>
        </x:is>
      </x:c>
      <x:c r="I89" s="3" t="inlineStr">
        <x:is>
          <x:t>3, 5</x:t>
        </x:is>
      </x:c>
      <x:c r="J89" s="3" t="inlineStr">
        <x:is>
          <x:t>11</x:t>
        </x:is>
      </x:c>
      <x:c r="K89" s="3" t="inlineStr">
        <x:is>
          <x:t>3. Aceites cosméticos para la piel; composiciones para aclarar la piel [cosméticos]; cremas para el cuidado de la piel que no sean de uso médico; hidratantes cosméticas para el rostro; jabones líquidos para las manos, el rostro y el cuerpo; preparaciones de maquillaje para el rostro y el cuerpo; tónicos cosméticos para el rostro; bloqueador solar [cosméticos]; mascarillas para la piel [cosméticos]; preparaciones cosméticas para proteger la piel de los rayos del sol; exfoliantes corporales; exfoliantes corporales cosméticos; cremas cosméticas para el cuidado de la piel; cremas no medicinales para la piel; maquillaje para la piel.
5. Preparaciones para el tratamiento del acné.
</x:t>
        </x:is>
      </x:c>
      <x:c r="L89" s="3" t="inlineStr">
        <x:is>
          <x:t>No</x:t>
        </x:is>
      </x:c>
      <x:c r="M89" s="3" t="inlineStr">
        <x:is>
          <x:t/>
        </x:is>
      </x:c>
      <x:c r="N89" s="3" t="inlineStr">
        <x:is>
          <x:t/>
        </x:is>
      </x:c>
      <x:c r="O89" s="3" t="inlineStr">
        <x:is>
          <x:t>10 jun. 2022</x:t>
        </x:is>
      </x:c>
      <x:c r="P89" s="3" t="inlineStr">
        <x:is>
          <x:t/>
        </x:is>
      </x:c>
      <x:c r="Q89" s="3" t="inlineStr">
        <x:is>
          <x:t/>
        </x:is>
      </x:c>
    </x:row>
    <x:row r="90">
      <x:c r="A90" s="10" t="inlineStr">
        <x:f xml:space="preserve">HYPERLINK("http://sipi.sic.gov.co/sipi/View.ashx?4044315","SD2022/0017277")</x:f>
      </x:c>
      <x:c r="B90" s="3" t="inlineStr">
        <x:is>
          <x:t>JuvenZua CaféTerapia</x:t>
        </x:is>
      </x:c>
      <x:c r="C90" s="3" t="inlineStr">
        <x:is>
          <x:t/>
        </x:is>
      </x:c>
      <x:c r="D90" s="3" t="inlineStr">
        <x:is>
          <x:t>24 feb. 2022</x:t>
        </x:is>
      </x:c>
      <x:c r="E90" s="3" t="inlineStr">
        <x:is>
          <x:t/>
        </x:is>
      </x:c>
      <x:c r="F90" s="3" t="inlineStr">
        <x:is>
          <x:t>Negada</x:t>
        </x:is>
      </x:c>
      <x:c r="G90" s="3" t="inlineStr">
        <x:is>
          <x:t>JuvenZua</x:t>
        </x:is>
      </x:c>
      <x:c r="H90" s="3" t="inlineStr">
        <x:is>
          <x:t>ILDE FERNANDO FAJARDO PEÑA , Cra 9 Nº 11-24, CHINCHINA, CALDAS, CO</x:t>
        </x:is>
      </x:c>
      <x:c r="I90" s="3" t="inlineStr">
        <x:is>
          <x:t>3</x:t>
        </x:is>
      </x:c>
      <x:c r="J90" s="3" t="inlineStr">
        <x:is>
          <x:t>11</x:t>
        </x:is>
      </x:c>
      <x:c r="K90"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90" s="3" t="inlineStr">
        <x:is>
          <x:t>No</x:t>
        </x:is>
      </x:c>
      <x:c r="M90" s="3" t="inlineStr">
        <x:is>
          <x:t/>
        </x:is>
      </x:c>
      <x:c r="N90" s="3" t="inlineStr">
        <x:is>
          <x:t/>
        </x:is>
      </x:c>
      <x:c r="O90" s="3" t="inlineStr">
        <x:is>
          <x:t>20 may. 2022</x:t>
        </x:is>
      </x:c>
      <x:c r="P90" s="3" t="inlineStr">
        <x:is>
          <x:t/>
        </x:is>
      </x:c>
      <x:c r="Q90" s="3" t="inlineStr">
        <x:is>
          <x:t/>
        </x:is>
      </x:c>
    </x:row>
    <x:row r="91">
      <x:c r="A91" s="10" t="inlineStr">
        <x:f xml:space="preserve">HYPERLINK("http://sipi.sic.gov.co/sipi/View.ashx?4044752","SD2022/0017363")</x:f>
      </x:c>
      <x:c r="B91" s="3" t="inlineStr">
        <x:is>
          <x:t>Cereza, cuidado y belleza</x:t>
        </x:is>
      </x:c>
      <x:c r="C91" s="9" t="inlineStr">
        <x:is>
          <x:t/>
        </x:is>
      </x:c>
      <x:c r="D91" s="3" t="inlineStr">
        <x:is>
          <x:t>24 feb. 2022</x:t>
        </x:is>
      </x:c>
      <x:c r="E91" s="3" t="inlineStr">
        <x:is>
          <x:t/>
        </x:is>
      </x:c>
      <x:c r="F91" s="3" t="inlineStr">
        <x:is>
          <x:t>Negada</x:t>
        </x:is>
      </x:c>
      <x:c r="G91" s="3" t="inlineStr">
        <x:is>
          <x:t/>
        </x:is>
      </x:c>
      <x:c r="H91" s="3" t="inlineStr">
        <x:is>
          <x:t>JAZZIRA ALEJANDRA  RAMIREZ OLARTE, carrera 47 54 90, BUCARAMANGA, SANTANDER, CO</x:t>
        </x:is>
      </x:c>
      <x:c r="I91" s="3" t="inlineStr">
        <x:is>
          <x:t>3</x:t>
        </x:is>
      </x:c>
      <x:c r="J91" s="3" t="inlineStr">
        <x:is>
          <x:t>11</x:t>
        </x:is>
      </x:c>
      <x:c r="K91" s="3" t="inlineStr">
        <x:is>
          <x:t>3. Cosméticos; cosméticos para el cabello; cosméticos para el cuidado del cuerpo; cosméticos para las cejas; cosméticos para los labios; cosméticos para pestañas; cosméticos para tratamiento de belleza cosméticos para el cuidado de belleza; cosméticos y preparaciones cosméticas; cosméticos y preparaciones de cuidado personal; maquillaje [cosméticos]; perfumería para; cosméticos; preparaciones faciales [cosméticos]; preparaciones hidratantes [cosméticos]; productos cosméticos y de maquillaje; cosméticos para cuidados corporales y estéticos; preparaciones para el cuidado y la belleza personal.
</x:t>
        </x:is>
      </x:c>
      <x:c r="L91" s="3" t="inlineStr">
        <x:is>
          <x:t>No</x:t>
        </x:is>
      </x:c>
      <x:c r="M91" s="3" t="inlineStr">
        <x:is>
          <x:t>WILLIAM ORLANDO  QUIROGA, Carrera 13 No. 32-93. Torre 3, Oficina 708. Parque Central Baviera., BOGOTA, CUNDINAMARCA, CO</x:t>
        </x:is>
      </x:c>
      <x:c r="N91" s="3" t="inlineStr">
        <x:is>
          <x:t/>
        </x:is>
      </x:c>
      <x:c r="O91" s="3" t="inlineStr">
        <x:is>
          <x:t>09 ago. 2022</x:t>
        </x:is>
      </x:c>
      <x:c r="P91" s="3" t="inlineStr">
        <x:is>
          <x:t/>
        </x:is>
      </x:c>
      <x:c r="Q91" s="3" t="inlineStr">
        <x:is>
          <x:t/>
        </x:is>
      </x:c>
    </x:row>
    <x:row r="92">
      <x:c r="A92" s="10" t="inlineStr">
        <x:f xml:space="preserve">HYPERLINK("http://sipi.sic.gov.co/sipi/View.ashx?4045871","SD2022/0017594")</x:f>
      </x:c>
      <x:c r="B92" s="3" t="inlineStr">
        <x:is>
          <x:t>RADI PIEL</x:t>
        </x:is>
      </x:c>
      <x:c r="C92" s="9" t="inlineStr">
        <x:is>
          <x:t/>
        </x:is>
      </x:c>
      <x:c r="D92" s="3" t="inlineStr">
        <x:is>
          <x:t>25 feb. 2022</x:t>
        </x:is>
      </x:c>
      <x:c r="E92" s="3" t="inlineStr">
        <x:is>
          <x:t/>
        </x:is>
      </x:c>
      <x:c r="F92" s="3" t="inlineStr">
        <x:is>
          <x:t>Negada</x:t>
        </x:is>
      </x:c>
      <x:c r="G92" s="3" t="inlineStr">
        <x:is>
          <x:t/>
        </x:is>
      </x:c>
      <x:c r="H92" s="3" t="inlineStr">
        <x:is>
          <x:t>CLARA INES MARIN RODRIGUEZ, CL 69 SUR NO 43A 18 IN 201, SABANETA, ANTIOQUIA, CO</x:t>
        </x:is>
      </x:c>
      <x:c r="I92" s="3" t="inlineStr">
        <x:is>
          <x:t>3</x:t>
        </x:is>
      </x:c>
      <x:c r="J92" s="3" t="inlineStr">
        <x:is>
          <x:t>11</x:t>
        </x:is>
      </x:c>
      <x:c r="K92" s="3" t="inlineStr">
        <x:is>
          <x:t>3. Cremas para la cara [cosméticos]; exfoliantes para la cara; geles para la cara [cosméticos]; hidratantes cosméticas para la cara; jabones no medicados para la cara; limpiadores para la cara; lociones cosméticas para la cara; lociones, cremas y preparaciones para el cuidado de la cara, cuerpo, cuero cabelludo, uñas y cabello; mascarillas faciales para eliminar el exceso de sebo de la cara; mascarillas para la cara; aceites cosméticos para la piel; crema para aclarar la piel; cremas cosméticas para el cuidado de la piel; cremas cosméticas para la piel; cremas limpiadoras para la piel; cremas líquidas y sólidas para la piel; cremas no medicadas para hidratar la piel; cremas no medicadas para la hidratación de la piel; cremas no medicadas para la piel; cremas no medicinales para la piel; cremas para aclarar la piel; hidratantes faciales; hidratantes faciales [cosméticos]; hidratantes para la piel; leches hidratantes; lociones hidratantes; mascarillas hidratantes para la piel; correctores para disimular manchas e imperfecciones de la piel.
</x:t>
        </x:is>
      </x:c>
      <x:c r="L92" s="3" t="inlineStr">
        <x:is>
          <x:t>No</x:t>
        </x:is>
      </x:c>
      <x:c r="M92" s="3" t="inlineStr">
        <x:is>
          <x:t/>
        </x:is>
      </x:c>
      <x:c r="N92" s="3" t="inlineStr">
        <x:is>
          <x:t/>
        </x:is>
      </x:c>
      <x:c r="O92" s="3" t="inlineStr">
        <x:is>
          <x:t>18 mar. 2022</x:t>
        </x:is>
      </x:c>
      <x:c r="P92" s="3" t="inlineStr">
        <x:is>
          <x:t/>
        </x:is>
      </x:c>
      <x:c r="Q92" s="3" t="inlineStr">
        <x:is>
          <x:t/>
        </x:is>
      </x:c>
    </x:row>
    <x:row r="93">
      <x:c r="A93" s="10" t="inlineStr">
        <x:f xml:space="preserve">HYPERLINK("http://sipi.sic.gov.co/sipi/View.ashx?4046655","SD2022/0021165")</x:f>
      </x:c>
      <x:c r="B93" s="3" t="inlineStr">
        <x:is>
          <x:t>OffDuty</x:t>
        </x:is>
      </x:c>
      <x:c r="C93" s="9" t="inlineStr">
        <x:is>
          <x:t/>
        </x:is>
      </x:c>
      <x:c r="D93" s="3" t="inlineStr">
        <x:is>
          <x:t>04 mar. 2022</x:t>
        </x:is>
      </x:c>
      <x:c r="E93" s="3" t="inlineStr">
        <x:is>
          <x:t/>
        </x:is>
      </x:c>
      <x:c r="F93" s="3" t="inlineStr">
        <x:is>
          <x:t>Negada</x:t>
        </x:is>
      </x:c>
      <x:c r="G93" s="3" t="inlineStr">
        <x:is>
          <x:t/>
        </x:is>
      </x:c>
      <x:c r="H93" s="3" t="inlineStr">
        <x:is>
          <x:t> PURECARE COSMETIC S.A.S, Calle 35 1A - 15, CALI, VALLE DEL CAUCA, CO</x:t>
        </x:is>
      </x:c>
      <x:c r="I93" s="3" t="inlineStr">
        <x:is>
          <x:t>3, 35</x:t>
        </x:is>
      </x:c>
      <x:c r="J93" s="3" t="inlineStr">
        <x:is>
          <x:t>11</x:t>
        </x:is>
      </x:c>
      <x:c r="K93" s="3" t="inlineStr">
        <x:is>
          <x:t>3. Aceites cosméticos; aceites cosméticos para la piel; aceites de protección solar [cosméticos]; aceites minerales [cosméticos]; aceites perfumados para la fabricación de productos cosméticos; bloqueador solar [cosméticos]; colonias, perfumes y productos cosméticos; composiciones para aclarar la piel [cosméticos]; correctores de imperfecciones [productos cosméticos]; cosméticos; cosméticos a base de cannabis; cosméticos a base de cáñamo; cosméticos a base de hierbas; cosméticos biológicos; cosméticos de belleza; cosméticos ecológicos; cosméticos en forma de cremas; cosméticos funcionales en cuanto preparaciones para blanquear la piel; cosméticos naturales; cosméticos no medicinales; cosméticos orgánicos; cosméticos para cuidados corporales y estéticos; cosméticos para el cabello; cosméticos para el cuero cabelludo; cosméticos para el cuidado del cuerpo; cosméticos para los labios;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y geles cosméticos para cara, manos y cuerpo; cremas y geles cosméticos para rostro, manos y cuerpo; exfoliantes corporales cosméticos; hidratantes [cosméticos]; hidratantes faciales [cosméticos]; jabones cosméticos; limpiadores cosméticos faciales; limpiadores cosméticos para la piel; limpiadores de la piel [cosméticos]; limpiadores de la piel [productos cosméticos]; limpiadores faciales [cosméticos]; limpiadores faciales [productos cosméticos]; lociones para el cuidado de la piel [cosméticos]; mascarillas faciales [productos cosméticos]; mascarillas para el cutis [cosméticos]; mascarillas para la piel [cosméticos]; preparaciones de cuidado facial [cosméticos]; preparaciones de protección solar [productos cosméticos]; preparaciones faciales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de cbd; productos cosméticos en forma de cremas; productos cosméticos no medicinales; productos cosméticos para el baño y la ducha; productos cosméticos para el cabello y el cuero cabelludo; productos cosméticos para el cuidado corporal; productos cosméticos para el cuidado de la piel; productos cosméticos para la piel;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y preparaciones cosméticos para el cuidado de la piel.
35. Asesoramiento sobre productos de consumo en relación con productos cosméticos; investigación de marketing en el ámbito de los productos cosméticos, la perfumería y los productos de belleza; servicio de distribución comercial en el ámbito de los cosméticos; servicios de agencia de ventas de productos cosméticos; servicios de agencia de ventas de utensilios cosméticos; servicios de distribución comercial al por mayor de productos cosméticos; servicios de información sobre productos de consumo relacionados con productos cosméticos; servicios de publicidad en relación con productos cosméticos; servicios de revendedores en el ámbito de los cosméticos; servicios de venta de tienda al por menor en línea de productos cosméticos y de belleza; servicios de venta de tienda al por menor en línea que incluyen productos cosméticos y de belleza; servicios de venta de tienda minorista en línea de productos cosméticos y de belleza; servicios de venta de tienda minorista en línea en relación con productos cosméticos y de belleza; servicios de venta de tienda minorista en línea que incluyen productos cosméticos y de belleza; servicios de venta minorista en línea de cosméticos; servicios de venta minorista en línea de productos cosméticos; servicios de venta minorista en línea de productos cosméticos y de belleza, así como de prendas de vestir y complementos; servicios de venta minorista en línea en relación con productos cosméticos; servicios de venta minorista o mayorista de productos cosméticos; servicios de venta minorista o mayorista de productos cosméticos, productos de tocador, dentífricos, jabones y detergentes; servicios de venta minorista por correspondencia de cosméticos; servicios de venta minorista por correspondencia de productos cosméticos.
</x:t>
        </x:is>
      </x:c>
      <x:c r="L93" s="3" t="inlineStr">
        <x:is>
          <x:t>No</x:t>
        </x:is>
      </x:c>
      <x:c r="M93" s="3" t="inlineStr">
        <x:is>
          <x:t>Julian Osorio, Carrera 37 # 1 Oeste - 45, CALI, VALLE DEL CAUCA, CO</x:t>
        </x:is>
      </x:c>
      <x:c r="N93" s="3" t="inlineStr">
        <x:is>
          <x:t/>
        </x:is>
      </x:c>
      <x:c r="O93" s="3" t="inlineStr">
        <x:is>
          <x:t>08 mar. 2022</x:t>
        </x:is>
      </x:c>
      <x:c r="P93" s="3" t="inlineStr">
        <x:is>
          <x:t/>
        </x:is>
      </x:c>
      <x:c r="Q93" s="3" t="inlineStr">
        <x:is>
          <x:t/>
        </x:is>
      </x:c>
    </x:row>
    <x:row r="94">
      <x:c r="A94" s="10" t="inlineStr">
        <x:f xml:space="preserve">HYPERLINK("http://sipi.sic.gov.co/sipi/View.ashx?4047153","SD2022/0017910")</x:f>
      </x:c>
      <x:c r="B94" s="3" t="inlineStr">
        <x:is>
          <x:t>MAGIA ANCESTRAL By Tatiana Dehnez</x:t>
        </x:is>
      </x:c>
      <x:c r="C94" s="9" t="inlineStr">
        <x:is>
          <x:t/>
        </x:is>
      </x:c>
      <x:c r="D94" s="3" t="inlineStr">
        <x:is>
          <x:t>25 feb. 2022</x:t>
        </x:is>
      </x:c>
      <x:c r="E94" s="3" t="inlineStr">
        <x:is>
          <x:t/>
        </x:is>
      </x:c>
      <x:c r="F94" s="3" t="inlineStr">
        <x:is>
          <x:t>Negada</x:t>
        </x:is>
      </x:c>
      <x:c r="G94" s="3" t="inlineStr">
        <x:is>
          <x:t>Magia2022</x:t>
        </x:is>
      </x:c>
      <x:c r="H94" s="3" t="inlineStr">
        <x:is>
          <x:t>Tatiana Vanessa Denhez Lorza, Calle 15 a 66-51, CALI, VALLE DEL CAUCA, VALLE DEL CAUCA, CO</x:t>
        </x:is>
      </x:c>
      <x:c r="I94" s="3" t="inlineStr">
        <x:is>
          <x:t>3</x:t>
        </x:is>
      </x:c>
      <x:c r="J94" s="3" t="inlineStr">
        <x:is>
          <x:t>11</x:t>
        </x:is>
      </x:c>
      <x:c r="K94" s="3" t="inlineStr">
        <x:is>
          <x:t>3. Bálsamos capilares; bálsamos capilares no medicinales; cremas capilares; lociones capilares cosméticas; lociones capilares no medicinales; mascarillas de belleza para el cabello; productos cosméticos y de belleza.
</x:t>
        </x:is>
      </x:c>
      <x:c r="L94" s="3" t="inlineStr">
        <x:is>
          <x:t>Sí</x:t>
        </x:is>
      </x:c>
      <x:c r="M94" s="3" t="inlineStr">
        <x:is>
          <x:t>Juan Camilo Betancourt Agudelo, Sin establecer, CALI, VALLE DEL CAUCA, CO</x:t>
        </x:is>
      </x:c>
      <x:c r="N94" s="3" t="inlineStr">
        <x:is>
          <x:t/>
        </x:is>
      </x:c>
      <x:c r="O94" s="3" t="inlineStr">
        <x:is>
          <x:t>10 jun. 2022</x:t>
        </x:is>
      </x:c>
      <x:c r="P94" s="3" t="inlineStr">
        <x:is>
          <x:t/>
        </x:is>
      </x:c>
      <x:c r="Q94" s="3" t="inlineStr">
        <x:is>
          <x:t/>
        </x:is>
      </x:c>
    </x:row>
    <x:row r="95">
      <x:c r="A95" s="10" t="inlineStr">
        <x:f xml:space="preserve">HYPERLINK("http://sipi.sic.gov.co/sipi/View.ashx?4047713","SD2022/0018110")</x:f>
      </x:c>
      <x:c r="B95" s="3" t="inlineStr">
        <x:is>
          <x:t>DÉJALO COMO NUEVO</x:t>
        </x:is>
      </x:c>
      <x:c r="C95" s="3" t="inlineStr">
        <x:is>
          <x:t/>
        </x:is>
      </x:c>
      <x:c r="D95" s="3" t="inlineStr">
        <x:is>
          <x:t>25 feb. 2022</x:t>
        </x:is>
      </x:c>
      <x:c r="E95" s="3" t="inlineStr">
        <x:is>
          <x:t/>
        </x:is>
      </x:c>
      <x:c r="F95" s="3" t="inlineStr">
        <x:is>
          <x:t>Negada</x:t>
        </x:is>
      </x:c>
      <x:c r="G95" s="3" t="inlineStr">
        <x:is>
          <x:t>COLO-27083-701-001-5</x:t>
        </x:is>
      </x:c>
      <x:c r="H95" s="3" t="inlineStr">
        <x:is>
          <x:t> For Life Products, LLC, 1 Rider Trail Plaza Drive, Ste. 300,, EARTH CITY, MISSOURI 63045, US</x:t>
        </x:is>
      </x:c>
      <x:c r="I95" s="3" t="inlineStr">
        <x:is>
          <x:t>3, 21</x:t>
        </x:is>
      </x:c>
      <x:c r="J95" s="3" t="inlineStr">
        <x:is>
          <x:t>11</x:t>
        </x:is>
      </x:c>
      <x:c r="K95" s="3" t="inlineStr">
        <x:is>
          <x:t>3. Preparaciones de limpieza polivalentes; agentes y preparaciones de limpieza; agentes de limpieza para limpiar superficies; preparaciones limpiadoras y pulidoras; productos de limpieza para barcos, bombas de achique y cascos de barcos; preparaciones limpiadoras para cubiertas de barcos; quitamanchas; preparaciones del tipo de apósitos, cremas, pulimentos y ceras para acondicionar, limpiar y proteger cuero y vinilo; preparaciones de limpieza para fibra de vidrio, metal y gelcoat; jabones para barcos; preparaciones desengrasantes para barcos; pretratador de ropa y quitamanchas para telas, prendas de vestir y alfombras; productos de limpieza para uso doméstico, a saber, limpiadores para suelos, ceras para suelos, productos para lustrar suelos y pulidor de gabinetes y muebles; preparaciones para limpiar, pulir, y restaurar acabados de superficies de vehículos; paños impregnados con preparaciones de limpieza; quitamanchas; preparaciones para pulir.
21. Mopas para uso doméstico; estropajos para limpiar; cepillos para el suelo.
</x:t>
        </x:is>
      </x:c>
      <x:c r="L95" s="3" t="inlineStr">
        <x:is>
          <x:t>No</x:t>
        </x:is>
      </x:c>
      <x:c r="M95" s="3" t="inlineStr">
        <x:is>
          <x:t>EDUARDO VARELA PEZZANO, CARRERA 4 NO. 72 - 35, BOGOTÁ, D.C., CO</x:t>
        </x:is>
      </x:c>
      <x:c r="N95" s="3" t="inlineStr">
        <x:is>
          <x:t/>
        </x:is>
      </x:c>
      <x:c r="O95" s="3" t="inlineStr">
        <x:is>
          <x:t>08 abr. 2022</x:t>
        </x:is>
      </x:c>
      <x:c r="P95" s="3" t="inlineStr">
        <x:is>
          <x:t/>
        </x:is>
      </x:c>
      <x:c r="Q95" s="3" t="inlineStr">
        <x:is>
          <x:t/>
        </x:is>
      </x:c>
    </x:row>
    <x:row r="96">
      <x:c r="A96" s="10" t="inlineStr">
        <x:f xml:space="preserve">HYPERLINK("http://sipi.sic.gov.co/sipi/View.ashx?4047719","SD2022/0018116")</x:f>
      </x:c>
      <x:c r="B96" s="3" t="inlineStr">
        <x:is>
          <x:t>DÉJALO COMO NUEVO OTRA VEZ</x:t>
        </x:is>
      </x:c>
      <x:c r="C96" s="3" t="inlineStr">
        <x:is>
          <x:t/>
        </x:is>
      </x:c>
      <x:c r="D96" s="3" t="inlineStr">
        <x:is>
          <x:t>25 feb. 2022</x:t>
        </x:is>
      </x:c>
      <x:c r="E96" s="3" t="inlineStr">
        <x:is>
          <x:t/>
        </x:is>
      </x:c>
      <x:c r="F96" s="3" t="inlineStr">
        <x:is>
          <x:t>Negada</x:t>
        </x:is>
      </x:c>
      <x:c r="G96" s="3" t="inlineStr">
        <x:is>
          <x:t>COLO-27083-701-002-3</x:t>
        </x:is>
      </x:c>
      <x:c r="H96" s="3" t="inlineStr">
        <x:is>
          <x:t> For Life Products, LLC, 1 Rider Trail Plaza Drive, Ste. 300,, EARTH CITY, MISSOURI 63045, US</x:t>
        </x:is>
      </x:c>
      <x:c r="I96" s="3" t="inlineStr">
        <x:is>
          <x:t>3, 21</x:t>
        </x:is>
      </x:c>
      <x:c r="J96" s="3" t="inlineStr">
        <x:is>
          <x:t>11</x:t>
        </x:is>
      </x:c>
      <x:c r="K96" s="3" t="inlineStr">
        <x:is>
          <x:t>3. Preparaciones de limpieza polivalentes; agentes y preparaciones de limpieza; agentes de limpieza para limpiar superficies; preparaciones limpiadoras y pulidoras; productos de limpieza para barcos, bombas de achique y cascos de barcos; preparaciones limpiadoras para cubiertas de barcos; quitamanchas; preparaciones del tipo de apósitos, cremas, pulimentos y ceras para acondicionar, limpiar y proteger cuero y vinilo; preparaciones de limpieza para fibra de vidrio, metal y gelcoat; jabones para barcos; preparaciones desengrasantes para barcos; pretratador de ropa y quitamanchas para telas, prendas de vestir y alfombras; productos de limpieza para uso doméstico, a saber, limpiadores para suelos, ceras para suelos, productos para lustrar suelos y pulidor de gabinetes y muebles; preparaciones para limpiar, pulir, y restaurar acabados de superficies de vehículos; paños impregnados con preparaciones de limpieza; quitamanchas; preparaciones para pulir.
21. Mopas para uso doméstico; estropajos para limpiar; cepillos para el suelo.
</x:t>
        </x:is>
      </x:c>
      <x:c r="L96" s="3" t="inlineStr">
        <x:is>
          <x:t>No</x:t>
        </x:is>
      </x:c>
      <x:c r="M96" s="3" t="inlineStr">
        <x:is>
          <x:t>EDUARDO VARELA PEZZANO, CARRERA 4 NO. 72 - 35, BOGOTÁ, D.C., CO</x:t>
        </x:is>
      </x:c>
      <x:c r="N96" s="3" t="inlineStr">
        <x:is>
          <x:t/>
        </x:is>
      </x:c>
      <x:c r="O96" s="3" t="inlineStr">
        <x:is>
          <x:t>08 abr. 2022</x:t>
        </x:is>
      </x:c>
      <x:c r="P96" s="3" t="inlineStr">
        <x:is>
          <x:t/>
        </x:is>
      </x:c>
      <x:c r="Q96" s="3" t="inlineStr">
        <x:is>
          <x:t/>
        </x:is>
      </x:c>
    </x:row>
    <x:row r="97">
      <x:c r="A97" s="10" t="inlineStr">
        <x:f xml:space="preserve">HYPERLINK("http://sipi.sic.gov.co/sipi/View.ashx?4051449","SD2022/0018812")</x:f>
      </x:c>
      <x:c r="B97" s="3" t="inlineStr">
        <x:is>
          <x:t>furrys</x:t>
        </x:is>
      </x:c>
      <x:c r="C97" s="3" t="inlineStr">
        <x:is>
          <x:t/>
        </x:is>
      </x:c>
      <x:c r="D97" s="3" t="inlineStr">
        <x:is>
          <x:t>28 feb. 2022</x:t>
        </x:is>
      </x:c>
      <x:c r="E97" s="3" t="inlineStr">
        <x:is>
          <x:t/>
        </x:is>
      </x:c>
      <x:c r="F97" s="3" t="inlineStr">
        <x:is>
          <x:t>Negada</x:t>
        </x:is>
      </x:c>
      <x:c r="G97" s="3" t="inlineStr">
        <x:is>
          <x:t/>
        </x:is>
      </x:c>
      <x:c r="H97" s="3" t="inlineStr">
        <x:is>
          <x:t>Mariana  yepes baena, calle 7d #43a-99, MEDELLIN, ANTIOQUIA 050025, CO</x:t>
        </x:is>
      </x:c>
      <x:c r="I97" s="3" t="inlineStr">
        <x:is>
          <x:t>3, 5, 18, 25, 35</x:t>
        </x:is>
      </x:c>
      <x:c r="J97" s="3" t="inlineStr">
        <x:is>
          <x:t>11</x:t>
        </x:is>
      </x:c>
      <x:c r="K97" s="3" t="inlineStr">
        <x:is>
          <x:t>3. Esponjas impregnadas con jabones; esponjas impregnadas con jabones para uso doméstico; jabones antitranspirantes; jabones antitranspirantes para los pies; jabones corporales no medicados; jabones cosméticos; jabones de acero inoxidable; jabones de baño; jabones de baño en forma líquida, sólida o de gel; jabones de ducha; jabones de lufa; jabones de papel para uso personal; jabones de tocador; jabones de tocador no medicinales; jabones de tocador perfumados; jabones desodorantes; jabones desodorantes a base de cáñamo; jabones desodorizantes; jabones detergentes; jabones en crema; jabones en crema para el cuerpo; jabones en forma líquida; jabones en polvo no medicinales;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alfombras; jabones para avivar los colores de materias textiles; jabones para el cuerpo; jabones para el cuidado del cuerpo; jabones para guarnicionería; jabones para la colada; jabones para la ducha; jabones para la piel; jabones para las manos; jabones para lavar la ropa; jabones para silla de montar; jabones para uso doméstico; jabones para uso personal; jabones perfumados; jabones vegetales; jabones y detergentes; jabones*; jabones*; aceites esenciales para aromatizar los alimentos; aceites esenciales utilizados como aromatizantes para alimentos; aceites esenciales utilizados como saborizantes para alimentos; esencias comestibles para alimentos [aceites esenciales]; esencias comestibles para alimentos [esencias etéricas]; aceites de limpieza; aceites de pino para la limpieza de suelos; agentes de limpieza para uso doméstico; agentes y preparaciones de limpieza; agua micelar de limpieza; almidón para uso de limpieza; almohadillas de limpieza impregnadas con cosméticos; almohadillas de limpieza impregnadas con productos cosméticos; almohadillas de limpieza impregnadas de cosméticos; almohadillas de limpieza prehumedecidas; almohadillas de limpieza preimpregnadas; almohadillas, toallitas o pañitos de limpieza prehumedecidos o impregnados; amoníaco de limpieza; cremas de limpieza; cremas de limpieza [cosméticos]; cremas de limpieza [para uso cosmético]; cremas de limpieza [productos cosméticos]; cremas de limpieza para uso cosmético; detergentes para la limpieza de la ropa para uso doméstico; detergentes para la limpieza que no sean para procesos de fabricación; esponjas impregnadas con preparaciones para la limpieza; espuma de limpieza; espumas de limpieza; geles de limpieza de inodoros; geles de limpieza para los dientes; geles para la limpieza de los dientes; granulados de limpieza facial; leches de limpieza facial; lejía para uso en la limpieza; lociones de limpieza dental; líquidos de limpieza; líquidos de limpieza en seco; líquidos de limpieza para objetivos de cámaras; mascarillas faciales de limpieza profunda; materiales de chorreado para la limpieza de superficies; materiales de limpieza por chorro que contienen minerales triturados; materiales de limpieza por granallado; materiales en forma de granallado para la limpieza a chorro; pañitos de limpieza impregnados con preparaciones de tocador; pañitos de limpieza prehumedecidos; pañitos de limpieza preimpregnados; paños de limpieza húmedos; paños de limpieza impregnados con detergente; paños impregnados con preparaciones de limpieza; paños impregnados de detergentes para la limpieza de objetivos de cámaras; paños impregnados de preparaciones de limpieza; paños impregnados de productos de limpieza para la piel; preparaciones de limpieza; preparaciones de limpieza dental; preparaciones de limpieza nasal para la higiene personal; preparaciones de limpieza no medicadas; preparaciones de limpieza no medicadas para el cuerpo; preparaciones de limpieza no saponáceas; preparaciones de limpieza para azulejos; preparaciones de limpieza para cristales; preparaciones de limpieza para el baño; preparaciones de limpieza para el cuerpo; preparaciones de limpieza para el hogar; preparaciones de limpieza para gomas y ruedas de automóviles; preparaciones de limpieza para gomas y ruedas de vehículos; preparaciones de limpieza para las manos; preparaciones de limpieza para neumáticos de vehículos, llantas y cubos de ruedas; preparaciones de limpieza para neumáticos y ruedas de automóviles; preparaciones de limpieza para neumáticos y ruedas de vehículos; preparaciones de limpieza para uso doméstico; preparaciones de limpieza para uso en los inodoros; preparaciones de limpieza para vidrios; preparaciones de limpieza polivalentes; preparaciones exfoliantes y de limpieza para la piel; preparaciones para el cuidado y la limpieza del cabello; preparaciones para el cuidado y limpieza de los animales; preparaciones para la limpieza de dentaduras postizas; preparaciones para la limpieza de los platos; preparaciones para la limpieza de superficies duras; preparaciones para la limpieza del baño; preparaciones para la limpieza del cabello; preparaciones químicas de limpieza para uso doméstico;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desodorantes para mascotas; desodorizantes para mascotas; toallitas impregnadas con preparaciones de limpieza para mascotas.
5. Jabones antibacterianos para la piel; jabones carbólicos; jabones desinfectantes perfumados; jabones medicinales; jabones y detergentes medicinales y desinfectantes; lavados desinfectantes que no sean jabones; jabones antibacterianos; jabones desinfectantes; jabones desinfectantes; alimentos y suplementos alimenticios sin gluten, todos adecuados a fines médicos; antioxidantes utilizados como suplementos alimenticios; bacterias probióticas [suplementos alimenticios]; bacterias probióticas en cuanto suplementos alimenticios; bebidas de leche malteada en cuanto suplementos alimenticios para bebés; bebidas de leche malteada en cuanto suplementos alimenticios para minusválidos; bebidas nutricionales en cuanto suplementos alimenticios;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proteínas de suero de leche [suplementos alimenticios]; proteínas de suero de leche en cuanto suplementos alimenticios;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aditivos en forma de vitaminas y minerales para alimentos para animales de compañía; alimentos a base de albúmina para uso médico; alimentos complementarios para uso veterinario; alimentos dietéticos medicinales para animales; alimentos dietéticos para uso médico; alimentos dietéticos para uso veterinario; alimentos medicinales para animales; alimentos para bebés; alimentos para bebés especialmente leche en polvo para bebés; alimentos para bebés y niños pequeños; alimentos para diabéticos; alimentos para lactantes; alimentos para niños; alimentos para niños pequeños; alimentos sin gluten adaptados a fines médicos; alimentos y aditivos alimentarios sin gluten, todos adecuados a fines médicos; alimentos y bebidas dietéticos para uso médico; alimentos y bebidas dietéticos para uso médico o veterinario; alimentos y bebidas dietéticos para uso veterinario; alimentos y sustancias dietéticas para uso médico o veterinario; alimentos y sustancias dietéticas para uso médico o veterinario, alimentos para bebés; complementos medicinales para alimentos destinados a los animales; complementos nutricionales para alimentos de animales; suplementos minerales para alimentos; suplementos nutricionales no medicinales para alimentos para animales; suplementos nutricionales para alimentos de animales para uso médico; botiquines de primeros auxilios para mascotas; bragas higiénicas para mascotas; collares antipulgas para mascotas; complementos vitamínicos y minerales para mascotas; desodorantes de bandejas higiénicas para mascotas; envolturas sanitarias [pañales para mascotas]; estuches de primeros auxilios para mascotas; kits de primeros auxilios para mascotas; medicamentos de prevención contra los nematodos parásitos de mascotas; pañales para mascotas; preparaciones desodorantes de bandejas higiénicas para mascotas; preparaciones para el tratamiento contra pulgas y garrapatas de mascotas; preparaciones para neutralizar los olores dejados por las mascotas; preparados desodorantes para bandejas higiénicas para mascotas; vitaminas para mascotas.
18. Artículos de guarnicionería, fustas y vestuario para animales; vestuario para animales; vestuario para animales de compañía; vestuario para mascotas; arneses para mascotas; bolsas para transportar mascotas; bolsos para transportar mascotas; botines para mascotas; collares para mascotas; correas para mascotas; escarpines para mascotas; ropa para mascotas; ropa para mascotas con led incorporado; vestimenta para mascotas.
25. Artículos de vestuario; mascarillas faciales de punto en cuanto artículos de vestuario; vestuario; vestuario de teatro; vestuario teatral.
35. Servicios de venta minorista o mayorista de jabones; servicios de venta minorista o mayorista de productos cosméticos, productos de tocador, dentífricos, jabones y detergentes; servicios de venta minorista o mayorista de productos cosméticos, productos de tocador, dentífricos, jabones y detergentes; servicios de agencia de ventas de suplementos alimenticios dietéticos; administración comercial para tramitar ventas realizadas por internet; administración de programas de incentivos de ventas y promocionales; administración de programas de incentivos para la promoción de ventas; administración de ventas; administración de ventas de bienes inmuebles; agencias de representación artística con fines publicitarios y de promoción de ventas; consultoría sobre la optimización de motores de búsqueda para la promoción de ventas; consultoría sobre promoción de ventas; demostración de ventas para terceros; gestión de ventas; información sobre el ranking de las ventas de productos; información sobre la clasificación de las ventas de productos; información sobre las ventas de productos; optimización de motores de búsqueda con fines de promoción de ventas; organización de ventas en pública subasta; organización y celebración de ventas en pública subasta; organización, establecimiento y supervisión de programas de incentivos promocionales y de ventas; promoción de productos y servicios de terceros mediante la administración de programas de ventas e incentivos promocionales mediante cupones comerciales; promoción de ventas; promoción de ventas en puntos de compra o de venta, para terceros; promoción de ventas mediante la administración de cupones de fidelización de consumidores; promoción de ventas mediante la administración de códigos de fidelización de consumidores; promoción de ventas mediante la administración de puntos de fidelización de consumidores; promoción de ventas mediante la administración de tarjetas de fidelización de consumidores; promoción de ventas mediante programas de fidelización de clientes; promoción de ventas para terceros; promoción de ventas para terceros por medio de tarjetas de usuarios preferentes; promoción de ventas por cuenta de terceros mediante programas de cupones; promoción de ventas por medios audiovisuales; publicidad y promoción de ventas de productos y servicios; publicidad y promoción de ventas de productos y servicios disponibles en línea; publicidad y promoción de ventas sobre productos y servicios; seguimiento del volumen de ventas por cuenta de terceros; servicios de administración comercial para el procesamiento de ventas realizadas en una red informática mundial; servicios de administración comercial para el procesamiento de ventas realizadas por internet; servicios de administración de ventas; servicios de agencia de ventas de aceites esenciales para la perfumería; servicios de agencia de ventas de automóviles; servicios de agencia de ventas de bebidas a base de té; servicios de agencia de ventas de bebidas de frutas; servicios de agencia de ventas de motocicletas; servicios de agencia de ventas de piezas y accesorios de automóviles; servicios de agencia de ventas de piezas y accesorios de motocicletas; servicios de agencia de ventas de preparaciones farmacéuticas; servicios de agencia de ventas de productos cosméticos; servicios de agencia de ventas de productos de maquillaje; servicios de agencia de ventas de refrescos; servicios de agencia de ventas de utensilios cosméticos; servicios de agencia de ventas de zapatos; servicios de asesoramiento en relación con la promoción de ventas; servicios de gestión de ventas; servicios de información sobre ventas comerciales; servicios de modelos para publicidad o promoción de ventas; servicios de promoción de ventas; servicios de publicidad y promoción de ventas; servicios de representante de ventas; servicios de ventas en pública subasta prestados mediante redes de telecomunicación; suministro de actividades de leads de ventas para terceros; suministro de información sobre ventas comerciales; ventas en pública subasta; ventas en pública subasta de propiedades inmobiliarias.
</x:t>
        </x:is>
      </x:c>
      <x:c r="L97" s="3" t="inlineStr">
        <x:is>
          <x:t>Sí</x:t>
        </x:is>
      </x:c>
      <x:c r="M97" s="3" t="inlineStr">
        <x:is>
          <x:t/>
        </x:is>
      </x:c>
      <x:c r="N97" s="3" t="inlineStr">
        <x:is>
          <x:t/>
        </x:is>
      </x:c>
      <x:c r="O97" s="3" t="inlineStr">
        <x:is>
          <x:t>18 mar. 2022</x:t>
        </x:is>
      </x:c>
      <x:c r="P97" s="3" t="inlineStr">
        <x:is>
          <x:t/>
        </x:is>
      </x:c>
      <x:c r="Q97" s="3" t="inlineStr">
        <x:is>
          <x:t/>
        </x:is>
      </x:c>
    </x:row>
    <x:row r="98">
      <x:c r="A98" s="10" t="inlineStr">
        <x:f xml:space="preserve">HYPERLINK("http://sipi.sic.gov.co/sipi/View.ashx?4054350","SD2022/0019558")</x:f>
      </x:c>
      <x:c r="B98" s="3" t="inlineStr">
        <x:is>
          <x:t>SPRITZ</x:t>
        </x:is>
      </x:c>
      <x:c r="C98" s="9" t="inlineStr">
        <x:is>
          <x:t/>
        </x:is>
      </x:c>
      <x:c r="D98" s="3" t="inlineStr">
        <x:is>
          <x:t>02 mar. 2022</x:t>
        </x:is>
      </x:c>
      <x:c r="E98" s="3" t="inlineStr">
        <x:is>
          <x:t/>
        </x:is>
      </x:c>
      <x:c r="F98" s="3" t="inlineStr">
        <x:is>
          <x:t>Negada</x:t>
        </x:is>
      </x:c>
      <x:c r="G98" s="3" t="inlineStr">
        <x:is>
          <x:t>151743</x:t>
        </x:is>
      </x:c>
      <x:c r="H98" s="3" t="inlineStr">
        <x:is>
          <x:t> TARGET BRANDS, INC., 1000 NICOLLET MALL, MINNEAPOLIS, MINNESOTA 55403-2467, U.S.A., MINNESOTA, US</x:t>
        </x:is>
      </x:c>
      <x:c r="I98" s="3" t="inlineStr">
        <x:is>
          <x:t>3, 6, 8, 16, 20, 21, 24, 25, 26, 27, 28</x:t>
        </x:is>
      </x:c>
      <x:c r="J98" s="3" t="inlineStr">
        <x:is>
          <x:t>11</x:t>
        </x:is>
      </x:c>
      <x:c r="K98" s="3" t="inlineStr">
        <x:is>
          <x:t>3. Bombas de baño; purpurina corporal; esmaltes de uñas.
6. Figuritas metálicas.
8. Bombas de aire, accionadas manualmente.
16. Caminos de mesa de papel; clichés de multicopista.
20. Almohadas.
21. Figuritas de cerámica; soportes para tarjetas de mesa que no sean de metales preciosos; portaobjetos para colgar utensilios; espátulas de cocina; tarros de conservación de cristal; moldes de papel para hornear cupcakes; hueveras, que no sean de papel, para uso doméstico, a saber, bandejas de huevos, recipientes para almacenar huevos y recipientes para exhibir huevos; hueveras que no sean de metales preciosos; pinzas de servir.
24. Tapizados murales de materias textiles; paños de cocina; cubresofás de materias textiles.
25. Bandas para la cabeza [prendas de vestir].
26. Bandas para el cabello; coronas artificiales.
27. Tapices murales que no sean de materias textiles.
28. Lanzadores de serpentinas y confetis de mano; kits de decoración de huevos.
</x:t>
        </x:is>
      </x:c>
      <x:c r="L98" s="3" t="inlineStr">
        <x:is>
          <x:t>No</x:t>
        </x:is>
      </x:c>
      <x:c r="M98" s="3" t="inlineStr">
        <x:is>
          <x:t>JUAN PABLO CADENA SARMIENTO, CALLE 70A No. 4-41 PISO 4, BOGOTÁ, D.C., CO</x:t>
        </x:is>
      </x:c>
      <x:c r="N98" s="3" t="inlineStr">
        <x:is>
          <x:t/>
        </x:is>
      </x:c>
      <x:c r="O98" s="3" t="inlineStr">
        <x:is>
          <x:t>08 abr. 2022</x:t>
        </x:is>
      </x:c>
      <x:c r="P98" s="3" t="inlineStr">
        <x:is>
          <x:t/>
        </x:is>
      </x:c>
      <x:c r="Q98" s="3" t="inlineStr">
        <x:is>
          <x:t/>
        </x:is>
      </x:c>
    </x:row>
    <x:row r="99">
      <x:c r="A99" s="10" t="inlineStr">
        <x:f xml:space="preserve">HYPERLINK("http://sipi.sic.gov.co/sipi/View.ashx?4054687","SD2022/0019527")</x:f>
      </x:c>
      <x:c r="B99" s="3" t="inlineStr">
        <x:is>
          <x:t>DIBELL  </x:t>
        </x:is>
      </x:c>
      <x:c r="C99" s="9" t="inlineStr">
        <x:is>
          <x:t/>
        </x:is>
      </x:c>
      <x:c r="D99" s="3" t="inlineStr">
        <x:is>
          <x:t>02 mar. 2022</x:t>
        </x:is>
      </x:c>
      <x:c r="E99" s="3" t="inlineStr">
        <x:is>
          <x:t/>
        </x:is>
      </x:c>
      <x:c r="F99" s="3" t="inlineStr">
        <x:is>
          <x:t>Negada</x:t>
        </x:is>
      </x:c>
      <x:c r="G99" s="3" t="inlineStr">
        <x:is>
          <x:t/>
        </x:is>
      </x:c>
      <x:c r="H99" s="3" t="inlineStr">
        <x:is>
          <x:t>ESTEBANA DEL ROSARIO  DIAZ NUÑEZ, AK 15 No 135 41 apt 303, BOGOTA, CUNDINAMARCA, CO</x:t>
        </x:is>
      </x:c>
      <x:c r="I99" s="3" t="inlineStr">
        <x:is>
          <x:t>3</x:t>
        </x:is>
      </x:c>
      <x:c r="J99" s="3" t="inlineStr">
        <x:is>
          <x:t>11</x:t>
        </x:is>
      </x:c>
      <x:c r="K99" s="3" t="inlineStr">
        <x:is>
          <x:t>3. Cosméticos de belleza; cosméticos para tratamiento de belleza cosméticos para el cuidado de belleza; mascarillas de belleza para el cabello; lociones capilares cosméticas; lociones capilares no medicinales; lociones capilares reparadoras no medicamentosas; mascarillas para el cuidado capilar.
</x:t>
        </x:is>
      </x:c>
      <x:c r="L99" s="3" t="inlineStr">
        <x:is>
          <x:t>No</x:t>
        </x:is>
      </x:c>
      <x:c r="M99" s="3" t="inlineStr">
        <x:is>
          <x:t/>
        </x:is>
      </x:c>
      <x:c r="N99" s="3" t="inlineStr">
        <x:is>
          <x:t/>
        </x:is>
      </x:c>
      <x:c r="O99" s="3" t="inlineStr">
        <x:is>
          <x:t>19 abr. 2022</x:t>
        </x:is>
      </x:c>
      <x:c r="P99" s="3" t="inlineStr">
        <x:is>
          <x:t/>
        </x:is>
      </x:c>
      <x:c r="Q99" s="3" t="inlineStr">
        <x:is>
          <x:t/>
        </x:is>
      </x:c>
    </x:row>
    <x:row r="100">
      <x:c r="A100" s="10" t="inlineStr">
        <x:f xml:space="preserve">HYPERLINK("http://sipi.sic.gov.co/sipi/View.ashx?4055294","SD2022/0021483")</x:f>
      </x:c>
      <x:c r="B100" s="3" t="inlineStr">
        <x:is>
          <x:t>ECCOCLEAN TU ALIADO EN LA LIMPIEZA</x:t>
        </x:is>
      </x:c>
      <x:c r="C100" s="9" t="inlineStr">
        <x:is>
          <x:t/>
        </x:is>
      </x:c>
      <x:c r="D100" s="3" t="inlineStr">
        <x:is>
          <x:t>07 mar. 2022</x:t>
        </x:is>
      </x:c>
      <x:c r="E100" s="3" t="inlineStr">
        <x:is>
          <x:t/>
        </x:is>
      </x:c>
      <x:c r="F100" s="3" t="inlineStr">
        <x:is>
          <x:t>Negada</x:t>
        </x:is>
      </x:c>
      <x:c r="G100" s="3" t="inlineStr">
        <x:is>
          <x:t>ECCOCLEAN3  </x:t>
        </x:is>
      </x:c>
      <x:c r="H100" s="3" t="inlineStr">
        <x:is>
          <x:t> ECCOCLEAN SAS, Calle 43 No 4w 44, MONTERIA, CORDOBA, CO</x:t>
        </x:is>
      </x:c>
      <x:c r="I100" s="3" t="inlineStr">
        <x:is>
          <x:t>3</x:t>
        </x:is>
      </x:c>
      <x:c r="J100" s="3" t="inlineStr">
        <x:is>
          <x:t>11</x:t>
        </x:is>
      </x:c>
      <x:c r="K100" s="3" t="inlineStr">
        <x:is>
          <x:t>3. Detergentes para uso doméstico con propiedades desinfectantes; preparaciones para limpiar pisos; preparaciones y sustancias para limpiar y lavar; preparaciones blanqueadoras; preparaciones blanqueadoras [decolorantes] para uso doméstico; productos blanqueadores para lavar la ropa; productos blanqueadores para uso doméstico; sustancias blanqueadoras para uso en la limpieza doméstica; preparaciones para suavizar y eliminar las manchas; productos para suavizar y eliminar las manchas; quitamanchas; preparaciones para la limpieza de superficies duras; detergentes jabonosos para uso doméstico; jabones para uso doméstico; jabones y detergentes; jabones para lavar la ropa; jabón líquido para lavar la ropa; preparaciones para blanquear y otras sustancias para lavar la ropa; preparaciones para el lavado de la ropa; preparaciones para lavar la ropa; productos para perfumar la ropa; productos para poner la ropa en remojo; productos para remojar la ropa; suavizantes para la ropa; suavizantes de textiles; jabón líquido para lavar la loza; detergentes para lavar los platos; líquidos para lavar los platos; preparaciones para la limpieza de los platos; preparaciones para lavar los platos; productos para lavar platos; geles cosméticos; geles para el cuerpo [cosméticos]; geles para uso cosmético.
</x:t>
        </x:is>
      </x:c>
      <x:c r="L100" s="3" t="inlineStr">
        <x:is>
          <x:t>No</x:t>
        </x:is>
      </x:c>
      <x:c r="M100" s="3" t="inlineStr">
        <x:is>
          <x:t>SAMUEL  GARCIA MARQUEZ, CALLE 43 No 4W 44, MONTERIA, CORDOBA, CO</x:t>
        </x:is>
      </x:c>
      <x:c r="N100" s="3" t="inlineStr">
        <x:is>
          <x:t/>
        </x:is>
      </x:c>
      <x:c r="O100" s="3" t="inlineStr">
        <x:is>
          <x:t>18 mar. 2022</x:t>
        </x:is>
      </x:c>
      <x:c r="P100" s="3" t="inlineStr">
        <x:is>
          <x:t/>
        </x:is>
      </x:c>
      <x:c r="Q100" s="3" t="inlineStr">
        <x:is>
          <x:t/>
        </x:is>
      </x:c>
    </x:row>
    <x:row r="101">
      <x:c r="A101" s="10" t="inlineStr">
        <x:f xml:space="preserve">HYPERLINK("http://sipi.sic.gov.co/sipi/View.ashx?4056101","SD2022/0019899")</x:f>
      </x:c>
      <x:c r="B101" s="3" t="inlineStr">
        <x:is>
          <x:t>M&amp;E Productos Naturales</x:t>
        </x:is>
      </x:c>
      <x:c r="C101" s="9" t="inlineStr">
        <x:is>
          <x:t/>
        </x:is>
      </x:c>
      <x:c r="D101" s="3" t="inlineStr">
        <x:is>
          <x:t>02 mar. 2022</x:t>
        </x:is>
      </x:c>
      <x:c r="E101" s="3" t="inlineStr">
        <x:is>
          <x:t/>
        </x:is>
      </x:c>
      <x:c r="F101" s="3" t="inlineStr">
        <x:is>
          <x:t>Negada</x:t>
        </x:is>
      </x:c>
      <x:c r="G101" s="3" t="inlineStr">
        <x:is>
          <x:t>1797</x:t>
        </x:is>
      </x:c>
      <x:c r="H101" s="3" t="inlineStr">
        <x:is>
          <x:t>Margareth Henao Gil, Calle 42C # 63C - 145, MEDELLIN, ANTIOQUIA, CO</x:t>
        </x:is>
      </x:c>
      <x:c r="I101" s="3" t="inlineStr">
        <x:is>
          <x:t>3</x:t>
        </x:is>
      </x:c>
      <x:c r="J101" s="3" t="inlineStr">
        <x:is>
          <x:t>11</x:t>
        </x:is>
      </x:c>
      <x:c r="K101" s="3" t="inlineStr">
        <x:is>
          <x:t>3. Cosméticos naturales.
</x:t>
        </x:is>
      </x:c>
      <x:c r="L101" s="3" t="inlineStr">
        <x:is>
          <x:t>No</x:t>
        </x:is>
      </x:c>
      <x:c r="M101" s="3" t="inlineStr">
        <x:is>
          <x:t/>
        </x:is>
      </x:c>
      <x:c r="N101" s="3" t="inlineStr">
        <x:is>
          <x:t/>
        </x:is>
      </x:c>
      <x:c r="O101" s="3" t="inlineStr">
        <x:is>
          <x:t>29 abr. 2022</x:t>
        </x:is>
      </x:c>
      <x:c r="P101" s="3" t="inlineStr">
        <x:is>
          <x:t/>
        </x:is>
      </x:c>
      <x:c r="Q101" s="3" t="inlineStr">
        <x:is>
          <x:t/>
        </x:is>
      </x:c>
    </x:row>
    <x:row r="102">
      <x:c r="A102" s="10" t="inlineStr">
        <x:f xml:space="preserve">HYPERLINK("http://sipi.sic.gov.co/sipi/View.ashx?4057393","SD2022/0020608")</x:f>
      </x:c>
      <x:c r="B102" s="3" t="inlineStr">
        <x:is>
          <x:t>AMINOKER</x:t>
        </x:is>
      </x:c>
      <x:c r="C102" s="9" t="inlineStr">
        <x:is>
          <x:t/>
        </x:is>
      </x:c>
      <x:c r="D102" s="3" t="inlineStr">
        <x:is>
          <x:t>03 mar. 2022</x:t>
        </x:is>
      </x:c>
      <x:c r="E102" s="3" t="inlineStr">
        <x:is>
          <x:t/>
        </x:is>
      </x:c>
      <x:c r="F102" s="3" t="inlineStr">
        <x:is>
          <x:t>Negada</x:t>
        </x:is>
      </x:c>
      <x:c r="G102" s="3" t="inlineStr">
        <x:is>
          <x:t/>
        </x:is>
      </x:c>
      <x:c r="H102" s="3" t="inlineStr">
        <x:is>
          <x:t>JOAQUIN DAVID MAESTRE JIMENEZ, DG 18C No 25A - 88, VALLEDUPAR, CESAR, CO; WENDIS GALENA  FONSECA SUAREZ, Calle 52 No. 28 - 78 , VALLEDUPAR, CESAR, CO</x:t>
        </x:is>
      </x:c>
      <x:c r="I102" s="3" t="inlineStr">
        <x:is>
          <x:t>3</x:t>
        </x:is>
      </x:c>
      <x:c r="J102" s="3" t="inlineStr">
        <x:is>
          <x:t>11</x:t>
        </x:is>
      </x:c>
      <x:c r="K102"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x:t>
        </x:is>
      </x:c>
      <x:c r="L102" s="3" t="inlineStr">
        <x:is>
          <x:t>Sí</x:t>
        </x:is>
      </x:c>
      <x:c r="M102" s="3" t="inlineStr">
        <x:is>
          <x:t>SANDRA PATRICIA CORTES SANCHEZ, cra79#19-20 torre 2 apto 904, BOGOTÁ, D.C. 57, CO</x:t>
        </x:is>
      </x:c>
      <x:c r="N102" s="3" t="inlineStr">
        <x:is>
          <x:t/>
        </x:is>
      </x:c>
      <x:c r="O102" s="3" t="inlineStr">
        <x:is>
          <x:t>20 may. 2022</x:t>
        </x:is>
      </x:c>
      <x:c r="P102" s="3" t="inlineStr">
        <x:is>
          <x:t/>
        </x:is>
      </x:c>
      <x:c r="Q102" s="3" t="inlineStr">
        <x:is>
          <x:t/>
        </x:is>
      </x:c>
    </x:row>
    <x:row r="103">
      <x:c r="A103" s="10" t="inlineStr">
        <x:f xml:space="preserve">HYPERLINK("http://sipi.sic.gov.co/sipi/View.ashx?4057553","SD2022/0020466")</x:f>
      </x:c>
      <x:c r="B103" s="3" t="inlineStr">
        <x:is>
          <x:t>NOVAPIL-MD</x:t>
        </x:is>
      </x:c>
      <x:c r="C103" s="3" t="inlineStr">
        <x:is>
          <x:t/>
        </x:is>
      </x:c>
      <x:c r="D103" s="3" t="inlineStr">
        <x:is>
          <x:t>03 mar. 2022</x:t>
        </x:is>
      </x:c>
      <x:c r="E103" s="3" t="inlineStr">
        <x:is>
          <x:t/>
        </x:is>
      </x:c>
      <x:c r="F103" s="3" t="inlineStr">
        <x:is>
          <x:t>Negada</x:t>
        </x:is>
      </x:c>
      <x:c r="G103" s="3" t="inlineStr">
        <x:is>
          <x:t>MACA NOVAPIL-MD CL-03-35</x:t>
        </x:is>
      </x:c>
      <x:c r="H103" s="3" t="inlineStr">
        <x:is>
          <x:t>YURY MARCELA DIAZ GONZALEZ, Carrera 1F #39 76 Consultorio 301, TUNJA, BOYACA, CO</x:t>
        </x:is>
      </x:c>
      <x:c r="I103" s="3" t="inlineStr">
        <x:is>
          <x:t>3, 35</x:t>
        </x:is>
      </x:c>
      <x:c r="J103" s="3" t="inlineStr">
        <x:is>
          <x:t>11</x:t>
        </x:is>
      </x:c>
      <x:c r="K103" s="3" t="inlineStr">
        <x:is>
          <x:t>3. Cosméticos; Productos destinados para tratamientos de belleza de uso cosméticos tales como: champús, productos hidratantes para el cabello, geles, cremas, cosméticos capilares, bálsamos para el amoldamiento y para el cuidado del cabello, rinse, gel fijador para el cabello, cera moldeadora de cabello, desfrizante, silicona para el cabello, lacas para el cabello; preparaciones colorantes y decolorantes para el cabello de uso cosmético; preparaciones para el ondulado y rizado permanente, suavizantes para el cabello, revitalizantes para el cabello (de uso cosmético) preparaciones para el cuidado y la limpieza del cabello cremas, leches, lociones, gel y polvos para la cara y las manos; preparaciones para el bronceado y cuidado de la piel por el sol (productos cosméticos); agua de tocador; jabones de tocador; desodorantes para el cuerpo( de uso cosmético); preparaciones para maquillaje .aceites esenciales para uso personal, preparaciones cosméticas para el cuidado de las uñas , esmalte de uñas, removedores, dilusor de esmaltes, base fortalecedora de uñas, brillo secante, aceite humectante para uñas, barniz de uñas, removedores de barnices, lacas para el pintado, abrillantado, delineado, cuidado fortalecimiento y secado de las uñas; removedor de cutícula, gel antibacterial. Jabón líquido, desodorantes, lápices para las cejas, labiales, maquillaje para uso cosmético, tónicos para la piel, tónicos cosméticos para la cara, toallitas para la higiene femenina no medicinal, toallitas o paños impregnados de productos limpiadores para la piel [de uso cosmético];toallitas impregnadas de productos cosméticos; toallitas impregnadas de aceites esenciales, para uso cosmético; toallitas impregnadas con sustancias cosméticas; talco de tocador; sueros no medicinales para la piel de uso cosmético; sueros de belleza; sprays para el cuerpo [de uso cosmético]; sombras de ojos en polvo o en lápiz; sales de baño para uso cosmético; sales de baño no medicinales; revitalizantes cutáneos de uso cosmético; protectores labiales no medicinales; productos hidratantes antienvejecimiento; productos de tocador no medicinales; productos depilatorios; productos de perfumería, fragancias e incienso; aceites esenciales; productos de aromaterapia; preparaciones para baños de espuma [para uso cosmético]; preparaciones para antes y después del afeitado; preparaciones de afeitar y para antes y después de afeitar, incluidos geles, cremas y espumas;[productos de tocador; aceites para el cabello, aceites para el cuerpo de uso cosmético aceites para masajes; aceites perfumados (de uso cosmético); cremas cosméticas.
35. Publicidad, gestión de negocios comerciales; explotación o dirección de una empresa comercial; dirección de los negocios o actividades comerciales de una empresa industrial, destinada a la prestación de servicios de venta, compra y comercialización de productos farmacéuticos y cosméticos, y en general cualquier actividad comercial y empresarial dedicada al sector de productos de este género, permitiendo a los consumidores examinar y comprar estos productos con comodidad por medios físicos o electrónicos; asesoría y servicios de marketing y publicidad; investigación de mercados y encuestas; información comercial y de negocios; organización de ferias y exposiciones con fines comerciales o de publicidad. Encuestas de mercadeo, franquicia de marcas, pagina web comercial; marketing; marketing y actividades promocionales en materia de administración y gestión de negocios comerciales; presentación de productos en cualquier medio de comunicación para su venta al por menor; publicidad; servicios de pedidos de compra al por mayor; servicios de pedidos de compra en línea; servicios de promoción y marketing; servicios de publicidad y promoción de ventas; servicios de venta minorista en línea de productos cosméticos y de belleza; servicios de venta minorista o mayorista de productos cosméticos; servicios de venta minorista o mayorista de productos cosméticos.
</x:t>
        </x:is>
      </x:c>
      <x:c r="L103" s="3" t="inlineStr">
        <x:is>
          <x:t>No</x:t>
        </x:is>
      </x:c>
      <x:c r="M103" s="3" t="inlineStr">
        <x:is>
          <x:t>ALBA PATRICIA MUÑOZ DAZA, CALLE 85 No. 19B-22 OFC. 303, BOGOTÁ, D.C., CO</x:t>
        </x:is>
      </x:c>
      <x:c r="N103" s="3" t="inlineStr">
        <x:is>
          <x:t/>
        </x:is>
      </x:c>
      <x:c r="O103" s="3" t="inlineStr">
        <x:is>
          <x:t>10 may. 2022</x:t>
        </x:is>
      </x:c>
      <x:c r="P103" s="3" t="inlineStr">
        <x:is>
          <x:t/>
        </x:is>
      </x:c>
      <x:c r="Q103" s="3" t="inlineStr">
        <x:is>
          <x:t/>
        </x:is>
      </x:c>
    </x:row>
    <x:row r="104">
      <x:c r="A104" s="10" t="inlineStr">
        <x:f xml:space="preserve">HYPERLINK("http://sipi.sic.gov.co/sipi/View.ashx?4058640","SD2022/0020726")</x:f>
      </x:c>
      <x:c r="B104" s="3" t="inlineStr">
        <x:is>
          <x:t>QuaraKu</x:t>
        </x:is>
      </x:c>
      <x:c r="C104" s="9" t="inlineStr">
        <x:is>
          <x:t/>
        </x:is>
      </x:c>
      <x:c r="D104" s="3" t="inlineStr">
        <x:is>
          <x:t>04 mar. 2022</x:t>
        </x:is>
      </x:c>
      <x:c r="E104" s="3" t="inlineStr">
        <x:is>
          <x:t/>
        </x:is>
      </x:c>
      <x:c r="F104" s="3" t="inlineStr">
        <x:is>
          <x:t>Negada</x:t>
        </x:is>
      </x:c>
      <x:c r="G104" s="3" t="inlineStr">
        <x:is>
          <x:t/>
        </x:is>
      </x:c>
      <x:c r="H104" s="3" t="inlineStr">
        <x:is>
          <x:t>CAROLINA MARIA SALAZAR VILLA, CL 87 NO 51 27 , ITAGUI, ANTIOQUIA, CO</x:t>
        </x:is>
      </x:c>
      <x:c r="I104" s="3" t="inlineStr">
        <x:is>
          <x:t>3</x:t>
        </x:is>
      </x:c>
      <x:c r="J104" s="3" t="inlineStr">
        <x:is>
          <x:t>11</x:t>
        </x:is>
      </x:c>
      <x:c r="K104" s="3" t="inlineStr">
        <x:is>
          <x:t>3. Bálsamos capilares; champús capilares; cremas capilares; cremas de protección capilar, no medicinales; decolorantes capilares; geles capilares; lociones capilares*; mascarillas para el cuidado capilar; preparaciones capilares de protección solar; preparaciones para tratamientos capilares; tónicos cosméticos; aceites para el cabello; acondicionadores de cabello; bálsamos para el cabello; cera para el cabello; champúes para el cabello; champús para el cabello humano; cosméticos para el cabello; cremas para el cabello; enjuagues para el cabello; geles, aerosoles, espumas y bálsamos para peinar y cuidar el cabello; hidratantes para el cabello; lociones para fortalecer el cabello; preparación nutritiva para el cabello; preparaciónes nutritiva para el cabello; productos cosméticos para el cabello y el cuero cabelludo; productos de enjuague para el cabello; tonificantes para el cabello; tratamientos de permanente del cabello.
</x:t>
        </x:is>
      </x:c>
      <x:c r="L104" s="3" t="inlineStr">
        <x:is>
          <x:t>No</x:t>
        </x:is>
      </x:c>
      <x:c r="M104" s="3" t="inlineStr">
        <x:is>
          <x:t>CAROLINA MARIA SALAZAR VILLA, CL 87 NO 51 27 , ITAGUI, ANTIOQUIA, CO</x:t>
        </x:is>
      </x:c>
      <x:c r="N104" s="3" t="inlineStr">
        <x:is>
          <x:t/>
        </x:is>
      </x:c>
      <x:c r="O104" s="3" t="inlineStr">
        <x:is>
          <x:t>19 abr. 2022</x:t>
        </x:is>
      </x:c>
      <x:c r="P104" s="3" t="inlineStr">
        <x:is>
          <x:t/>
        </x:is>
      </x:c>
      <x:c r="Q104" s="3" t="inlineStr">
        <x:is>
          <x:t/>
        </x:is>
      </x:c>
    </x:row>
    <x:row r="105">
      <x:c r="A105" s="10" t="inlineStr">
        <x:f xml:space="preserve">HYPERLINK("http://sipi.sic.gov.co/sipi/View.ashx?4058646","SD2022/0020729")</x:f>
      </x:c>
      <x:c r="B105" s="3" t="inlineStr">
        <x:is>
          <x:t>LA LUPE</x:t>
        </x:is>
      </x:c>
      <x:c r="C105" s="9" t="inlineStr">
        <x:is>
          <x:t/>
        </x:is>
      </x:c>
      <x:c r="D105" s="3" t="inlineStr">
        <x:is>
          <x:t>03 mar. 2022</x:t>
        </x:is>
      </x:c>
      <x:c r="E105" s="3" t="inlineStr">
        <x:is>
          <x:t/>
        </x:is>
      </x:c>
      <x:c r="F105" s="3" t="inlineStr">
        <x:is>
          <x:t>Negada</x:t>
        </x:is>
      </x:c>
      <x:c r="G105" s="3" t="inlineStr">
        <x:is>
          <x:t>estetica</x:t>
        </x:is>
      </x:c>
      <x:c r="H105" s="3" t="inlineStr">
        <x:is>
          <x:t>JORGE ARMANDO GIRALDO GIRALDO, CRA. 10 NO. 10 83 P.5 OFC. BN 316, BOGOTÁ, D.C., CO; OSCAR RONDEROS INFANTE, Cll 63 B # 77 B 35, BOGOTA, CUNDINAMARCA 11001, CO</x:t>
        </x:is>
      </x:c>
      <x:c r="I105" s="3" t="inlineStr">
        <x:is>
          <x:t>3</x:t>
        </x:is>
      </x:c>
      <x:c r="J105" s="3" t="inlineStr">
        <x:is>
          <x:t>11</x:t>
        </x:is>
      </x:c>
      <x:c r="K10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para humanos y animales.
</x:t>
        </x:is>
      </x:c>
      <x:c r="L105" s="3" t="inlineStr">
        <x:is>
          <x:t>Sí</x:t>
        </x:is>
      </x:c>
      <x:c r="M105" s="3" t="inlineStr">
        <x:is>
          <x:t>ISABEL CRISTINA FRANKLIN SANABRIA, CARRERA 26 N° 45 - 39 APT 301, BUCARAMANGA, SANTANDER, CO</x:t>
        </x:is>
      </x:c>
      <x:c r="N105" s="3" t="inlineStr">
        <x:is>
          <x:t/>
        </x:is>
      </x:c>
      <x:c r="O105" s="3" t="inlineStr">
        <x:is>
          <x:t>18 mar. 2022</x:t>
        </x:is>
      </x:c>
      <x:c r="P105" s="3" t="inlineStr">
        <x:is>
          <x:t/>
        </x:is>
      </x:c>
      <x:c r="Q105" s="3" t="inlineStr">
        <x:is>
          <x:t/>
        </x:is>
      </x:c>
    </x:row>
    <x:row r="106">
      <x:c r="A106" s="10" t="inlineStr">
        <x:f xml:space="preserve">HYPERLINK("http://sipi.sic.gov.co/sipi/View.ashx?4058690","SD2022/0020731")</x:f>
      </x:c>
      <x:c r="B106" s="3" t="inlineStr">
        <x:is>
          <x:t>QaraKu</x:t>
        </x:is>
      </x:c>
      <x:c r="C106" s="9" t="inlineStr">
        <x:is>
          <x:t/>
        </x:is>
      </x:c>
      <x:c r="D106" s="3" t="inlineStr">
        <x:is>
          <x:t>04 mar. 2022</x:t>
        </x:is>
      </x:c>
      <x:c r="E106" s="3" t="inlineStr">
        <x:is>
          <x:t/>
        </x:is>
      </x:c>
      <x:c r="F106" s="3" t="inlineStr">
        <x:is>
          <x:t>Negada</x:t>
        </x:is>
      </x:c>
      <x:c r="G106" s="3" t="inlineStr">
        <x:is>
          <x:t/>
        </x:is>
      </x:c>
      <x:c r="H106" s="3" t="inlineStr">
        <x:is>
          <x:t>CAROLINA MARIA SALAZAR VILLA, CL 87 NO 51 27 , ITAGUI, ANTIOQUIA, CO</x:t>
        </x:is>
      </x:c>
      <x:c r="I106" s="3" t="inlineStr">
        <x:is>
          <x:t>3</x:t>
        </x:is>
      </x:c>
      <x:c r="J106" s="3" t="inlineStr">
        <x:is>
          <x:t>11</x:t>
        </x:is>
      </x:c>
      <x:c r="K106" s="3" t="inlineStr">
        <x:is>
          <x:t>3. Bálsamos capilares; champús capilares; cremas capilares; cremas de protección capilar, no medicinales; decolorantes capilares; geles capilares; lociones capilares*; mascarillas para el cuidado capilar; preparaciones capilares de protección solar; preparaciones para tratamientos capilares; tónicos cosméticos; aceites para el cabello; acondicionadores de cabello; bálsamos para el cabello; cera para el cabello; champúes para el cabello; champús para el cabello humano; cosméticos para el cabello; cremas para el cabello; enjuagues para el cabello; geles, aerosoles, espumas y bálsamos para peinar y cuidar el cabello; hidratantes para el cabello; lociones para fortalecer el cabello; preparación nutritiva para el cabello; preparaciónes nutritiva para el cabello; productos cosméticos para el cabello y el cuero cabelludo; productos de enjuague para el cabello; tonificantes para el cabello; tratamientos de permanente del cabello.
</x:t>
        </x:is>
      </x:c>
      <x:c r="L106" s="3" t="inlineStr">
        <x:is>
          <x:t>No</x:t>
        </x:is>
      </x:c>
      <x:c r="M106" s="3" t="inlineStr">
        <x:is>
          <x:t>CAROLINA MARIA SALAZAR VILLA, CL 87 NO 51 27 , ITAGUI, ANTIOQUIA, CO</x:t>
        </x:is>
      </x:c>
      <x:c r="N106" s="3" t="inlineStr">
        <x:is>
          <x:t/>
        </x:is>
      </x:c>
      <x:c r="O106" s="3" t="inlineStr">
        <x:is>
          <x:t>19 abr. 2022</x:t>
        </x:is>
      </x:c>
      <x:c r="P106" s="3" t="inlineStr">
        <x:is>
          <x:t/>
        </x:is>
      </x:c>
      <x:c r="Q106" s="3" t="inlineStr">
        <x:is>
          <x:t/>
        </x:is>
      </x:c>
    </x:row>
    <x:row r="107">
      <x:c r="A107" s="10" t="inlineStr">
        <x:f xml:space="preserve">HYPERLINK("http://sipi.sic.gov.co/sipi/View.ashx?4059109","SD2022/0020860")</x:f>
      </x:c>
      <x:c r="B107" s="3" t="inlineStr">
        <x:is>
          <x:t>SALEM</x:t>
        </x:is>
      </x:c>
      <x:c r="C107" s="9" t="inlineStr">
        <x:is>
          <x:t/>
        </x:is>
      </x:c>
      <x:c r="D107" s="3" t="inlineStr">
        <x:is>
          <x:t>04 mar. 2022</x:t>
        </x:is>
      </x:c>
      <x:c r="E107" s="3" t="inlineStr">
        <x:is>
          <x:t/>
        </x:is>
      </x:c>
      <x:c r="F107" s="3" t="inlineStr">
        <x:is>
          <x:t>Negada</x:t>
        </x:is>
      </x:c>
      <x:c r="G107" s="3" t="inlineStr">
        <x:is>
          <x:t/>
        </x:is>
      </x:c>
      <x:c r="H107" s="3" t="inlineStr">
        <x:is>
          <x:t>Laura Camila Alzate Sánchez , Carrera 48 #66-52, MEDELLIN, ANTIOQUIA, CO</x:t>
        </x:is>
      </x:c>
      <x:c r="I107" s="3" t="inlineStr">
        <x:is>
          <x:t>3</x:t>
        </x:is>
      </x:c>
      <x:c r="J107" s="3" t="inlineStr">
        <x:is>
          <x:t>11</x:t>
        </x:is>
      </x:c>
      <x:c r="K107" s="3" t="inlineStr">
        <x:is>
          <x:t>3. Productos cosméticos no medicinales; productos cosméticos y de belleza; productos cosméticos para el cabello y el cuero cabelludo; productos cosméticos para el cuidado corporal; productos cosméticos para el cuidado de la piel; productos cosméticos para la piel.
</x:t>
        </x:is>
      </x:c>
      <x:c r="L107" s="3" t="inlineStr">
        <x:is>
          <x:t>Sí</x:t>
        </x:is>
      </x:c>
      <x:c r="M107" s="3" t="inlineStr">
        <x:is>
          <x:t/>
        </x:is>
      </x:c>
      <x:c r="N107" s="3" t="inlineStr">
        <x:is>
          <x:t/>
        </x:is>
      </x:c>
      <x:c r="O107" s="3" t="inlineStr">
        <x:is>
          <x:t>08 abr. 2022</x:t>
        </x:is>
      </x:c>
      <x:c r="P107" s="3" t="inlineStr">
        <x:is>
          <x:t/>
        </x:is>
      </x:c>
      <x:c r="Q107" s="3" t="inlineStr">
        <x:is>
          <x:t/>
        </x:is>
      </x:c>
    </x:row>
    <x:row r="108">
      <x:c r="A108" s="10" t="inlineStr">
        <x:f xml:space="preserve">HYPERLINK("http://sipi.sic.gov.co/sipi/View.ashx?4060524","SD2022/0021266")</x:f>
      </x:c>
      <x:c r="B108" s="3" t="inlineStr">
        <x:is>
          <x:t>ℲF D'Fraiiche</x:t>
        </x:is>
      </x:c>
      <x:c r="C108" s="9" t="inlineStr">
        <x:is>
          <x:t/>
        </x:is>
      </x:c>
      <x:c r="D108" s="3" t="inlineStr">
        <x:is>
          <x:t>04 mar. 2022</x:t>
        </x:is>
      </x:c>
      <x:c r="E108" s="3" t="inlineStr">
        <x:is>
          <x:t/>
        </x:is>
      </x:c>
      <x:c r="F108" s="3" t="inlineStr">
        <x:is>
          <x:t>Negada</x:t>
        </x:is>
      </x:c>
      <x:c r="G108" s="3" t="inlineStr">
        <x:is>
          <x:t>ℲF D'Fraiiche</x:t>
        </x:is>
      </x:c>
      <x:c r="H108" s="3" t="inlineStr">
        <x:is>
          <x:t>mayra alejandra  ruiz gil, cra 3a # 3-11, LA DORADA, CALDAS, CO</x:t>
        </x:is>
      </x:c>
      <x:c r="I108" s="3" t="inlineStr">
        <x:is>
          <x:t>3</x:t>
        </x:is>
      </x:c>
      <x:c r="J108" s="3" t="inlineStr">
        <x:is>
          <x:t>11</x:t>
        </x:is>
      </x:c>
      <x:c r="K108" s="3" t="inlineStr">
        <x:is>
          <x:t>3. Aceites para perfumes y fragancias; bases para perfumes de flores; colonias, perfumes y productos cosméticos; difusores de perfumes de ambiente con varillas; espráis utilizados como desodorantes y perfumes corporales; extractos de flores en cuanto perfumes;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recambios de perfumes para difusores de aceites esenciales enchufables; recambios de perfumes para difusores electrónicos de aceites esenciales.
</x:t>
        </x:is>
      </x:c>
      <x:c r="L108" s="3" t="inlineStr">
        <x:is>
          <x:t>No</x:t>
        </x:is>
      </x:c>
      <x:c r="M108" s="3" t="inlineStr">
        <x:is>
          <x:t/>
        </x:is>
      </x:c>
      <x:c r="N108" s="3" t="inlineStr">
        <x:is>
          <x:t/>
        </x:is>
      </x:c>
      <x:c r="O108" s="3" t="inlineStr">
        <x:is>
          <x:t>19 abr. 2022</x:t>
        </x:is>
      </x:c>
      <x:c r="P108" s="3" t="inlineStr">
        <x:is>
          <x:t/>
        </x:is>
      </x:c>
      <x:c r="Q108" s="3" t="inlineStr">
        <x:is>
          <x:t/>
        </x:is>
      </x:c>
    </x:row>
    <x:row r="109">
      <x:c r="A109" s="10" t="inlineStr">
        <x:f xml:space="preserve">HYPERLINK("http://sipi.sic.gov.co/sipi/View.ashx?4061456","SD2022/0096459")</x:f>
      </x:c>
      <x:c r="B109" s="3" t="inlineStr">
        <x:is>
          <x:t>ALOHA HAWÁI</x:t>
        </x:is>
      </x:c>
      <x:c r="C109" s="9" t="inlineStr">
        <x:is>
          <x:t/>
        </x:is>
      </x:c>
      <x:c r="D109" s="3" t="inlineStr">
        <x:is>
          <x:t>19 sept. 2022</x:t>
        </x:is>
      </x:c>
      <x:c r="E109" s="3" t="inlineStr">
        <x:is>
          <x:t/>
        </x:is>
      </x:c>
      <x:c r="F109" s="3" t="inlineStr">
        <x:is>
          <x:t>Negada</x:t>
        </x:is>
      </x:c>
      <x:c r="G109" s="3" t="inlineStr">
        <x:is>
          <x:t>ALOHAHAWAI</x:t>
        </x:is>
      </x:c>
      <x:c r="H109" s="3" t="inlineStr">
        <x:is>
          <x:t>SEBASTIAN RINCON GIRALDO, CRA 44 #67 SUR 62, SABANETA, ANTIOQUIA 055450, CO</x:t>
        </x:is>
      </x:c>
      <x:c r="I109" s="3" t="inlineStr">
        <x:is>
          <x:t>3</x:t>
        </x:is>
      </x:c>
      <x:c r="J109" s="3" t="inlineStr">
        <x:is>
          <x:t>11</x:t>
        </x:is>
      </x:c>
      <x:c r="K109" s="3" t="inlineStr">
        <x:is>
          <x:t>3. Aceites cosméticos para la piel; aceites de protección solar [cosméticos]; aceites para bronceado [cosméticos]; aceites perfumados para la fabricación de preparados cosméticos; aerosoles cosméticos de uso tópico para la piel; apitoxina [veneno de abeja melífera] con fines cosméticos; autobronceadores [cosméticos]; barras de labios con protección solar [cosméticos]; colonias, perfumes y productos cosméticos; colorantes de labios [cosméticos]; colorantes labiales [cosméticos]; colorantes labiales [productos cosméticos]; colorantes para los labios [productos cosméticos]; composiciones para aclarar la piel [cosméticos]; cosméticos a base de cannabis; cosméticos de belleza; cosméticos en forma de polvos; cosméticos naturales; cosméticos para animales; cosméticos para broncear la piel; cosméticos para el cuidado del cuerpo; cosméticos para las cejas; cosméticos para los labios; cosméticos para pestañas; cremas corporales [cosméticos]; cremas hidratantes para la piel [cosméticos]; cremas y geles cosméticos para rostro, manos y cuerpo; cremas, leches, lociones, geles y polvos cosméticos para la cara, el cuerpo y las manos; filtro solar [cosméticos]; geles hidratantes [cosméticos]; geles para el cuerpo y la cara [cosméticos]; limpiadores de la piel [cosméticos]; mascarillas para la piel [cosméticos]; perfumería para cosméticos; preparaciones de protección solar [productos cosméticos]; preparaciones faciales [cosméticos]; preparaciones hidratantes [cosméticos]; productos de perfumería, aceites esenciales, cosméticos no medicinales, lociones capilares no medicinales; productos de perfumería, aceites esenciales, cosméticos, lociones capilares; productos y preparaciones cosméticos para el cuidado de la piel; protectores solares para los labios [productos cosméticos]; aceites de cáñamo a base de cbd para uso cosmético; preparaciones para el cuidado de la piel a base de cbd; preparados para el cuidado de la piel a base de cbd; productos cosméticos de cbd.
</x:t>
        </x:is>
      </x:c>
      <x:c r="L109" s="3" t="inlineStr">
        <x:is>
          <x:t>No</x:t>
        </x:is>
      </x:c>
      <x:c r="M109" s="3" t="inlineStr">
        <x:is>
          <x:t/>
        </x:is>
      </x:c>
      <x:c r="N109" s="3" t="inlineStr">
        <x:is>
          <x:t/>
        </x:is>
      </x:c>
      <x:c r="O109" s="3" t="inlineStr">
        <x:is>
          <x:t>18 nov. 2022</x:t>
        </x:is>
      </x:c>
      <x:c r="P109" s="3" t="inlineStr">
        <x:is>
          <x:t/>
        </x:is>
      </x:c>
      <x:c r="Q109" s="3" t="inlineStr">
        <x:is>
          <x:t/>
        </x:is>
      </x:c>
    </x:row>
    <x:row r="110">
      <x:c r="A110" s="10" t="inlineStr">
        <x:f xml:space="preserve">HYPERLINK("http://sipi.sic.gov.co/sipi/View.ashx?4062241","SD2022/0021578")</x:f>
      </x:c>
      <x:c r="B110" s="3" t="inlineStr">
        <x:is>
          <x:t>Koala toallitas húmedas</x:t>
        </x:is>
      </x:c>
      <x:c r="C110" s="9" t="inlineStr">
        <x:is>
          <x:t/>
        </x:is>
      </x:c>
      <x:c r="D110" s="3" t="inlineStr">
        <x:is>
          <x:t>07 mar. 2022</x:t>
        </x:is>
      </x:c>
      <x:c r="E110" s="3" t="inlineStr">
        <x:is>
          <x:t/>
        </x:is>
      </x:c>
      <x:c r="F110" s="3" t="inlineStr">
        <x:is>
          <x:t>Negada</x:t>
        </x:is>
      </x:c>
      <x:c r="G110" s="3" t="inlineStr">
        <x:is>
          <x:t>KOALA toallitas húmedas</x:t>
        </x:is>
      </x:c>
      <x:c r="H110" s="3" t="inlineStr">
        <x:is>
          <x:t>AMR AMER  DABAGE FARES, Calle 13 # 7-29 Barrio centro, MAICAO, GUAJIRA, CO</x:t>
        </x:is>
      </x:c>
      <x:c r="I110" s="3" t="inlineStr">
        <x:is>
          <x:t>3</x:t>
        </x:is>
      </x:c>
      <x:c r="J110" s="3" t="inlineStr">
        <x:is>
          <x:t>11</x:t>
        </x:is>
      </x:c>
      <x:c r="K110" s="3" t="inlineStr">
        <x:is>
          <x:t>3. Almohadillas, toallitas o pañitos de limpieza prehumedecidos o impregnados; almohadillas, toallitas o pañitos húmedos o impregnados de preparaciones limpiadoras; paños o toallitas impregnados de productos limpiadores para la piel; toallitas cosméticas impregnadas; toallitas cosméticas prehumedecidas; toallitas de limpieza prehumedecidas; toallitas desechables impregnadas con preparados cosméticos para bebés; toallitas desechables impregnadas con preparados de limpieza para bebés; toallitas desechables impregnadas de agua de colonia; toallitas impregnadas con preparados para el cuidado de la piel; toallitas impregnadas de aceites esenciales, para uso cosmético; toallitas impregnadas de lociones cosméticas; toallitas para bebés; toallitas para bebés impregnadas de preparaciones de limpieza.
</x:t>
        </x:is>
      </x:c>
      <x:c r="L110" s="3" t="inlineStr">
        <x:is>
          <x:t>No</x:t>
        </x:is>
      </x:c>
      <x:c r="M110" s="3" t="inlineStr">
        <x:is>
          <x:t/>
        </x:is>
      </x:c>
      <x:c r="N110" s="3" t="inlineStr">
        <x:is>
          <x:t/>
        </x:is>
      </x:c>
      <x:c r="O110" s="3" t="inlineStr">
        <x:is>
          <x:t>19 ago. 2022</x:t>
        </x:is>
      </x:c>
      <x:c r="P110" s="3" t="inlineStr">
        <x:is>
          <x:t/>
        </x:is>
      </x:c>
      <x:c r="Q110" s="3" t="inlineStr">
        <x:is>
          <x:t/>
        </x:is>
      </x:c>
    </x:row>
    <x:row r="111">
      <x:c r="A111" s="10" t="inlineStr">
        <x:f xml:space="preserve">HYPERLINK("http://sipi.sic.gov.co/sipi/View.ashx?4062566","SD2022/0021653")</x:f>
      </x:c>
      <x:c r="B111" s="3" t="inlineStr">
        <x:is>
          <x:t>Complexion</x:t>
        </x:is>
      </x:c>
      <x:c r="C111" s="3" t="inlineStr">
        <x:is>
          <x:t/>
        </x:is>
      </x:c>
      <x:c r="D111" s="3" t="inlineStr">
        <x:is>
          <x:t>07 mar. 2022</x:t>
        </x:is>
      </x:c>
      <x:c r="E111" s="3" t="inlineStr">
        <x:is>
          <x:t/>
        </x:is>
      </x:c>
      <x:c r="F111" s="3" t="inlineStr">
        <x:is>
          <x:t>Negada</x:t>
        </x:is>
      </x:c>
      <x:c r="G111" s="3" t="inlineStr">
        <x:is>
          <x:t>Complexion</x:t>
        </x:is>
      </x:c>
      <x:c r="H111" s="3" t="inlineStr">
        <x:is>
          <x:t>MELISA MEJIA JIMENEZ, Calle 13 36 A 156 Apt 1401 Ed Picasso, MEDELLIN, ANTIOQUIA 0000, CO</x:t>
        </x:is>
      </x:c>
      <x:c r="I111" s="3" t="inlineStr">
        <x:is>
          <x:t>3</x:t>
        </x:is>
      </x:c>
      <x:c r="J111" s="3" t="inlineStr">
        <x:is>
          <x:t>11</x:t>
        </x:is>
      </x:c>
      <x:c r="K111" s="3" t="inlineStr">
        <x:is>
          <x:t>3. Cosméticos en forma de cremas; cremas antienvejecimiento; cremas con filtro solar para uso cosmético; cremas cosmética para el cuerpo; cremas cosméticas para el cuidado de la piel.
</x:t>
        </x:is>
      </x:c>
      <x:c r="L111" s="3" t="inlineStr">
        <x:is>
          <x:t>No</x:t>
        </x:is>
      </x:c>
      <x:c r="M111" s="3" t="inlineStr">
        <x:is>
          <x:t/>
        </x:is>
      </x:c>
      <x:c r="N111" s="3" t="inlineStr">
        <x:is>
          <x:t/>
        </x:is>
      </x:c>
      <x:c r="O111" s="3" t="inlineStr">
        <x:is>
          <x:t>21 jun. 2022</x:t>
        </x:is>
      </x:c>
      <x:c r="P111" s="3" t="inlineStr">
        <x:is>
          <x:t/>
        </x:is>
      </x:c>
      <x:c r="Q111" s="3" t="inlineStr">
        <x:is>
          <x:t/>
        </x:is>
      </x:c>
    </x:row>
    <x:row r="112">
      <x:c r="A112" s="10" t="inlineStr">
        <x:f xml:space="preserve">HYPERLINK("http://sipi.sic.gov.co/sipi/View.ashx?4062947","SD2022/0021952")</x:f>
      </x:c>
      <x:c r="B112" s="3" t="inlineStr">
        <x:is>
          <x:t>SARYI COSMETICS</x:t>
        </x:is>
      </x:c>
      <x:c r="C112" s="3" t="inlineStr">
        <x:is>
          <x:t/>
        </x:is>
      </x:c>
      <x:c r="D112" s="3" t="inlineStr">
        <x:is>
          <x:t>07 mar. 2022</x:t>
        </x:is>
      </x:c>
      <x:c r="E112" s="3" t="inlineStr">
        <x:is>
          <x:t/>
        </x:is>
      </x:c>
      <x:c r="F112" s="3" t="inlineStr">
        <x:is>
          <x:t>Negada</x:t>
        </x:is>
      </x:c>
      <x:c r="G112" s="3" t="inlineStr">
        <x:is>
          <x:t>SOLICITUD DE REGISTRO MARCARIO DEL SIGNO SARYI COSMETICS</x:t>
        </x:is>
      </x:c>
      <x:c r="H112" s="3" t="inlineStr">
        <x:is>
          <x:t>YISSET MARGARITA BETANCOURT LONDOÑO , CR 77 39 C 09 , RIONEGRO, ANTIOQUIA 0057, CO</x:t>
        </x:is>
      </x:c>
      <x:c r="I112" s="3" t="inlineStr">
        <x:is>
          <x:t>3</x:t>
        </x:is>
      </x:c>
      <x:c r="J112" s="3" t="inlineStr">
        <x:is>
          <x:t>11</x:t>
        </x:is>
      </x:c>
      <x:c r="K112" s="3" t="inlineStr">
        <x:is>
          <x:t>3. Preparaciones para blanquear y otras sustancias para lavar la ropa; preparaciones para limpiar, pulir, desengrasar y raspar; jabones no medicinales; productos de perfumería, aceites esenciales, cosméticos, lociones capilares no medicinales; dentífricos no medicinales.
</x:t>
        </x:is>
      </x:c>
      <x:c r="L112" s="3" t="inlineStr">
        <x:is>
          <x:t>Sí</x:t>
        </x:is>
      </x:c>
      <x:c r="M112" s="3" t="inlineStr">
        <x:is>
          <x:t>DONALD YAMID RIVEROS ANGARITA, Calle  52 # 49 -71 OFIC 4-12, MEDELLIN, ANTIOQUIA, CO</x:t>
        </x:is>
      </x:c>
      <x:c r="N112" s="3" t="inlineStr">
        <x:is>
          <x:t/>
        </x:is>
      </x:c>
      <x:c r="O112" s="3" t="inlineStr">
        <x:is>
          <x:t>08 abr. 2022</x:t>
        </x:is>
      </x:c>
      <x:c r="P112" s="3" t="inlineStr">
        <x:is>
          <x:t/>
        </x:is>
      </x:c>
      <x:c r="Q112" s="3" t="inlineStr">
        <x:is>
          <x:t/>
        </x:is>
      </x:c>
    </x:row>
    <x:row r="113">
      <x:c r="A113" s="10" t="inlineStr">
        <x:f xml:space="preserve">HYPERLINK("http://sipi.sic.gov.co/sipi/View.ashx?4063124","SD2022/0021791")</x:f>
      </x:c>
      <x:c r="B113" s="3" t="inlineStr">
        <x:is>
          <x:t>Raza Riza</x:t>
        </x:is>
      </x:c>
      <x:c r="C113" s="9" t="inlineStr">
        <x:is>
          <x:t/>
        </x:is>
      </x:c>
      <x:c r="D113" s="3" t="inlineStr">
        <x:is>
          <x:t>07 mar. 2022</x:t>
        </x:is>
      </x:c>
      <x:c r="E113" s="3" t="inlineStr">
        <x:is>
          <x:t/>
        </x:is>
      </x:c>
      <x:c r="F113" s="3" t="inlineStr">
        <x:is>
          <x:t>Negada</x:t>
        </x:is>
      </x:c>
      <x:c r="G113" s="3" t="inlineStr">
        <x:is>
          <x:t>raza riza</x:t>
        </x:is>
      </x:c>
      <x:c r="H113" s="3" t="inlineStr">
        <x:is>
          <x:t>Erika Vanessa Murillo gonzález, calle 3 sur 9-45, BUGALAGRANDE, VALLE DEL CAUCA, CO</x:t>
        </x:is>
      </x:c>
      <x:c r="I113" s="3" t="inlineStr">
        <x:is>
          <x:t>3</x:t>
        </x:is>
      </x:c>
      <x:c r="J113" s="3" t="inlineStr">
        <x:is>
          <x:t>11</x:t>
        </x:is>
      </x:c>
      <x:c r="K11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113" s="3" t="inlineStr">
        <x:is>
          <x:t>No</x:t>
        </x:is>
      </x:c>
      <x:c r="M113" s="3" t="inlineStr">
        <x:is>
          <x:t/>
        </x:is>
      </x:c>
      <x:c r="N113" s="3" t="inlineStr">
        <x:is>
          <x:t/>
        </x:is>
      </x:c>
      <x:c r="O113" s="3" t="inlineStr">
        <x:is>
          <x:t>08 jul. 2022</x:t>
        </x:is>
      </x:c>
      <x:c r="P113" s="3" t="inlineStr">
        <x:is>
          <x:t/>
        </x:is>
      </x:c>
      <x:c r="Q113" s="3" t="inlineStr">
        <x:is>
          <x:t/>
        </x:is>
      </x:c>
    </x:row>
    <x:row r="114">
      <x:c r="A114" s="10" t="inlineStr">
        <x:f xml:space="preserve">HYPERLINK("http://sipi.sic.gov.co/sipi/View.ashx?4064594","SD2022/0022109")</x:f>
      </x:c>
      <x:c r="B114" s="3" t="inlineStr">
        <x:is>
          <x:t>ANTUM</x:t>
        </x:is>
      </x:c>
      <x:c r="C114" s="3" t="inlineStr">
        <x:is>
          <x:t/>
        </x:is>
      </x:c>
      <x:c r="D114" s="3" t="inlineStr">
        <x:is>
          <x:t>08 mar. 2022</x:t>
        </x:is>
      </x:c>
      <x:c r="E114" s="3" t="inlineStr">
        <x:is>
          <x:t/>
        </x:is>
      </x:c>
      <x:c r="F114" s="3" t="inlineStr">
        <x:is>
          <x:t>Negada</x:t>
        </x:is>
      </x:c>
      <x:c r="G114" s="3" t="inlineStr">
        <x:is>
          <x:t>M19445</x:t>
        </x:is>
      </x:c>
      <x:c r="H114" s="3" t="inlineStr">
        <x:is>
          <x:t> DOCTOR ANDRES NARANJO SAS, CL 106A NO. 18A 19, BOGOTÁ, D.C., CO</x:t>
        </x:is>
      </x:c>
      <x:c r="I114" s="3" t="inlineStr">
        <x:is>
          <x:t>3</x:t>
        </x:is>
      </x:c>
      <x:c r="J114" s="3" t="inlineStr">
        <x:is>
          <x:t>11</x:t>
        </x:is>
      </x:c>
      <x:c r="K114" s="3" t="inlineStr">
        <x:is>
          <x:t>3. Cosméticos y preparaciones cosméticas; preparaciones de bloqueadores solares para uso cosmético; sueros para uso cosmético; cremas cosméticas; geles cosméticos; cremas limpiadoras; espumas limpiadoras; leches limpiadoras; mascarillas limpiadoras.
</x:t>
        </x:is>
      </x:c>
      <x:c r="L114" s="3" t="inlineStr">
        <x:is>
          <x:t>No</x:t>
        </x:is>
      </x:c>
      <x:c r="M114" s="3" t="inlineStr">
        <x:is>
          <x:t>XIMENA CASTELLANOS ABONDANO, Calle 117 No. 5A - 35 piso 3, BOGOTÁ, D.C., CO</x:t>
        </x:is>
      </x:c>
      <x:c r="N114" s="3" t="inlineStr">
        <x:is>
          <x:t/>
        </x:is>
      </x:c>
      <x:c r="O114" s="3" t="inlineStr">
        <x:is>
          <x:t>29 mar. 2022</x:t>
        </x:is>
      </x:c>
      <x:c r="P114" s="3" t="inlineStr">
        <x:is>
          <x:t/>
        </x:is>
      </x:c>
      <x:c r="Q114" s="3" t="inlineStr">
        <x:is>
          <x:t/>
        </x:is>
      </x:c>
    </x:row>
    <x:row r="115">
      <x:c r="A115" s="10" t="inlineStr">
        <x:f xml:space="preserve">HYPERLINK("http://sipi.sic.gov.co/sipi/View.ashx?4066376","SD2022/0022488")</x:f>
      </x:c>
      <x:c r="B115" s="3" t="inlineStr">
        <x:is>
          <x:t>NAVI NATURAL MAGIC</x:t>
        </x:is>
      </x:c>
      <x:c r="C115" s="9" t="inlineStr">
        <x:is>
          <x:t/>
        </x:is>
      </x:c>
      <x:c r="D115" s="3" t="inlineStr">
        <x:is>
          <x:t>09 mar. 2022</x:t>
        </x:is>
      </x:c>
      <x:c r="E115" s="3" t="inlineStr">
        <x:is>
          <x:t/>
        </x:is>
      </x:c>
      <x:c r="F115" s="3" t="inlineStr">
        <x:is>
          <x:t>Negada</x:t>
        </x:is>
      </x:c>
      <x:c r="G115" s="3" t="inlineStr">
        <x:is>
          <x:t>NAVÍ</x:t>
        </x:is>
      </x:c>
      <x:c r="H115" s="3" t="inlineStr">
        <x:is>
          <x:t>IVAN ORLANDO BORRAEZ ZAPATA, CALLE 63A #46-19, MEDELLIN, ANTIOQUIA, CO; CARLOS ALFREDO JIMENEZ VASQUEZ, CALLE 63A #46-19, MEDELLIN, ANTIOQUIA, CO</x:t>
        </x:is>
      </x:c>
      <x:c r="I115" s="3" t="inlineStr">
        <x:is>
          <x:t>3, 18, 41</x:t>
        </x:is>
      </x:c>
      <x:c r="J115" s="3" t="inlineStr">
        <x:is>
          <x:t>11</x:t>
        </x:is>
      </x:c>
      <x:c r="K115" s="3" t="inlineStr">
        <x:is>
          <x:t>3. Cosméticos; cosméticos y preparaciones cosméticas; aceites cosméticos; cosméticos de belleza; cosméticos ecológicos; cosméticos naturales; cosméticos para el cabello; cremas cosméticas; geles cosméticos; hidratantes [cosméticos]; jabones cosméticos; mascarillas cosméticas; maquillaje [cosméticos]; neceseres de cosmética; tónicos cosméticos; bloqueador solar [cosméticos]; cremas y lociones cosméticas; exfoliantes [preparaciones cosméticas]; manteca corporal para uso cosmético.
18. Morrales; artículos de equipaje y bolsas de transporte; artículos de viaje; billeteras; bolsas; bolsos de mano; estuches para artículos de tocador; estuches vacíos para cosméticos; maletas; maletines de maquillaje, vacíos; mochilas; monederos; neceseres vacíos para cosméticos; paraguas y sombrillas.
41. Talleres de formación; transferencia de conocimientos especializados; servicios de formaciones empresariales; servicios de educación, formación y entretenimiento; realización de cursos de instrucción, educación y formación; organización y dirección de talleres de formación y de seminarios; formación; educación; cursos de estética.
</x:t>
        </x:is>
      </x:c>
      <x:c r="L115" s="3" t="inlineStr">
        <x:is>
          <x:t>No</x:t>
        </x:is>
      </x:c>
      <x:c r="M115" s="3" t="inlineStr">
        <x:is>
          <x:t>ANDRES CASAS SANTOFIMIO, Carrera 17A No. 175 - 82, torre 6 apartamento 903, BOGOTA D.C., CUNDINAMARCA 110141650, CO</x:t>
        </x:is>
      </x:c>
      <x:c r="N115" s="3" t="inlineStr">
        <x:is>
          <x:t/>
        </x:is>
      </x:c>
      <x:c r="O115" s="3" t="inlineStr">
        <x:is>
          <x:t>18 mar. 2022</x:t>
        </x:is>
      </x:c>
      <x:c r="P115" s="3" t="inlineStr">
        <x:is>
          <x:t/>
        </x:is>
      </x:c>
      <x:c r="Q115" s="3" t="inlineStr">
        <x:is>
          <x:t/>
        </x:is>
      </x:c>
    </x:row>
    <x:row r="116">
      <x:c r="A116" s="10" t="inlineStr">
        <x:f xml:space="preserve">HYPERLINK("http://sipi.sic.gov.co/sipi/View.ashx?4067087","SD2022/0022623")</x:f>
      </x:c>
      <x:c r="B116" s="3" t="inlineStr">
        <x:is>
          <x:t>SUAVINA</x:t>
        </x:is>
      </x:c>
      <x:c r="C116" s="3" t="inlineStr">
        <x:is>
          <x:t/>
        </x:is>
      </x:c>
      <x:c r="D116" s="3" t="inlineStr">
        <x:is>
          <x:t>09 mar. 2022</x:t>
        </x:is>
      </x:c>
      <x:c r="E116" s="3" t="inlineStr">
        <x:is>
          <x:t/>
        </x:is>
      </x:c>
      <x:c r="F116" s="3" t="inlineStr">
        <x:is>
          <x:t>Negada</x:t>
        </x:is>
      </x:c>
      <x:c r="G116" s="3" t="inlineStr">
        <x:is>
          <x:t>88756</x:t>
        </x:is>
      </x:c>
      <x:c r="H116" s="3" t="inlineStr">
        <x:is>
          <x:t>Vicente  Calduch Bellés, C/ Enmedio 13, 12001 , CASTELLON DE LA PLANA, CASTELLON, ES</x:t>
        </x:is>
      </x:c>
      <x:c r="I116" s="3" t="inlineStr">
        <x:is>
          <x:t>3</x:t>
        </x:is>
      </x:c>
      <x:c r="J116" s="3" t="inlineStr">
        <x:is>
          <x:t>11</x:t>
        </x:is>
      </x:c>
      <x:c r="K116" s="3" t="inlineStr">
        <x:is>
          <x:t>3. Cosméticos, jabones.
</x:t>
        </x:is>
      </x:c>
      <x:c r="L116" s="3" t="inlineStr">
        <x:is>
          <x:t>No</x:t>
        </x:is>
      </x:c>
      <x:c r="M116" s="3" t="inlineStr">
        <x:is>
          <x:t>MAURICIO PINZÓN PINZÓN, CALLE 99 # 12-39 piso 4 , BOGOTÁ, D.C., CO</x:t>
        </x:is>
      </x:c>
      <x:c r="N116" s="3" t="inlineStr">
        <x:is>
          <x:t/>
        </x:is>
      </x:c>
      <x:c r="O116" s="3" t="inlineStr">
        <x:is>
          <x:t>29 mar. 2022</x:t>
        </x:is>
      </x:c>
      <x:c r="P116" s="3" t="inlineStr">
        <x:is>
          <x:t/>
        </x:is>
      </x:c>
      <x:c r="Q116" s="3" t="inlineStr">
        <x:is>
          <x:t/>
        </x:is>
      </x:c>
    </x:row>
    <x:row r="117">
      <x:c r="A117" s="10" t="inlineStr">
        <x:f xml:space="preserve">HYPERLINK("http://sipi.sic.gov.co/sipi/View.ashx?4067346","SD2022/0022674")</x:f>
      </x:c>
      <x:c r="B117" s="3" t="inlineStr">
        <x:is>
          <x:t>SANTO EMBRUJO</x:t>
        </x:is>
      </x:c>
      <x:c r="C117" s="9" t="inlineStr">
        <x:is>
          <x:t/>
        </x:is>
      </x:c>
      <x:c r="D117" s="3" t="inlineStr">
        <x:is>
          <x:t>09 mar. 2022</x:t>
        </x:is>
      </x:c>
      <x:c r="E117" s="3" t="inlineStr">
        <x:is>
          <x:t/>
        </x:is>
      </x:c>
      <x:c r="F117" s="3" t="inlineStr">
        <x:is>
          <x:t>Negada</x:t>
        </x:is>
      </x:c>
      <x:c r="G117" s="3" t="inlineStr">
        <x:is>
          <x:t/>
        </x:is>
      </x:c>
      <x:c r="H117" s="3" t="inlineStr">
        <x:is>
          <x:t> SANTO EMBRUJO S.A.S, Ak 9 127 C 46 Of 404, BOGOTÁ, D.C., CO</x:t>
        </x:is>
      </x:c>
      <x:c r="I117" s="3" t="inlineStr">
        <x:is>
          <x:t>3</x:t>
        </x:is>
      </x:c>
      <x:c r="J117" s="3" t="inlineStr">
        <x:is>
          <x:t>11</x:t>
        </x:is>
      </x:c>
      <x:c r="K117" s="3" t="inlineStr">
        <x:is>
          <x:t>3. CLASE 3: Shampoo y tratamientos única y exclusivamente productos para el cabello.
</x:t>
        </x:is>
      </x:c>
      <x:c r="L117" s="3" t="inlineStr">
        <x:is>
          <x:t>No</x:t>
        </x:is>
      </x:c>
      <x:c r="M117" s="3" t="inlineStr">
        <x:is>
          <x:t>CARLOS FERNANDO MORENO GARCIA, ​Calle 64 No 09 - 05 ofc 302 y 303, BOGOTÁ, D.C., CO</x:t>
        </x:is>
      </x:c>
      <x:c r="N117" s="3" t="inlineStr">
        <x:is>
          <x:t/>
        </x:is>
      </x:c>
      <x:c r="O117" s="3" t="inlineStr">
        <x:is>
          <x:t>09 ago. 2022</x:t>
        </x:is>
      </x:c>
      <x:c r="P117" s="3" t="inlineStr">
        <x:is>
          <x:t/>
        </x:is>
      </x:c>
      <x:c r="Q117" s="3" t="inlineStr">
        <x:is>
          <x:t/>
        </x:is>
      </x:c>
    </x:row>
    <x:row r="118">
      <x:c r="A118" s="10" t="inlineStr">
        <x:f xml:space="preserve">HYPERLINK("http://sipi.sic.gov.co/sipi/View.ashx?4070046","SD2022/0023450")</x:f>
      </x:c>
      <x:c r="B118" s="3" t="inlineStr">
        <x:is>
          <x:t>FINOA BEAUTY</x:t>
        </x:is>
      </x:c>
      <x:c r="C118" s="9" t="inlineStr">
        <x:is>
          <x:t/>
        </x:is>
      </x:c>
      <x:c r="D118" s="3" t="inlineStr">
        <x:is>
          <x:t>14 mar. 2022</x:t>
        </x:is>
      </x:c>
      <x:c r="E118" s="3" t="inlineStr">
        <x:is>
          <x:t/>
        </x:is>
      </x:c>
      <x:c r="F118" s="3" t="inlineStr">
        <x:is>
          <x:t>Negada</x:t>
        </x:is>
      </x:c>
      <x:c r="G118" s="3" t="inlineStr">
        <x:is>
          <x:t/>
        </x:is>
      </x:c>
      <x:c r="H118" s="3" t="inlineStr">
        <x:is>
          <x:t>MELISSA JARAMILLO , CRA 51 # 131 SUR 22 APTO 302 TORRE ARCE, CALDAS, ANTIOQUIA, CO</x:t>
        </x:is>
      </x:c>
      <x:c r="I118" s="3" t="inlineStr">
        <x:is>
          <x:t>3</x:t>
        </x:is>
      </x:c>
      <x:c r="J118" s="3" t="inlineStr">
        <x:is>
          <x:t>11</x:t>
        </x:is>
      </x:c>
      <x:c r="K118" s="3" t="inlineStr">
        <x:is>
          <x:t>3. Aceites bronceadores [cosméticos];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apitoxina [veneno de abeja melífera] con fines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tonificantes [cosméticos]; cremas y geles cosméticos para cara, manos y cuerpo; cremas y geles cosméticos para rostro, manos y cuerpo; cremas, leches, lociones, geles y polvos cosméticos para la cara, el cuerpo y las manos; endurecedores de uñas [cosméticos]; esmaltes de base para las uñas [productos cosméticos]; exfoliantes corporales cosméticos; filtro solar [cosméticos]; geles bronceadores [cosméticos]; geles corporales y faciales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leches bronceadoras [cosméticos]; leches para después del sol [productos cosméticos];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autobronceadoras [cosméticos]; lociones faciales [cosméticos]; lociones hidratantes [cosméticos]; lociones hidratantes para el cuerpo [cosméticos]; lociones hidratantes para la piel [cosméticos]; lociones no medicinales para el cuidado de la piel [cosméticos]; lociones para el cuidado de la piel [cosméticos]; lociones para la piel [productos cosméticos]; maquillaje [cosméticos]; mascarillas faciales [productos cosméticos]; mascarillas para el cutis [cosméticos]; mascarillas para la piel [cosméticos]; papel secante anti-brillo [cosméticos]; papel secante facial [cosméticos]; parches cosméticos con filtro y pantalla solar para aplicar sobre la piel; parches de gel para los ojos con fines cosméticos; pañitos cosméticos prehumedecidos; perfumería para cosméticos; polvos compactos para polveras [cosméticos]; polvos cosméticos; polvos faciales [cosméticos]; polvos faciales cosméticos; polvos faciales cosméticos de color blanco; preparaciones autobronceadoras [cosméticos]; preparaciones blanqueadoras para la piel [productos cosméticos]; preparaciones de cuidado facial [cosméticos]; preparaciones de protección solar [productos cosméticos]; preparaciones faciales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de revestimiento para esculpir uñas [productos cosméticos]; productos y preparaciones cosméticos para el cuidado de la piel; protectores solares para los labios [productos cosméticos]; quitaesmalte para uñas [cosméticos]; quitaesmaltes de uñas [cosméticos]; tatuajes temporales con fines cosméticos; tintes cosméticos; tintes de labios [cosméticos]; tintes labiales [cosméticos]; tintes labiales [productos cosméticos]; tintes para los labios [productos cosméticos]; tiras blanqueadoras de dientes impregnadas con preparaciones blanqueadoras [cosméticos]; toallas de papel para las manos impregnadas de cosméticos; toallas de papel para las manos impregnadas de productos cosméticos; toallitas desechables impregnadas con preparados cosméticos para bebés; toallitas impregnadas con preparados cosméticos; toallitas impregnadas de productos cosméticos; tónicos cosméticos; tónicos cosméticos para el rostro; tónicos cosméticos para la cara; tónicos faciales [cosméticos]; veneno de abeja con fines cosméticos.
</x:t>
        </x:is>
      </x:c>
      <x:c r="L118" s="3" t="inlineStr">
        <x:is>
          <x:t>No</x:t>
        </x:is>
      </x:c>
      <x:c r="M118" s="3" t="inlineStr">
        <x:is>
          <x:t/>
        </x:is>
      </x:c>
      <x:c r="N118" s="3" t="inlineStr">
        <x:is>
          <x:t/>
        </x:is>
      </x:c>
      <x:c r="O118" s="3" t="inlineStr">
        <x:is>
          <x:t>29 abr. 2022</x:t>
        </x:is>
      </x:c>
      <x:c r="P118" s="3" t="inlineStr">
        <x:is>
          <x:t/>
        </x:is>
      </x:c>
      <x:c r="Q118" s="3" t="inlineStr">
        <x:is>
          <x:t/>
        </x:is>
      </x:c>
    </x:row>
    <x:row r="119">
      <x:c r="A119" s="10" t="inlineStr">
        <x:f xml:space="preserve">HYPERLINK("http://sipi.sic.gov.co/sipi/View.ashx?4072099","SD2022/0026303")</x:f>
      </x:c>
      <x:c r="B119" s="3" t="inlineStr">
        <x:is>
          <x:t>SMILE D PRO GLOW</x:t>
        </x:is>
      </x:c>
      <x:c r="C119" s="3" t="inlineStr">
        <x:is>
          <x:t/>
        </x:is>
      </x:c>
      <x:c r="D119" s="3" t="inlineStr">
        <x:is>
          <x:t>17 mar. 2022</x:t>
        </x:is>
      </x:c>
      <x:c r="E119" s="3" t="inlineStr">
        <x:is>
          <x:t/>
        </x:is>
      </x:c>
      <x:c r="F119" s="3" t="inlineStr">
        <x:is>
          <x:t>Negada</x:t>
        </x:is>
      </x:c>
      <x:c r="G119" s="3" t="inlineStr">
        <x:is>
          <x:t>registro smile libia rios</x:t>
        </x:is>
      </x:c>
      <x:c r="H119" s="3" t="inlineStr">
        <x:is>
          <x:t>LIBIA ROCIO   RIOS MORENO, Calle 26 A #13-97 Of 804, BOGOTÁ, D.C. 110311, CO</x:t>
        </x:is>
      </x:c>
      <x:c r="I119" s="3" t="inlineStr">
        <x:is>
          <x:t>3</x:t>
        </x:is>
      </x:c>
      <x:c r="J119" s="3" t="inlineStr">
        <x:is>
          <x:t>11</x:t>
        </x:is>
      </x:c>
      <x:c r="K119" s="3" t="inlineStr">
        <x:is>
          <x:t>3. Pastas de dientes*; pastas para blanquear los dientes.
</x:t>
        </x:is>
      </x:c>
      <x:c r="L119" s="3" t="inlineStr">
        <x:is>
          <x:t>No</x:t>
        </x:is>
      </x:c>
      <x:c r="M119" s="3" t="inlineStr">
        <x:is>
          <x:t>XIMENA RIVEROS URREGO, calle 26 a 13-97 oficina 804, BOGOTÁ, D.C., CO</x:t>
        </x:is>
      </x:c>
      <x:c r="N119" s="3" t="inlineStr">
        <x:is>
          <x:t/>
        </x:is>
      </x:c>
      <x:c r="O119" s="3" t="inlineStr">
        <x:is>
          <x:t>29 mar. 2022</x:t>
        </x:is>
      </x:c>
      <x:c r="P119" s="3" t="inlineStr">
        <x:is>
          <x:t/>
        </x:is>
      </x:c>
      <x:c r="Q119" s="3" t="inlineStr">
        <x:is>
          <x:t/>
        </x:is>
      </x:c>
    </x:row>
    <x:row r="120">
      <x:c r="A120" s="10" t="inlineStr">
        <x:f xml:space="preserve">HYPERLINK("http://sipi.sic.gov.co/sipi/View.ashx?4072111","SD2022/0024033")</x:f>
      </x:c>
      <x:c r="B120" s="3" t="inlineStr">
        <x:is>
          <x:t>Let SplendoR</x:t>
        </x:is>
      </x:c>
      <x:c r="C120" s="9" t="inlineStr">
        <x:is>
          <x:t/>
        </x:is>
      </x:c>
      <x:c r="D120" s="3" t="inlineStr">
        <x:is>
          <x:t>11 mar. 2022</x:t>
        </x:is>
      </x:c>
      <x:c r="E120" s="3" t="inlineStr">
        <x:is>
          <x:t/>
        </x:is>
      </x:c>
      <x:c r="F120" s="3" t="inlineStr">
        <x:is>
          <x:t>Negada</x:t>
        </x:is>
      </x:c>
      <x:c r="G120" s="3" t="inlineStr">
        <x:is>
          <x:t>Let SplendoR</x:t>
        </x:is>
      </x:c>
      <x:c r="H120" s="3" t="inlineStr">
        <x:is>
          <x:t>LAURA ALEJANDRA VALENCIA TORRES, CALLE 15 SUR  3 - 93, BUGA, VALLE DEL CAUCA, CO</x:t>
        </x:is>
      </x:c>
      <x:c r="I120" s="3" t="inlineStr">
        <x:is>
          <x:t>3</x:t>
        </x:is>
      </x:c>
      <x:c r="J120" s="3" t="inlineStr">
        <x:is>
          <x:t>11</x:t>
        </x:is>
      </x:c>
      <x:c r="K120" s="3" t="inlineStr">
        <x:is>
          <x:t>3. Jabones no medicinales; productos de perfumería, aceites esenciales, cosméticos no medicinales, lociones capilares no medicinales; champúes para el cabello; champús anticaspa; champús capilares; champús de ph neutro.
</x:t>
        </x:is>
      </x:c>
      <x:c r="L120" s="3" t="inlineStr">
        <x:is>
          <x:t>No</x:t>
        </x:is>
      </x:c>
      <x:c r="M120" s="3" t="inlineStr">
        <x:is>
          <x:t/>
        </x:is>
      </x:c>
      <x:c r="N120" s="3" t="inlineStr">
        <x:is>
          <x:t/>
        </x:is>
      </x:c>
      <x:c r="O120" s="3" t="inlineStr">
        <x:is>
          <x:t>09 ago. 2022</x:t>
        </x:is>
      </x:c>
      <x:c r="P120" s="3" t="inlineStr">
        <x:is>
          <x:t/>
        </x:is>
      </x:c>
      <x:c r="Q120" s="3" t="inlineStr">
        <x:is>
          <x:t/>
        </x:is>
      </x:c>
    </x:row>
    <x:row r="121">
      <x:c r="A121" s="10" t="inlineStr">
        <x:f xml:space="preserve">HYPERLINK("http://sipi.sic.gov.co/sipi/View.ashx?4073818","SD2022/0024324")</x:f>
      </x:c>
      <x:c r="B121" s="3" t="inlineStr">
        <x:is>
          <x:t>PURÍSIMO</x:t>
        </x:is>
      </x:c>
      <x:c r="C121" s="9" t="inlineStr">
        <x:is>
          <x:t/>
        </x:is>
      </x:c>
      <x:c r="D121" s="3" t="inlineStr">
        <x:is>
          <x:t>14 mar. 2022</x:t>
        </x:is>
      </x:c>
      <x:c r="E121" s="3" t="inlineStr">
        <x:is>
          <x:t/>
        </x:is>
      </x:c>
      <x:c r="F121" s="3" t="inlineStr">
        <x:is>
          <x:t>Negada</x:t>
        </x:is>
      </x:c>
      <x:c r="G121" s="3" t="inlineStr">
        <x:is>
          <x:t/>
        </x:is>
      </x:c>
      <x:c r="H121" s="3" t="inlineStr">
        <x:is>
          <x:t>GREGORIO HIGINIO GARZON JAIMES, AV 7 #16N-11 CORRAL DE PIEDRA(SEVILLA), CUCUTA, NORTE DE SANTANDER, CO</x:t>
        </x:is>
      </x:c>
      <x:c r="I121" s="3" t="inlineStr">
        <x:is>
          <x:t>3, 16, 21</x:t>
        </x:is>
      </x:c>
      <x:c r="J121" s="3" t="inlineStr">
        <x:is>
          <x:t>11</x:t>
        </x:is>
      </x:c>
      <x:c r="K121" s="3" t="inlineStr">
        <x:is>
          <x:t>3. Esponjas impregnadas con jabones; esponjas impregnadas con jabón; esponjas impregnadas con preparaciones para la limpieza; esponjas impregnadas con productos de tocador; jabones corporales no medicados; jabones de baño; jabones de tocador; jabones desodorantes; jabones detergentes; jabones en crema; jabones industriales; jabones líquidos; detergente líquido; detergentes comerciales para lavanderías; detergentes de espuma para uso doméstico; detergentes en gel para lavavajillas; detergentes en polvo para la ropa; detergentes en polvo para lavavajillas; detergentes jabonosos para uso doméstico; detergentes para el hogar; detergentes para el lavado de coches y camiones; detergentes para inodoros; detergentes para la colada; detergentes para la limpieza de la ropa para uso doméstico; detergentes para las manos; detergentes para retretes; jabones y detergentes; toallitas húmedas impregnadas con detergente.
16. Papel higiénico; rollos de papel higiénico.
21. Esponjas; esponjas abrasivas; esponjas abrasivas para la cocina; esponjas abrasivas para la limpieza; esponjas abrasivas para lavar los platos; esponjas de aseo personal; esponjas de cocina; esponjas de limpieza; distribuidores de papel higiénico.
</x:t>
        </x:is>
      </x:c>
      <x:c r="L121" s="3" t="inlineStr">
        <x:is>
          <x:t>Sí</x:t>
        </x:is>
      </x:c>
      <x:c r="M121" s="3" t="inlineStr">
        <x:is>
          <x:t/>
        </x:is>
      </x:c>
      <x:c r="N121" s="3" t="inlineStr">
        <x:is>
          <x:t/>
        </x:is>
      </x:c>
      <x:c r="O121" s="3" t="inlineStr">
        <x:is>
          <x:t>30 sept. 2022</x:t>
        </x:is>
      </x:c>
      <x:c r="P121" s="3" t="inlineStr">
        <x:is>
          <x:t/>
        </x:is>
      </x:c>
      <x:c r="Q121" s="3" t="inlineStr">
        <x:is>
          <x:t/>
        </x:is>
      </x:c>
    </x:row>
    <x:row r="122">
      <x:c r="A122" s="10" t="inlineStr">
        <x:f xml:space="preserve">HYPERLINK("http://sipi.sic.gov.co/sipi/View.ashx?4075120","SD2022/0024601")</x:f>
      </x:c>
      <x:c r="B122" s="3" t="inlineStr">
        <x:is>
          <x:t>YOUNIQUE</x:t>
        </x:is>
      </x:c>
      <x:c r="C122" s="9" t="inlineStr">
        <x:is>
          <x:t/>
        </x:is>
      </x:c>
      <x:c r="D122" s="3" t="inlineStr">
        <x:is>
          <x:t>14 mar. 2022</x:t>
        </x:is>
      </x:c>
      <x:c r="E122" s="3" t="inlineStr">
        <x:is>
          <x:t/>
        </x:is>
      </x:c>
      <x:c r="F122" s="3" t="inlineStr">
        <x:is>
          <x:t>Negada</x:t>
        </x:is>
      </x:c>
      <x:c r="G122" s="3" t="inlineStr">
        <x:is>
          <x:t>younique</x:t>
        </x:is>
      </x:c>
      <x:c r="H122" s="3" t="inlineStr">
        <x:is>
          <x:t> Younique, LLC, 3400 Mayflower Ave. Lehi UT 84043, US</x:t>
        </x:is>
      </x:c>
      <x:c r="I122" s="3" t="inlineStr">
        <x:is>
          <x:t>3, 21, 35</x:t>
        </x:is>
      </x:c>
      <x:c r="J122" s="3" t="inlineStr">
        <x:is>
          <x:t>11</x:t>
        </x:is>
      </x:c>
      <x:c r="K122" s="3" t="inlineStr">
        <x:is>
          <x:t>3. Cosméticos; Maquillaje; Productos para el cuidado de la piel, concretamente, preparaciones no medicinales para el cuidado de la piel; fragancias.
21. Brochas y pinceles de maquillaje.
35. Servicios de venta al por menor en línea a través de solicitudes directas de distribuidores dirigidos a los usuarios finales que ofrezcan productos cosméticos, de cuidado de la piel y de belleza; servicios de venta al por menor a través de solicitudes directas de distribuidores dirigidos a los usuarios finales que ofrezcan productos cosméticos, de cuidado de la piel y de belleza; servicios de venta al por menor en el ámbito de los productos cosméticos, de cuidado de la piel y de belleza.
</x:t>
        </x:is>
      </x:c>
      <x:c r="L122" s="3" t="inlineStr">
        <x:is>
          <x:t>No</x:t>
        </x:is>
      </x:c>
      <x:c r="M122" s="3" t="inlineStr">
        <x:is>
          <x:t>SANDRA MILENA RODRIGUEZ SARMIENTO, Calle 94A No. 11A-39 OFC. 403, BOGOTÁ, D.C., CO</x:t>
        </x:is>
      </x:c>
      <x:c r="N122" s="3" t="inlineStr">
        <x:is>
          <x:t/>
        </x:is>
      </x:c>
      <x:c r="O122" s="3" t="inlineStr">
        <x:is>
          <x:t>08 nov. 2022</x:t>
        </x:is>
      </x:c>
      <x:c r="P122" s="3" t="inlineStr">
        <x:is>
          <x:t/>
        </x:is>
      </x:c>
      <x:c r="Q122" s="3" t="inlineStr">
        <x:is>
          <x:t/>
        </x:is>
      </x:c>
    </x:row>
    <x:row r="123">
      <x:c r="A123" s="10" t="inlineStr">
        <x:f xml:space="preserve">HYPERLINK("http://sipi.sic.gov.co/sipi/View.ashx?4075614","SD2022/0024662")</x:f>
      </x:c>
      <x:c r="B123" s="3" t="inlineStr">
        <x:is>
          <x:t>PUROS</x:t>
        </x:is>
      </x:c>
      <x:c r="C123" s="9" t="inlineStr">
        <x:is>
          <x:t/>
        </x:is>
      </x:c>
      <x:c r="D123" s="3" t="inlineStr">
        <x:is>
          <x:t>15 mar. 2022</x:t>
        </x:is>
      </x:c>
      <x:c r="E123" s="3" t="inlineStr">
        <x:is>
          <x:t/>
        </x:is>
      </x:c>
      <x:c r="F123" s="3" t="inlineStr">
        <x:is>
          <x:t>Negada</x:t>
        </x:is>
      </x:c>
      <x:c r="G123" s="3" t="inlineStr">
        <x:is>
          <x:t/>
        </x:is>
      </x:c>
      <x:c r="H123" s="3" t="inlineStr">
        <x:is>
          <x:t>GREGORIO HIGINIO GARZON JAIMES, AV 7 #16N-11 CORRAL DE PIEDRA(SEVILLA), CUCUTA, NORTE DE SANTANDER, CO</x:t>
        </x:is>
      </x:c>
      <x:c r="I123" s="3" t="inlineStr">
        <x:is>
          <x:t>3, 16, 21</x:t>
        </x:is>
      </x:c>
      <x:c r="J123" s="3" t="inlineStr">
        <x:is>
          <x:t>11</x:t>
        </x:is>
      </x:c>
      <x:c r="K123" s="3" t="inlineStr">
        <x:is>
          <x:t>3. Detergentes jabonosos para uso doméstico; jabones antitranspirantes; jabones corporales no medicados; jabones cosméticos; jabones de baño; jabones de baño en forma líquida, sólida o de gel; jabones de ducha; jabones de lufa; jabones de papel para uso personal; jabones de tocador; jabones de tocador no medicinales; jabones de tocador perfumados; jabones desodorantes; jabones detergentes; jabones en crema; jabones en crema para el cuerpo; jabones en forma líquida; jabones en polvo no medicinales; jabones faciales; jabones industriales; jabones líquidos; jabones líquidos para el baño; jabones no medicados para el cuerpo; jabones no medicados para la cara; jabones no medicados para las manos; jabones para alfombras; jabones para avivar los colores de materias textiles; jabones para el cuerpo; jabones para el cuidado del cuerpo; jabones para la colada; jabones para la ducha; jabones para la piel; jabones para las manos; jabones para lavar la ropa; jabones para uso personal; jabones perfumados; jabones y detergentes; jabones*; esponjas impregnadas con artículos de tocador; esponjas impregnadas con jabones; esponjas impregnadas con jabones para uso doméstico; esponjas impregnadas con jabón.
16. Papel higiénico; rollos de papel higiénico.
21. Distribuidores de papel higiénico; porta papel higiénico; portapapel higiénico; portarrollos de papel higiénico; cepillos; cepillos barrenderos; cepillos de baño; cepillos de dientes; cepillos de lavado; cepillos de limpieza; cepillos para el piso; cepillos para el suelo; esponjas; esponjas abrasivas; esponjas abrasivas para la cocina; esponjas abrasivas para la limpieza.
</x:t>
        </x:is>
      </x:c>
      <x:c r="L123" s="3" t="inlineStr">
        <x:is>
          <x:t>Sí</x:t>
        </x:is>
      </x:c>
      <x:c r="M123" s="3" t="inlineStr">
        <x:is>
          <x:t/>
        </x:is>
      </x:c>
      <x:c r="N123" s="3" t="inlineStr">
        <x:is>
          <x:t/>
        </x:is>
      </x:c>
      <x:c r="O123" s="3" t="inlineStr">
        <x:is>
          <x:t>20 may. 2022</x:t>
        </x:is>
      </x:c>
      <x:c r="P123" s="3" t="inlineStr">
        <x:is>
          <x:t/>
        </x:is>
      </x:c>
      <x:c r="Q123" s="3" t="inlineStr">
        <x:is>
          <x:t/>
        </x:is>
      </x:c>
    </x:row>
    <x:row r="124">
      <x:c r="A124" s="10" t="inlineStr">
        <x:f xml:space="preserve">HYPERLINK("http://sipi.sic.gov.co/sipi/View.ashx?4075703","SD2022/0024679")</x:f>
      </x:c>
      <x:c r="B124" s="3" t="inlineStr">
        <x:is>
          <x:t>NUMA BIOCOSMETICS</x:t>
        </x:is>
      </x:c>
      <x:c r="C124" s="9" t="inlineStr">
        <x:is>
          <x:t/>
        </x:is>
      </x:c>
      <x:c r="D124" s="3" t="inlineStr">
        <x:is>
          <x:t>15 mar. 2022</x:t>
        </x:is>
      </x:c>
      <x:c r="E124" s="3" t="inlineStr">
        <x:is>
          <x:t/>
        </x:is>
      </x:c>
      <x:c r="F124" s="3" t="inlineStr">
        <x:is>
          <x:t>Negada</x:t>
        </x:is>
      </x:c>
      <x:c r="G124" s="3" t="inlineStr">
        <x:is>
          <x:t>Solicitud marca numa</x:t>
        </x:is>
      </x:c>
      <x:c r="H124" s="3" t="inlineStr">
        <x:is>
          <x:t>MIGUEL ANGEL VASQUEZ CUEVAS, calle 67 # 1-03, NEIVA, HUILA 410001, CO</x:t>
        </x:is>
      </x:c>
      <x:c r="I124" s="3" t="inlineStr">
        <x:is>
          <x:t>3</x:t>
        </x:is>
      </x:c>
      <x:c r="J124" s="3" t="inlineStr">
        <x:is>
          <x:t>11</x:t>
        </x:is>
      </x:c>
      <x:c r="K124" s="3" t="inlineStr">
        <x:is>
          <x:t>3. Jabones corporales no medicados; jabones cosméticos; jabones de baño; jabones de baño en forma líquida, sólida o de gel; jabones de tocador; jabones faciales; jabones para el cuidado del cuerpo; champús y acondicionadores para el cabello; champús en barritas sólidas; acondicionadores de cabello; aceite de lavanda para uso cosmético; aceites cosméticos para la piel; aceites esenciales; aceites faciales; aceites minerales [cosméticos].
</x:t>
        </x:is>
      </x:c>
      <x:c r="L124" s="3" t="inlineStr">
        <x:is>
          <x:t>Sí</x:t>
        </x:is>
      </x:c>
      <x:c r="M124" s="3" t="inlineStr">
        <x:is>
          <x:t/>
        </x:is>
      </x:c>
      <x:c r="N124" s="3" t="inlineStr">
        <x:is>
          <x:t/>
        </x:is>
      </x:c>
      <x:c r="O124" s="3" t="inlineStr">
        <x:is>
          <x:t>18 mar. 2022</x:t>
        </x:is>
      </x:c>
      <x:c r="P124" s="3" t="inlineStr">
        <x:is>
          <x:t/>
        </x:is>
      </x:c>
      <x:c r="Q124" s="3" t="inlineStr">
        <x:is>
          <x:t/>
        </x:is>
      </x:c>
    </x:row>
    <x:row r="125">
      <x:c r="A125" s="10" t="inlineStr">
        <x:f xml:space="preserve">HYPERLINK("http://sipi.sic.gov.co/sipi/View.ashx?4075753","SD2022/0024684")</x:f>
      </x:c>
      <x:c r="B125" s="3" t="inlineStr">
        <x:is>
          <x:t>Stella di Mare</x:t>
        </x:is>
      </x:c>
      <x:c r="C125" s="9" t="inlineStr">
        <x:is>
          <x:t/>
        </x:is>
      </x:c>
      <x:c r="D125" s="3" t="inlineStr">
        <x:is>
          <x:t>15 mar. 2022</x:t>
        </x:is>
      </x:c>
      <x:c r="E125" s="3" t="inlineStr">
        <x:is>
          <x:t/>
        </x:is>
      </x:c>
      <x:c r="F125" s="3" t="inlineStr">
        <x:is>
          <x:t>Negada</x:t>
        </x:is>
      </x:c>
      <x:c r="G125" s="3" t="inlineStr">
        <x:is>
          <x:t/>
        </x:is>
      </x:c>
      <x:c r="H125" s="3" t="inlineStr">
        <x:is>
          <x:t>Laura Maria Salgado Borrego, Cll 28 No 8 -37 Edf. Aluna apto #902, SANTA MARTA, MAGDALENA, CO</x:t>
        </x:is>
      </x:c>
      <x:c r="I125" s="3" t="inlineStr">
        <x:is>
          <x:t>3</x:t>
        </x:is>
      </x:c>
      <x:c r="J125" s="3" t="inlineStr">
        <x:is>
          <x:t>11</x:t>
        </x:is>
      </x:c>
      <x:c r="K12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125" s="3" t="inlineStr">
        <x:is>
          <x:t>No</x:t>
        </x:is>
      </x:c>
      <x:c r="M125" s="3" t="inlineStr">
        <x:is>
          <x:t/>
        </x:is>
      </x:c>
      <x:c r="N125" s="3" t="inlineStr">
        <x:is>
          <x:t/>
        </x:is>
      </x:c>
      <x:c r="O125" s="3" t="inlineStr">
        <x:is>
          <x:t>18 mar. 2022</x:t>
        </x:is>
      </x:c>
      <x:c r="P125" s="3" t="inlineStr">
        <x:is>
          <x:t/>
        </x:is>
      </x:c>
      <x:c r="Q125" s="3" t="inlineStr">
        <x:is>
          <x:t/>
        </x:is>
      </x:c>
    </x:row>
    <x:row r="126">
      <x:c r="A126" s="10" t="inlineStr">
        <x:f xml:space="preserve">HYPERLINK("http://sipi.sic.gov.co/sipi/View.ashx?4075938","SD2022/0024753")</x:f>
      </x:c>
      <x:c r="B126" s="3" t="inlineStr">
        <x:is>
          <x:t>miel &amp; romero</x:t>
        </x:is>
      </x:c>
      <x:c r="C126" s="9" t="inlineStr">
        <x:is>
          <x:t/>
        </x:is>
      </x:c>
      <x:c r="D126" s="3" t="inlineStr">
        <x:is>
          <x:t>15 mar. 2022</x:t>
        </x:is>
      </x:c>
      <x:c r="E126" s="3" t="inlineStr">
        <x:is>
          <x:t/>
        </x:is>
      </x:c>
      <x:c r="F126" s="3" t="inlineStr">
        <x:is>
          <x:t>Negada</x:t>
        </x:is>
      </x:c>
      <x:c r="G126" s="3" t="inlineStr">
        <x:is>
          <x:t>MIEL &amp; ROMERO</x:t>
        </x:is>
      </x:c>
      <x:c r="H126" s="3" t="inlineStr">
        <x:is>
          <x:t> QUICK OPTIONS J&amp;T S.A.S., CALLE 50 BB # 37 - 36, INTERIOR 103, MEDELLIN, ANTIOQUIA, CO</x:t>
        </x:is>
      </x:c>
      <x:c r="I126" s="3" t="inlineStr">
        <x:is>
          <x:t>3, 35</x:t>
        </x:is>
      </x:c>
      <x:c r="J126" s="3" t="inlineStr">
        <x:is>
          <x:t>11</x:t>
        </x:is>
      </x:c>
      <x:c r="K126" s="3" t="inlineStr">
        <x:is>
          <x:t>3. Abrillantadores capilares; bálsamos capilares; champús capilares; cremas capilares; fijadores capilares; lociones capilares cosméticas; mascarillas para el cuidado capilar; preparaciones capilares no medicamentosas; preparaciones de tintes capilares; preparaciones para tratamientos capilares; tratamientos para permanentes capilares; acondicionadores para el cabello; acondicionadores para uso en el cabello; champús y acondicionadores; cera para el cabello; cosméticos para el cabello; geles, aerosoles, espumas y bálsamos para peinar y cuidar el cabello; preparaciones para el cuidado del cuero cabelludo y del cabello.
35. Comercialización de productos, tales como: productos cosméticos capilares, acondicionadores para el cabello, champús capilares, preparaciones para tratamientos capilares, lociones capilares cosméticas, cera para el cabello, geles, aerosoles, espumas y bálsamos para peinar y cuidar el cabello.
</x:t>
        </x:is>
      </x:c>
      <x:c r="L126" s="3" t="inlineStr">
        <x:is>
          <x:t>No</x:t>
        </x:is>
      </x:c>
      <x:c r="M126" s="3" t="inlineStr">
        <x:is>
          <x:t>LUIS FERNANDO  PATRON FUENTES, Carrera 17 No. 150 - 52, Oficina 303, BOGOTÁ, D.C., CO</x:t>
        </x:is>
      </x:c>
      <x:c r="N126" s="3" t="inlineStr">
        <x:is>
          <x:t/>
        </x:is>
      </x:c>
      <x:c r="O126" s="3" t="inlineStr">
        <x:is>
          <x:t>08 abr. 2022</x:t>
        </x:is>
      </x:c>
      <x:c r="P126" s="3" t="inlineStr">
        <x:is>
          <x:t/>
        </x:is>
      </x:c>
      <x:c r="Q126" s="3" t="inlineStr">
        <x:is>
          <x:t/>
        </x:is>
      </x:c>
    </x:row>
    <x:row r="127">
      <x:c r="A127" s="10" t="inlineStr">
        <x:f xml:space="preserve">HYPERLINK("http://sipi.sic.gov.co/sipi/View.ashx?4076098","SD2022/0024963")</x:f>
      </x:c>
      <x:c r="B127" s="3" t="inlineStr">
        <x:is>
          <x:t>KUZE</x:t>
        </x:is>
      </x:c>
      <x:c r="C127" s="9" t="inlineStr">
        <x:is>
          <x:t/>
        </x:is>
      </x:c>
      <x:c r="D127" s="3" t="inlineStr">
        <x:is>
          <x:t>15 mar. 2022</x:t>
        </x:is>
      </x:c>
      <x:c r="E127" s="3" t="inlineStr">
        <x:is>
          <x:t/>
        </x:is>
      </x:c>
      <x:c r="F127" s="3" t="inlineStr">
        <x:is>
          <x:t>Negada</x:t>
        </x:is>
      </x:c>
      <x:c r="G127" s="3" t="inlineStr">
        <x:is>
          <x:t>KUZE</x:t>
        </x:is>
      </x:c>
      <x:c r="H127" s="3" t="inlineStr">
        <x:is>
          <x:t>CLAUDIA LILIANA ORTEGA BARRERA, Calle 144 # 136a-09. Torre 6 Apto 302, BOGOTÁ, D.C., CO</x:t>
        </x:is>
      </x:c>
      <x:c r="I127" s="3" t="inlineStr">
        <x:is>
          <x:t>3, 5</x:t>
        </x:is>
      </x:c>
      <x:c r="J127" s="3" t="inlineStr">
        <x:is>
          <x:t>11</x:t>
        </x:is>
      </x:c>
      <x:c r="K127" s="3" t="inlineStr">
        <x:is>
          <x:t>3.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x:t>
        </x:is>
      </x:c>
      <x:c r="L127" s="3" t="inlineStr">
        <x:is>
          <x:t>No</x:t>
        </x:is>
      </x:c>
      <x:c r="M127" s="3" t="inlineStr">
        <x:is>
          <x:t>DANIEL ESTRADA DUQUE, Calle 71 # 11-10. Piso 7., BOGOTÁ, D.C., CO</x:t>
        </x:is>
      </x:c>
      <x:c r="N127" s="3" t="inlineStr">
        <x:is>
          <x:t/>
        </x:is>
      </x:c>
      <x:c r="O127" s="3" t="inlineStr">
        <x:is>
          <x:t>29 abr. 2022</x:t>
        </x:is>
      </x:c>
      <x:c r="P127" s="3" t="inlineStr">
        <x:is>
          <x:t/>
        </x:is>
      </x:c>
      <x:c r="Q127" s="3" t="inlineStr">
        <x:is>
          <x:t/>
        </x:is>
      </x:c>
    </x:row>
    <x:row r="128">
      <x:c r="A128" s="10" t="inlineStr">
        <x:f xml:space="preserve">HYPERLINK("http://sipi.sic.gov.co/sipi/View.ashx?4076195","SD2022/0024788")</x:f>
      </x:c>
      <x:c r="B128" s="3" t="inlineStr">
        <x:is>
          <x:t>INSTASHOP EL LUGAR DE TUS TIENDAS VIRTUALES</x:t>
        </x:is>
      </x:c>
      <x:c r="C128" s="9" t="inlineStr">
        <x:is>
          <x:t/>
        </x:is>
      </x:c>
      <x:c r="D128" s="3" t="inlineStr">
        <x:is>
          <x:t>15 mar. 2022</x:t>
        </x:is>
      </x:c>
      <x:c r="E128" s="3" t="inlineStr">
        <x:is>
          <x:t/>
        </x:is>
      </x:c>
      <x:c r="F128" s="3" t="inlineStr">
        <x:is>
          <x:t>Negada</x:t>
        </x:is>
      </x:c>
      <x:c r="G128" s="3" t="inlineStr">
        <x:is>
          <x:t>INSTASHOP</x:t>
        </x:is>
      </x:c>
      <x:c r="H128" s="3" t="inlineStr">
        <x:is>
          <x:t>CINDY PAOLA PEREZ GUERRERO, Calle 93#72-137 casa 78, BARRANQUILLA, ATLÁNTICO 080001, CO</x:t>
        </x:is>
      </x:c>
      <x:c r="I128" s="3" t="inlineStr">
        <x:is>
          <x:t>3</x:t>
        </x:is>
      </x:c>
      <x:c r="J128" s="3" t="inlineStr">
        <x:is>
          <x:t>11</x:t>
        </x:is>
      </x:c>
      <x:c r="K128" s="3" t="inlineStr">
        <x:is>
          <x:t>3. Acondicionadores de cabello; bálsamos para el cabello; preparaciones cosméticas para el cabello y el cuero cabelludo; productos cosméticos para el cabello y el cuero cabelludo; productos y preparaciones para el cuidado del cabello; champúes para el cabello; champús 3 en 1; champús acondicionadores; champús capilares; champús equilibrados de ph; champús no medicinales; champús no medicinales contra la caspa; champús para bebés; champús para el cabello; champús para el cabello humano; champús para el cabello y el cuerpo; champús para el cuerpo; champús y acondicionadores para el cabello; productos de enjuague para el cabello [champús acondicionadores].
</x:t>
        </x:is>
      </x:c>
      <x:c r="L128" s="3" t="inlineStr">
        <x:is>
          <x:t>No</x:t>
        </x:is>
      </x:c>
      <x:c r="M128" s="3" t="inlineStr">
        <x:is>
          <x:t/>
        </x:is>
      </x:c>
      <x:c r="N128" s="3" t="inlineStr">
        <x:is>
          <x:t/>
        </x:is>
      </x:c>
      <x:c r="O128" s="3" t="inlineStr">
        <x:is>
          <x:t>10 jun. 2022</x:t>
        </x:is>
      </x:c>
      <x:c r="P128" s="3" t="inlineStr">
        <x:is>
          <x:t/>
        </x:is>
      </x:c>
      <x:c r="Q128" s="3" t="inlineStr">
        <x:is>
          <x:t/>
        </x:is>
      </x:c>
    </x:row>
    <x:row r="129">
      <x:c r="A129" s="10" t="inlineStr">
        <x:f xml:space="preserve">HYPERLINK("http://sipi.sic.gov.co/sipi/View.ashx?4078940","SD2022/0025389")</x:f>
      </x:c>
      <x:c r="B129" s="3" t="inlineStr">
        <x:is>
          <x:t>KOSMETIKA 180</x:t>
        </x:is>
      </x:c>
      <x:c r="C129" s="9" t="inlineStr">
        <x:is>
          <x:t/>
        </x:is>
      </x:c>
      <x:c r="D129" s="3" t="inlineStr">
        <x:is>
          <x:t>16 mar. 2022</x:t>
        </x:is>
      </x:c>
      <x:c r="E129" s="3" t="inlineStr">
        <x:is>
          <x:t/>
        </x:is>
      </x:c>
      <x:c r="F129" s="3" t="inlineStr">
        <x:is>
          <x:t>Negada</x:t>
        </x:is>
      </x:c>
      <x:c r="G129" s="3" t="inlineStr">
        <x:is>
          <x:t>KOSMETIKA 180</x:t>
        </x:is>
      </x:c>
      <x:c r="H129" s="3" t="inlineStr">
        <x:is>
          <x:t> LABORATORIOS FARMACEUTICOS &amp; NUTRICIONALES SAS, Avenida Troncal de Occidente 18 76 parque industrial Santo Domingo  manzana b bodega 8 Mosquera , MOSQUERA, CUNDINAMARCA, CO</x:t>
        </x:is>
      </x:c>
      <x:c r="I129" s="3" t="inlineStr">
        <x:is>
          <x:t>3</x:t>
        </x:is>
      </x:c>
      <x:c r="J129" s="3" t="inlineStr">
        <x:is>
          <x:t>11</x:t>
        </x:is>
      </x:c>
      <x:c r="K129" s="3" t="inlineStr">
        <x:is>
          <x:t>3. Productos de perfumería, aceites esenciales, cosméticos no medicinales, lociones capilares no medicinales.
</x:t>
        </x:is>
      </x:c>
      <x:c r="L129" s="3" t="inlineStr">
        <x:is>
          <x:t>No</x:t>
        </x:is>
      </x:c>
      <x:c r="M129" s="3" t="inlineStr">
        <x:is>
          <x:t>EFRAIN ALBERTO GARCIA MATIZ, carrera 11c 127- 89 apto 301, BOGOTÁ, D.C., CO</x:t>
        </x:is>
      </x:c>
      <x:c r="N129" s="3" t="inlineStr">
        <x:is>
          <x:t/>
        </x:is>
      </x:c>
      <x:c r="O129" s="3" t="inlineStr">
        <x:is>
          <x:t>08 abr. 2022</x:t>
        </x:is>
      </x:c>
      <x:c r="P129" s="3" t="inlineStr">
        <x:is>
          <x:t/>
        </x:is>
      </x:c>
      <x:c r="Q129" s="3" t="inlineStr">
        <x:is>
          <x:t/>
        </x:is>
      </x:c>
    </x:row>
    <x:row r="130">
      <x:c r="A130" s="10" t="inlineStr">
        <x:f xml:space="preserve">HYPERLINK("http://sipi.sic.gov.co/sipi/View.ashx?4080096","SD2022/0025740")</x:f>
      </x:c>
      <x:c r="B130" s="3" t="inlineStr">
        <x:is>
          <x:t>ejf</x:t>
        </x:is>
      </x:c>
      <x:c r="C130" s="3" t="inlineStr">
        <x:is>
          <x:t/>
        </x:is>
      </x:c>
      <x:c r="D130" s="3" t="inlineStr">
        <x:is>
          <x:t>16 mar. 2022</x:t>
        </x:is>
      </x:c>
      <x:c r="E130" s="3" t="inlineStr">
        <x:is>
          <x:t/>
        </x:is>
      </x:c>
      <x:c r="F130" s="3" t="inlineStr">
        <x:is>
          <x:t>Negada</x:t>
        </x:is>
      </x:c>
      <x:c r="G130" s="3" t="inlineStr">
        <x:is>
          <x:t>Proceso de Registro de Marca EJF</x:t>
        </x:is>
      </x:c>
      <x:c r="H130" s="3" t="inlineStr">
        <x:is>
          <x:t>DUVAN ALEXANDER GIRALDO GÓMEZ, CARRERA 53 # 45-50 PISO 11. BODEGA 1109, MEDELLIN, ANTIOQUIA, CO</x:t>
        </x:is>
      </x:c>
      <x:c r="I130" s="3" t="inlineStr">
        <x:is>
          <x:t>3</x:t>
        </x:is>
      </x:c>
      <x:c r="J130" s="3" t="inlineStr">
        <x:is>
          <x:t>11</x:t>
        </x:is>
      </x:c>
      <x:c r="K130" s="3" t="inlineStr">
        <x:is>
          <x:t>3. Cosméticos; maquillaje; maquillaje [cosméticos]; bases de maquillaje; bases de maquillaje cremosas; bases de maquillaje en crema; bases de maquillaje líquidas; bases de maquillaje para la piel; cola de maquillaje para uso cosmético; kits de maquillaje; kits de maquillaje que consisten principalmente en bases de maquillaje, rímeles, coloretes, brillos de labios y lápices de labios [sin incluir pinceles ni esponjas]; lápices de maquillaje; maquillaje para el cuerpo; maquillaje para el rostro; maquillaje para el rostro y el cuerpo; maquillaje para la cara; maquillaje para la piel; maquillajes de base; maquillajes de base en crema; maquillajes de ojos; maquillajes faciales; polvos de maquillaje; preparaciones de maquillaje para el rostro y el cuerpo; productos cosméticos y de maquillaje; barras de labios con protección solar [cosméticos]; barras de labios en stick con protección solar [cosméticos]; bases neutralizantes para labios; brillos de labios; colorantes para los labios [productos cosméticos]; cosméticos para los labios; cremas para los labios; cremas para los labios de uso cosmético; estuches para lápices de labios; estuches para pintalabios; exfoliantes para labios; lápices de labios [pintalabios]; neutralizadores de color para labios; perfiladores de labios; pintalabios; pomadas para los labios; preparaciones no medicinales para el cuidado de los labios; preparaciones para el cuidado de los labios; protectores solares para los labios; protectores solares para los labios [productos cosméticos]; tintes de labios [cosméticos]; cremas para los ojos; cremas para los ojos de uso cosmético; geles para los ojos; geles para los ojos de uso cosmético; lociones para los ojos; lociones para los ojos de uso cosmético; lápices de ojos; lápices de ojos para uso cosmético; lápices perfiladores de ojos; máscaras calentadoras en gel para los ojos; máscaras refrigerantes en gel para los ojos; máscaras refrigerantes para los ojos; perfiladores de ojos; sombras de ojos; sombras de ojos en polvo o en lápiz; adhesivos para fijar uñas y pestañas postizas; adhesivos para pestañas postizas; adhesivos para pestañas, cabello y uñas postizos; cosméticos para pestañas; máscara de pestañas; pestañas artificiales magnéticas; pestañas postizas; pestañas postizas magnéticas; preparaciones cosméticas para pestañas; tintes de pestañas; preparaciones cosméticas; rubores para las mejillas; sombras de párpados; cosméticos para las cejas; geles para el peinado de las cejas; geles para el teñido de las cejas; lápices de cejas.
</x:t>
        </x:is>
      </x:c>
      <x:c r="L130" s="3" t="inlineStr">
        <x:is>
          <x:t>No</x:t>
        </x:is>
      </x:c>
      <x:c r="M130" s="3" t="inlineStr">
        <x:is>
          <x:t>RODRIGO  VANEGAS GAVIRIA, CALLE 52 # 47-28 OF.329, MEDELLIN, ANTIOQUIA 050001, CO</x:t>
        </x:is>
      </x:c>
      <x:c r="N130" s="3" t="inlineStr">
        <x:is>
          <x:t/>
        </x:is>
      </x:c>
      <x:c r="O130" s="3" t="inlineStr">
        <x:is>
          <x:t>08 abr. 2022</x:t>
        </x:is>
      </x:c>
      <x:c r="P130" s="3" t="inlineStr">
        <x:is>
          <x:t/>
        </x:is>
      </x:c>
      <x:c r="Q130" s="3" t="inlineStr">
        <x:is>
          <x:t/>
        </x:is>
      </x:c>
    </x:row>
    <x:row r="131">
      <x:c r="A131" s="10" t="inlineStr">
        <x:f xml:space="preserve">HYPERLINK("http://sipi.sic.gov.co/sipi/View.ashx?4080126","SD2022/0025742")</x:f>
      </x:c>
      <x:c r="B131" s="3" t="inlineStr">
        <x:is>
          <x:t>ROSA ANGEL</x:t>
        </x:is>
      </x:c>
      <x:c r="C131" s="3" t="inlineStr">
        <x:is>
          <x:t/>
        </x:is>
      </x:c>
      <x:c r="D131" s="3" t="inlineStr">
        <x:is>
          <x:t>17 mar. 2022</x:t>
        </x:is>
      </x:c>
      <x:c r="E131" s="3" t="inlineStr">
        <x:is>
          <x:t/>
        </x:is>
      </x:c>
      <x:c r="F131" s="3" t="inlineStr">
        <x:is>
          <x:t>Negada</x:t>
        </x:is>
      </x:c>
      <x:c r="G131" s="3" t="inlineStr">
        <x:is>
          <x:t>Proceso de Registro de Marca ROSA ANGEL</x:t>
        </x:is>
      </x:c>
      <x:c r="H131" s="3" t="inlineStr">
        <x:is>
          <x:t>DUVAN ALEXANDER GIRALDO GÓMEZ, CARRERA 53 # 45-50 PISO 11. BODEGA 1109, MEDELLIN, ANTIOQUIA, CO</x:t>
        </x:is>
      </x:c>
      <x:c r="I131" s="3" t="inlineStr">
        <x:is>
          <x:t>3</x:t>
        </x:is>
      </x:c>
      <x:c r="J131" s="3" t="inlineStr">
        <x:is>
          <x:t>11</x:t>
        </x:is>
      </x:c>
      <x:c r="K131" s="3" t="inlineStr">
        <x:is>
          <x:t>3. Cosméticos; maquillaje; maquillaje [cosméticos]; bases de maquillaje; bases de maquillaje cremosas; bases de maquillaje en crema; bases de maquillaje líquidas; bases de maquillaje para la piel; cola de maquillaje para uso cosmético; kits de maquillaje; kits de maquillaje que consisten principalmente en bases de maquillaje, rímeles, coloretes, brillos de labios y lápices de labios [sin incluir pinceles ni esponjas]; lápices de maquillaje; maquillaje para el cuerpo; maquillaje para el rostro; maquillaje para el rostro y el cuerpo; maquillaje para la cara; maquillaje para la piel; maquillajes de base; maquillajes de base en crema; maquillajes de ojos; maquillajes faciales; polvos de maquillaje; preparaciones de maquillaje para el rostro y el cuerpo; productos cosméticos y de maquillaje; barras de labios con protección solar [cosméticos]; barras de labios en stick con protección solar [cosméticos]; bases neutralizantes para labios; brillos de labios; colorantes para los labios [productos cosméticos]; cosméticos para los labios; cremas para los labios; cremas para los labios de uso cosmético; estuches para lápices de labios; estuches para pintalabios; exfoliantes para labios; lápices de labios [pintalabios]; neutralizadores de color para labios; perfiladores de labios; pintalabios; pomadas para los labios; preparaciones no medicinales para el cuidado de los labios; preparaciones para el cuidado de los labios; protectores solares para los labios; protectores solares para los labios [productos cosméticos]; tintes de labios [cosméticos]; cremas para los ojos; cremas para los ojos de uso cosmético; geles para los ojos; geles para los ojos de uso cosmético; lociones para los ojos; lociones para los ojos de uso cosmético; lápices de ojos; lápices de ojos para uso cosmético; lápices perfiladores de ojos; máscaras calentadoras en gel para los ojos; máscaras refrigerantes en gel para los ojos; máscaras refrigerantes para los ojos; perfiladores de ojos; sombras de ojos; sombras de ojos en polvo o en lápiz; adhesivos para fijar uñas y pestañas postizas; adhesivos para pestañas postizas; adhesivos para pestañas, cabello y uñas postizos; cosméticos para pestañas; máscara de pestañas; pestañas artificiales magnéticas; pestañas postizas; pestañas postizas magnéticas; preparaciones cosméticas para pestañas; tintes de pestañas; preparaciones cosméticas; rubores para las mejillas; sombras de párpados; cosméticos para las cejas; geles para el peinado de las cejas; geles para el teñido de las cejas; lápices de cejas.
</x:t>
        </x:is>
      </x:c>
      <x:c r="L131" s="3" t="inlineStr">
        <x:is>
          <x:t>No</x:t>
        </x:is>
      </x:c>
      <x:c r="M131" s="3" t="inlineStr">
        <x:is>
          <x:t>RODRIGO  VANEGAS GAVIRIA, CALLE 52 # 47-28 OF.329, MEDELLIN, ANTIOQUIA 050001, CO</x:t>
        </x:is>
      </x:c>
      <x:c r="N131" s="3" t="inlineStr">
        <x:is>
          <x:t/>
        </x:is>
      </x:c>
      <x:c r="O131" s="3" t="inlineStr">
        <x:is>
          <x:t>08 abr. 2022</x:t>
        </x:is>
      </x:c>
      <x:c r="P131" s="3" t="inlineStr">
        <x:is>
          <x:t/>
        </x:is>
      </x:c>
      <x:c r="Q131" s="3" t="inlineStr">
        <x:is>
          <x:t/>
        </x:is>
      </x:c>
    </x:row>
    <x:row r="132">
      <x:c r="A132" s="10" t="inlineStr">
        <x:f xml:space="preserve">HYPERLINK("http://sipi.sic.gov.co/sipi/View.ashx?4080327","SD2022/0025854")</x:f>
      </x:c>
      <x:c r="B132" s="3" t="inlineStr">
        <x:is>
          <x:t>JO LOVES</x:t>
        </x:is>
      </x:c>
      <x:c r="C132" s="3" t="inlineStr">
        <x:is>
          <x:t/>
        </x:is>
      </x:c>
      <x:c r="D132" s="3" t="inlineStr">
        <x:is>
          <x:t>17 mar. 2022</x:t>
        </x:is>
      </x:c>
      <x:c r="E132" s="3" t="inlineStr">
        <x:is>
          <x:t/>
        </x:is>
      </x:c>
      <x:c r="F132" s="3" t="inlineStr">
        <x:is>
          <x:t>Negada</x:t>
        </x:is>
      </x:c>
      <x:c r="G132" s="3" t="inlineStr">
        <x:is>
          <x:t>FN01020064</x:t>
        </x:is>
      </x:c>
      <x:c r="H132" s="3" t="inlineStr">
        <x:is>
          <x:t> Gaz &amp; Jo Intellectual Property Holdings Limited, Suite 4, Queripel House, 1 Duke of York Square London SW3 4LY, GB</x:t>
        </x:is>
      </x:c>
      <x:c r="I132" s="3" t="inlineStr">
        <x:is>
          <x:t>3, 4</x:t>
        </x:is>
      </x:c>
      <x:c r="J132" s="3" t="inlineStr">
        <x:is>
          <x:t>11</x:t>
        </x:is>
      </x:c>
      <x:c r="K132" s="3" t="inlineStr">
        <x:is>
          <x:t>3. Jabones; Productos de perfumería, aceites esenciales, cosméticos, lociones capilares; Dentífricos, preparaciones para limpiar, pulir, desengrasar y raspar; Preparaciones para después del afeitado; Bálsamos, lociones y geles para después del afeitado; Productos para perfumar el ambiente; Productos antitranspirantes [artículos de tocador]; Productos antiestáticos para uso doméstico; Toallitas antiestáticas para secadora; Aceites, lociones, cremas y geles de aromaterapia para uso cosmético; Preparaciones, aceites, lociones, cremas, espumas y geles para el baño y la ducha; Cosméticos en forma de cremas, geles, lociones, sueros, mascarillas y espumas; Preparaciones para blanquear para uso doméstico; Productos blanqueadores [lavandería]; cremas, geles, lociones, sueros, mascarillas y espumas faciales y corporales; Exfoliantes cosméticos corporales; Preparaciones aromatizantes; Champús y acondicionadores para el cabello; Productos desengrasantes para uso doméstico; Detergentes; Detergentes para lavar los platos; Acondicionadores de tela y suavizantes; preparaciones para la limpieza de suelos; Preparaciones y tratamientos para el cabello; Fragancias para el cabello; Cremas, lociones, geles, líquidos para el cabello [de uso cosmético]; Pomadas para el cabello; Fragancias para el hogar; Toallitas higiénicas húmedas; Preparaciones para lavar la ropa; Preparaciones para pulir; Popurrís aromáticos; Difusores de perfumes de ambiente con varillas y recambios para difusores de perfumes de ambiente con varillas; Aerosoles perfumados y desodorizantes para tejidos; Productos para perfumar la ropa; Pulverizadores perfumados para ambientar habitaciones; Preparaciones para el cuidado de la piel.
4. Velas [iluminación] y Mechas de lámpara para la iluminación.
</x:t>
        </x:is>
      </x:c>
      <x:c r="L132" s="3" t="inlineStr">
        <x:is>
          <x:t>No</x:t>
        </x:is>
      </x:c>
      <x:c r="M132" s="3" t="inlineStr">
        <x:is>
          <x:t>Manuel Chavarriaga Pérez, Carrera 7 #71–21 - Edificio Avenida Chile, Torre B – Piso 13, BOGOTÁ, D.C., CO</x:t>
        </x:is>
      </x:c>
      <x:c r="N132" s="3" t="inlineStr">
        <x:is>
          <x:t/>
        </x:is>
      </x:c>
      <x:c r="O132" s="3" t="inlineStr">
        <x:is>
          <x:t>21 oct. 2022</x:t>
        </x:is>
      </x:c>
      <x:c r="P132" s="3" t="inlineStr">
        <x:is>
          <x:t/>
        </x:is>
      </x:c>
      <x:c r="Q132" s="3" t="inlineStr">
        <x:is>
          <x:t/>
        </x:is>
      </x:c>
    </x:row>
    <x:row r="133">
      <x:c r="A133" s="10" t="inlineStr">
        <x:f xml:space="preserve">HYPERLINK("http://sipi.sic.gov.co/sipi/View.ashx?4081879","SD2022/0026421")</x:f>
      </x:c>
      <x:c r="B133" s="3" t="inlineStr">
        <x:is>
          <x:t>+MásKbello</x:t>
        </x:is>
      </x:c>
      <x:c r="C133" s="9" t="inlineStr">
        <x:is>
          <x:t/>
        </x:is>
      </x:c>
      <x:c r="D133" s="3" t="inlineStr">
        <x:is>
          <x:t>18 mar. 2022</x:t>
        </x:is>
      </x:c>
      <x:c r="E133" s="3" t="inlineStr">
        <x:is>
          <x:t/>
        </x:is>
      </x:c>
      <x:c r="F133" s="3" t="inlineStr">
        <x:is>
          <x:t>Negada</x:t>
        </x:is>
      </x:c>
      <x:c r="G133" s="3" t="inlineStr">
        <x:is>
          <x:t>+MasKbello</x:t>
        </x:is>
      </x:c>
      <x:c r="H133" s="3" t="inlineStr">
        <x:is>
          <x:t> EBC COLOMBIA S.A.S, carrera 77 48-44, MEDELLIN,, ANTIOQUIA, CO</x:t>
        </x:is>
      </x:c>
      <x:c r="I133" s="3" t="inlineStr">
        <x:is>
          <x:t>3</x:t>
        </x:is>
      </x:c>
      <x:c r="J133" s="3" t="inlineStr">
        <x:is>
          <x:t>11</x:t>
        </x:is>
      </x:c>
      <x:c r="K133" s="3" t="inlineStr">
        <x:is>
          <x:t>3. Cosméticos.
</x:t>
        </x:is>
      </x:c>
      <x:c r="L133" s="3" t="inlineStr">
        <x:is>
          <x:t>Sí</x:t>
        </x:is>
      </x:c>
      <x:c r="M133" s="3" t="inlineStr">
        <x:is>
          <x:t>JORGE ALBERTO CORREA TAMAYO, carrera 82a  30-35, MEDELLIN, ANTIOQUIA, CO</x:t>
        </x:is>
      </x:c>
      <x:c r="N133" s="3" t="inlineStr">
        <x:is>
          <x:t/>
        </x:is>
      </x:c>
      <x:c r="O133" s="3" t="inlineStr">
        <x:is>
          <x:t>29 mar. 2022</x:t>
        </x:is>
      </x:c>
      <x:c r="P133" s="3" t="inlineStr">
        <x:is>
          <x:t/>
        </x:is>
      </x:c>
      <x:c r="Q133" s="3" t="inlineStr">
        <x:is>
          <x:t/>
        </x:is>
      </x:c>
    </x:row>
    <x:row r="134">
      <x:c r="A134" s="10" t="inlineStr">
        <x:f xml:space="preserve">HYPERLINK("http://sipi.sic.gov.co/sipi/View.ashx?4083785","SD2022/0026819")</x:f>
      </x:c>
      <x:c r="B134" s="3" t="inlineStr">
        <x:is>
          <x:t>Presto!</x:t>
        </x:is>
      </x:c>
      <x:c r="C134" s="9" t="inlineStr">
        <x:is>
          <x:t/>
        </x:is>
      </x:c>
      <x:c r="D134" s="3" t="inlineStr">
        <x:is>
          <x:t>18 mar. 2022</x:t>
        </x:is>
      </x:c>
      <x:c r="E134" s="3" t="inlineStr">
        <x:is>
          <x:t/>
        </x:is>
      </x:c>
      <x:c r="F134" s="3" t="inlineStr">
        <x:is>
          <x:t>Negada</x:t>
        </x:is>
      </x:c>
      <x:c r="G134" s="3" t="inlineStr">
        <x:is>
          <x:t>LLC41854</x:t>
        </x:is>
      </x:c>
      <x:c r="H134" s="3" t="inlineStr">
        <x:is>
          <x:t> AMAZON TECHNOLOGIES, INC., 410 Terry Ave North, Seattle, Washington 98109, SEATTLE, WASHINGTON, US</x:t>
        </x:is>
      </x:c>
      <x:c r="I134" s="3" t="inlineStr">
        <x:is>
          <x:t>3, 5, 16, 21</x:t>
        </x:is>
      </x:c>
      <x:c r="J134" s="3" t="inlineStr">
        <x:is>
          <x:t>11</x:t>
        </x:is>
      </x:c>
      <x:c r="K134" s="3" t="inlineStr">
        <x:is>
          <x:t>3. Difusores de caña de fragancia de aire; productos para aromatizar el aire; preparaciones de limpieza; detergentes para lavavajillas; suavizantes de telas; fragancias para uso doméstico; preparaciones para lavar frutas y hortalizas; blanqueador para ropa; detergentes para ropa; acondicionador de telas para ropa; toallitas para la colada impregnadas con suavizante; almidón de lavandería; jabones no medicados; quitamanchas; detergentes para inodoros; toallitas impregnadas con una preparación limpiadora.
5. Desinfectantes; preparaciones para desodorizar el aire; preparaciones para purificar el aire; preparaciones desinfectantes para todo uso; preparaciones desodorantes multiusos para uso doméstico, comercial o industrial; detergentes antibacterianos; jabón antibacterial; toallitas antibacteriales; jabón desinfectante; limpiadores desinfectantes para inodoros; toallitas desinfectantes; desodorantes de telas; jabón medicado; productos desinfectantes para uso doméstico; toallitas desinfectantes; desodorantes de tocador.
16. Pañuelo facial; bolsas de basura; servilletas de papel; toallas de papel; papel higiénico; papel de baño.
21. Escobas; trapeadores; cepillos de limpieza para uso doméstico; paños de limpieza; esponjas de limpieza; cubos para trapeadores; cabezas desechables de trapeador; escurridores para uso doméstico.
</x:t>
        </x:is>
      </x:c>
      <x:c r="L134" s="3" t="inlineStr">
        <x:is>
          <x:t>Sí</x:t>
        </x:is>
      </x:c>
      <x:c r="M134" s="3" t="inlineStr">
        <x:is>
          <x:t>ALICIA LLOREDA RICAURTE, CALLE 72A No. 5-83, PISO 3, BOGOTÁ, D.C., CO</x:t>
        </x:is>
      </x:c>
      <x:c r="N134" s="3" t="inlineStr">
        <x:is>
          <x:t/>
        </x:is>
      </x:c>
      <x:c r="O134" s="3" t="inlineStr">
        <x:is>
          <x:t>20 may. 2022</x:t>
        </x:is>
      </x:c>
      <x:c r="P134" s="3" t="inlineStr">
        <x:is>
          <x:t>21 sept. 2021</x:t>
        </x:is>
      </x:c>
      <x:c r="Q134" s="3" t="inlineStr">
        <x:is>
          <x:t/>
        </x:is>
      </x:c>
    </x:row>
    <x:row r="135">
      <x:c r="A135" s="10" t="inlineStr">
        <x:f xml:space="preserve">HYPERLINK("http://sipi.sic.gov.co/sipi/View.ashx?4084392","SD2022/0026889")</x:f>
      </x:c>
      <x:c r="B135" s="3" t="inlineStr">
        <x:is>
          <x:t>OMG</x:t>
        </x:is>
      </x:c>
      <x:c r="C135" s="9" t="inlineStr">
        <x:is>
          <x:t/>
        </x:is>
      </x:c>
      <x:c r="D135" s="3" t="inlineStr">
        <x:is>
          <x:t>19 mar. 2022</x:t>
        </x:is>
      </x:c>
      <x:c r="E135" s="3" t="inlineStr">
        <x:is>
          <x:t/>
        </x:is>
      </x:c>
      <x:c r="F135" s="3" t="inlineStr">
        <x:is>
          <x:t>Negada</x:t>
        </x:is>
      </x:c>
      <x:c r="G135" s="3" t="inlineStr">
        <x:is>
          <x:t>omg</x:t>
        </x:is>
      </x:c>
      <x:c r="H135" s="3" t="inlineStr">
        <x:is>
          <x:t>Marta Lucía Acevedo Pérez, cr 80c 19a 14, MEDELLIN, ANTIOQUIA 050001, CO</x:t>
        </x:is>
      </x:c>
      <x:c r="I135" s="3" t="inlineStr">
        <x:is>
          <x:t>3, 35</x:t>
        </x:is>
      </x:c>
      <x:c r="J135" s="3" t="inlineStr">
        <x:is>
          <x:t>11</x:t>
        </x:is>
      </x:c>
      <x:c r="K135" s="3" t="inlineStr">
        <x:is>
          <x:t>3. Champús 3 en 1; aceites bronceadores; aceites bronceadores [cosméticos]; aceites bronceadores de uso cosmético; aceites para bronceado [cosméticos]; aceites para el bronceado de la piel; aceites y lociones bronceadoras; autobronceadores; autobronceadores [cosméticos]; bronceadores para la piel; cosméticos para broncear la piel; cremas autobronceadoras; cremas bronceadoras; cremas bronceadoras para la piel; cremas para broncear la piel; cremas y lociones bronceadoras; cremas, lociones y otras preparaciones cosméticas bronceadoras; geles bronceadores; geles bronceadores [cosméticos]; geles para acelerar, realzar y prolongar el bronceado de la piel; geles para el bronceado de la piel; leche bronceadora; leches bronceadoras; leches bronceadoras [cosméticos]; leches, geles y aceites bronceadores y para después del sol, de uso cosmético; lociones autobronceadoras [cosméticos]; lociones bronceadoras; lociones cosméticas para el bronceado de la piel; lociones para el bronceado de la piel; preparaciones autobronceadoras; preparaciones autobronceadoras [cosméticos]; preparaciones bronceadoras y de protección solar; preparaciones cosméticas para el bronceado de la piel; preparaciones para el bronceado de la piel; toallitas impregnadas con preparados de bronceador; aerosoles depilatorios; cera depilatoria; cremas depilatorias; depilatorios; espumas depilatorias; geles depilatorios; lociones depilatorias; preparaciones depilatorias y exfoliantes; preparaciones y sustancias depilatorias; productos depilatorios; sprays depilatorios; tiras de cera para la depilación;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tratamientos para permanentes capilares.
35. Servicios de venta minorista o mayorista de productos cosméticos; servicios de venta minorista o mayorista de productos de tocador; servicios de venta minorista por correspondencia de cosméticos; servicios de venta minorista por correspondencia de productos cosméticos; servicios de venta minorista prestados por supermercados; servicios informatizados en línea de venta al por mayor y al por menor; servicios informatizados en línea de venta mayorista y minorista.
</x:t>
        </x:is>
      </x:c>
      <x:c r="L135" s="3" t="inlineStr">
        <x:is>
          <x:t>No</x:t>
        </x:is>
      </x:c>
      <x:c r="M135" s="3" t="inlineStr">
        <x:is>
          <x:t>LUISA FERNADA CHIMA ACEVEDO, CRA 80 C 19 A 14, MEDELLIN, ANTIOQUIA, CO</x:t>
        </x:is>
      </x:c>
      <x:c r="N135" s="3" t="inlineStr">
        <x:is>
          <x:t/>
        </x:is>
      </x:c>
      <x:c r="O135" s="3" t="inlineStr">
        <x:is>
          <x:t>30 jun. 2022</x:t>
        </x:is>
      </x:c>
      <x:c r="P135" s="3" t="inlineStr">
        <x:is>
          <x:t/>
        </x:is>
      </x:c>
      <x:c r="Q135" s="3" t="inlineStr">
        <x:is>
          <x:t/>
        </x:is>
      </x:c>
    </x:row>
    <x:row r="136">
      <x:c r="A136" s="10" t="inlineStr">
        <x:f xml:space="preserve">HYPERLINK("http://sipi.sic.gov.co/sipi/View.ashx?4084722","SD2022/0026937")</x:f>
      </x:c>
      <x:c r="B136" s="3" t="inlineStr">
        <x:is>
          <x:t>BEILEI</x:t>
        </x:is>
      </x:c>
      <x:c r="C136" s="3" t="inlineStr">
        <x:is>
          <x:t/>
        </x:is>
      </x:c>
      <x:c r="D136" s="3" t="inlineStr">
        <x:is>
          <x:t>21 mar. 2022</x:t>
        </x:is>
      </x:c>
      <x:c r="E136" s="3" t="inlineStr">
        <x:is>
          <x:t/>
        </x:is>
      </x:c>
      <x:c r="F136" s="3" t="inlineStr">
        <x:is>
          <x:t>Negada</x:t>
        </x:is>
      </x:c>
      <x:c r="G136" s="3" t="inlineStr">
        <x:is>
          <x:t>Proceso de Registro de Marca BEILEI</x:t>
        </x:is>
      </x:c>
      <x:c r="H136" s="3" t="inlineStr">
        <x:is>
          <x:t>ASBEYDI  JAIMES HURTADO, CALLE 11 # 10-50, CUCUTA, NORTE DE SANTANDER, CO</x:t>
        </x:is>
      </x:c>
      <x:c r="I136" s="3" t="inlineStr">
        <x:is>
          <x:t>3</x:t>
        </x:is>
      </x:c>
      <x:c r="J136" s="3" t="inlineStr">
        <x:is>
          <x:t>11</x:t>
        </x:is>
      </x:c>
      <x:c r="K136" s="3" t="inlineStr">
        <x:is>
          <x:t>3. Cosméticos; maquillaje; cosméticos y preparaciones cosméticas; crema corporal para uso cosmético; cremas de limpieza [para uso cosmético]; cremas, leches, lociones, geles y polvos cosméticos para la cara, el cuerpo y las manos; bases de maquillaje; bases de maquillaje cremosas; bases de maquillaje en crema; bases de maquillaje líquidas; bases de maquillaje para la piel; fondo de maquillaje; kits de cosméticos que comprenden principalmente máscara de pestañas, lápices de labios, lápices de cejas, maquillaje, fundación de maquillaje y brillos de labios; maquillaje para la piel; maquillaje para los ojos; maquillajes de base; maquillajes de base en crema; maquillajes de ojos; maquillajes faciales; polvos de maquillaje; preparaciones de maquillaje para la cara y el cuerpo; productos cosméticos y de maquillaje; sprays para fijar el maquillaje; cosméticos para cuidados corporales y estéticos; cosméticos para tratamiento de belleza cosméticos para el cuidado de belleza; cosméticos y preparaciones de cuidado personal; cremas cosméticas para el cuidado de la piel; cremas y lociones cosméticas para el cuidado de la cara y el cuerpo; emulsiones, geles y lociones para el cuidado de la piel; espumas para el cuidado de la piel; leches limpiadoras para el cuidado de la piel; lociones cosméticas para el cuidado de la piel; lociones lechosas para el cuidado de la piel; mascarillas para el cuidado de la piel de las manos; preparaciones de cuidado facial; barras de labios; barras de labios con protección solar [cosméticos]; barras de labios en stick con protección solar [cosméticos]; barras de labios hidratantes; bases neutralizantes para labios; brillos de labios; colorantes de labios; colorantes de labios [cosméticos]; cosméticos para los labios; cremas para los labios; estuches para lápices de labios; estuches para pintalabios; lápices de labios; lápices de labios [pintalabios]; lápices de labios [pintalabios] hidratantes; lápices de labios hidratantes; perfiladores de labios; pintalabios; pintalabios hidratantes; preparaciones no medicinales para el cuidado de los labios; tintes de labios; tintes para los labios; bálsamos labiales; bálsamos labiales no medicinales; cremas exfoliantes; exfoliantes; exfoliantes [preparaciones cosméticas]; exfoliantes corporales; exfoliantes faciales; aceites de protección solar; preparaciones cosméticas de protección solar; preparaciones de protección solar; aceites destilados para el cuidado de belleza; baños de aceite para el cuidado del cabello; cosméticos para el cuidado del cuerpo; aceites esenciales; correctores de ojos; lápices de ojos para uso cosmético; lápices perfiladores de ojos; mascarillas de belleza para el contorno de los ojos.
</x:t>
        </x:is>
      </x:c>
      <x:c r="L136" s="3" t="inlineStr">
        <x:is>
          <x:t>No</x:t>
        </x:is>
      </x:c>
      <x:c r="M136" s="3" t="inlineStr">
        <x:is>
          <x:t>RODRIGO  VANEGAS GAVIRIA, CALLE 52 # 47-28 OF.329, MEDELLIN, ANTIOQUIA 050001, CO</x:t>
        </x:is>
      </x:c>
      <x:c r="N136" s="3" t="inlineStr">
        <x:is>
          <x:t/>
        </x:is>
      </x:c>
      <x:c r="O136" s="3" t="inlineStr">
        <x:is>
          <x:t>31 may. 2022</x:t>
        </x:is>
      </x:c>
      <x:c r="P136" s="3" t="inlineStr">
        <x:is>
          <x:t/>
        </x:is>
      </x:c>
      <x:c r="Q136" s="3" t="inlineStr">
        <x:is>
          <x:t/>
        </x:is>
      </x:c>
    </x:row>
    <x:row r="137">
      <x:c r="A137" s="10" t="inlineStr">
        <x:f xml:space="preserve">HYPERLINK("http://sipi.sic.gov.co/sipi/View.ashx?4084730","SD2022/0026941")</x:f>
      </x:c>
      <x:c r="B137" s="3" t="inlineStr">
        <x:is>
          <x:t>QISE</x:t>
        </x:is>
      </x:c>
      <x:c r="C137" s="3" t="inlineStr">
        <x:is>
          <x:t/>
        </x:is>
      </x:c>
      <x:c r="D137" s="3" t="inlineStr">
        <x:is>
          <x:t>21 mar. 2022</x:t>
        </x:is>
      </x:c>
      <x:c r="E137" s="3" t="inlineStr">
        <x:is>
          <x:t/>
        </x:is>
      </x:c>
      <x:c r="F137" s="3" t="inlineStr">
        <x:is>
          <x:t>Negada</x:t>
        </x:is>
      </x:c>
      <x:c r="G137" s="3" t="inlineStr">
        <x:is>
          <x:t>Proceso de Registro de Marca QISE</x:t>
        </x:is>
      </x:c>
      <x:c r="H137" s="3" t="inlineStr">
        <x:is>
          <x:t>ASBEYDI  JAIMES HURTADO, CALLE 11 # 10-50, CUCUTA, NORTE DE SANTANDER, CO</x:t>
        </x:is>
      </x:c>
      <x:c r="I137" s="3" t="inlineStr">
        <x:is>
          <x:t>3</x:t>
        </x:is>
      </x:c>
      <x:c r="J137" s="3" t="inlineStr">
        <x:is>
          <x:t>11</x:t>
        </x:is>
      </x:c>
      <x:c r="K137" s="3" t="inlineStr">
        <x:is>
          <x:t>3. Cosméticos; maquillaje; cosméticos y preparaciones cosméticas; crema corporal para uso cosmético; cremas de limpieza [para uso cosmético]; cremas, leches, lociones, geles y polvos cosméticos para la cara, el cuerpo y las manos; bases de maquillaje; bases de maquillaje cremosas; bases de maquillaje en crema; bases de maquillaje líquidas; bases de maquillaje para la piel; fondo de maquillaje; kits de cosméticos que comprenden principalmente máscara de pestañas, lápices de labios, lápices de cejas, maquillaje, fundación de maquillaje y brillos de labios; maquillaje para la piel; maquillaje para los ojos; maquillajes de base; maquillajes de base en crema; maquillajes de ojos; maquillajes faciales; polvos de maquillaje; preparaciones de maquillaje para la cara y el cuerpo; productos cosméticos y de maquillaje; sprays para fijar el maquillaje; cosméticos para cuidados corporales y estéticos; cosméticos para tratamiento de belleza cosméticos para el cuidado de belleza; cosméticos y preparaciones de cuidado personal; cremas cosméticas para el cuidado de la piel; cremas y lociones cosméticas para el cuidado de la cara y el cuerpo; emulsiones, geles y lociones para el cuidado de la piel; espumas para el cuidado de la piel; leches limpiadoras para el cuidado de la piel; lociones cosméticas para el cuidado de la piel; lociones lechosas para el cuidado de la piel; mascarillas para el cuidado de la piel de las manos; preparaciones de cuidado facial; barras de labios; barras de labios con protección solar [cosméticos]; barras de labios en stick con protección solar [cosméticos]; barras de labios hidratantes; bases neutralizantes para labios; brillos de labios; colorantes de labios; colorantes de labios [cosméticos]; cosméticos para los labios; cremas para los labios; estuches para lápices de labios; estuches para pintalabios; lápices de labios; lápices de labios [pintalabios]; lápices de labios [pintalabios] hidratantes; lápices de labios hidratantes; perfiladores de labios; pintalabios; pintalabios hidratantes; preparaciones no medicinales para el cuidado de los labios; tintes de labios; tintes para los labios; bálsamos labiales; bálsamos labiales no medicinales; cremas exfoliantes; exfoliantes; exfoliantes [preparaciones cosméticas]; exfoliantes corporales; exfoliantes faciales; aceites de protección solar; preparaciones cosméticas de protección solar; preparaciones de protección solar; aceites destilados para el cuidado de belleza; baños de aceite para el cuidado del cabello; cosméticos para el cuidado del cuerpo; aceites esenciales.
</x:t>
        </x:is>
      </x:c>
      <x:c r="L137" s="3" t="inlineStr">
        <x:is>
          <x:t>No</x:t>
        </x:is>
      </x:c>
      <x:c r="M137" s="3" t="inlineStr">
        <x:is>
          <x:t>RODRIGO  VANEGAS GAVIRIA, CALLE 52 # 47-28 OF.329, MEDELLIN, ANTIOQUIA 050001, CO</x:t>
        </x:is>
      </x:c>
      <x:c r="N137" s="3" t="inlineStr">
        <x:is>
          <x:t/>
        </x:is>
      </x:c>
      <x:c r="O137" s="3" t="inlineStr">
        <x:is>
          <x:t>20 may. 2022</x:t>
        </x:is>
      </x:c>
      <x:c r="P137" s="3" t="inlineStr">
        <x:is>
          <x:t/>
        </x:is>
      </x:c>
      <x:c r="Q137" s="3" t="inlineStr">
        <x:is>
          <x:t/>
        </x:is>
      </x:c>
    </x:row>
    <x:row r="138">
      <x:c r="A138" s="10" t="inlineStr">
        <x:f xml:space="preserve">HYPERLINK("http://sipi.sic.gov.co/sipi/View.ashx?4084735","SD2022/0032472")</x:f>
      </x:c>
      <x:c r="B138" s="3" t="inlineStr">
        <x:is>
          <x:t>eye</x:t>
        </x:is>
      </x:c>
      <x:c r="C138" s="9" t="inlineStr">
        <x:is>
          <x:t/>
        </x:is>
      </x:c>
      <x:c r="D138" s="3" t="inlineStr">
        <x:is>
          <x:t>01 abr. 2022</x:t>
        </x:is>
      </x:c>
      <x:c r="E138" s="3" t="inlineStr">
        <x:is>
          <x:t/>
        </x:is>
      </x:c>
      <x:c r="F138" s="3" t="inlineStr">
        <x:is>
          <x:t>Negada</x:t>
        </x:is>
      </x:c>
      <x:c r="G138" s="3" t="inlineStr">
        <x:is>
          <x:t>Proceso de Registro de Marca</x:t>
        </x:is>
      </x:c>
      <x:c r="H138" s="3" t="inlineStr">
        <x:is>
          <x:t>ASBEYDI  JAIMES HURTADO, CALLE 11 # 10-50, CUCUTA, NORTE DE SANTANDER, CO</x:t>
        </x:is>
      </x:c>
      <x:c r="I138" s="3" t="inlineStr">
        <x:is>
          <x:t>3</x:t>
        </x:is>
      </x:c>
      <x:c r="J138" s="3" t="inlineStr">
        <x:is>
          <x:t>11</x:t>
        </x:is>
      </x:c>
      <x:c r="K138" s="3" t="inlineStr">
        <x:is>
          <x:t>3. Adhesivos para falsas pestañas; adhesivos para pegar las pestañas postizas; adhesivos [pegamentos] para uso cosmético.
</x:t>
        </x:is>
      </x:c>
      <x:c r="L138" s="3" t="inlineStr">
        <x:is>
          <x:t>No</x:t>
        </x:is>
      </x:c>
      <x:c r="M138" s="3" t="inlineStr">
        <x:is>
          <x:t>RODRIGO  VANEGAS GAVIRIA, CALLE 52 # 47-28 OF.329, MEDELLIN, ANTIOQUIA 050001, CO</x:t>
        </x:is>
      </x:c>
      <x:c r="N138" s="3" t="inlineStr">
        <x:is>
          <x:t/>
        </x:is>
      </x:c>
      <x:c r="O138" s="3" t="inlineStr">
        <x:is>
          <x:t>20 may. 2022</x:t>
        </x:is>
      </x:c>
      <x:c r="P138" s="3" t="inlineStr">
        <x:is>
          <x:t/>
        </x:is>
      </x:c>
      <x:c r="Q138" s="3" t="inlineStr">
        <x:is>
          <x:t/>
        </x:is>
      </x:c>
    </x:row>
    <x:row r="139">
      <x:c r="A139" s="10" t="inlineStr">
        <x:f xml:space="preserve">HYPERLINK("http://sipi.sic.gov.co/sipi/View.ashx?4085937","SD2022/0028314")</x:f>
      </x:c>
      <x:c r="B139" s="3" t="inlineStr">
        <x:is>
          <x:t>PRETIUM</x:t>
        </x:is>
      </x:c>
      <x:c r="C139" s="9" t="inlineStr">
        <x:is>
          <x:t/>
        </x:is>
      </x:c>
      <x:c r="D139" s="3" t="inlineStr">
        <x:is>
          <x:t>23 mar. 2022</x:t>
        </x:is>
      </x:c>
      <x:c r="E139" s="3" t="inlineStr">
        <x:is>
          <x:t/>
        </x:is>
      </x:c>
      <x:c r="F139" s="3" t="inlineStr">
        <x:is>
          <x:t>Negada</x:t>
        </x:is>
      </x:c>
      <x:c r="G139" s="3" t="inlineStr">
        <x:is>
          <x:t> MA30969-PRETIUM</x:t>
        </x:is>
      </x:c>
      <x:c r="H139" s="3" t="inlineStr">
        <x:is>
          <x:t>LAURA CAMILA ROA VALDERRAMA, diagonal 77b #123a-43 casa 90, BOGOTÁ, D.C., CO</x:t>
        </x:is>
      </x:c>
      <x:c r="I139" s="3" t="inlineStr">
        <x:is>
          <x:t>3, 5</x:t>
        </x:is>
      </x:c>
      <x:c r="J139" s="3" t="inlineStr">
        <x:is>
          <x:t>11</x:t>
        </x:is>
      </x:c>
      <x:c r="K139" s="3" t="inlineStr">
        <x:is>
          <x:t>3. Aceites perfumados para el cuidado de la piel; cremas cosméticas para el cuidado de la piel; espumas para el cuidado de la piel; leches limpiadoras para el cuidado de la piel; lociones cosméticas para el cuidado de la piel; preparaciones antiarrugas para el cuidado de la piel; preparaciones cosméticas para el cuidado de la piel; cosméticos y preparaciones de tocador no medicinales; dentífricos no medicinales; productos de perfumería, aceites esenciales.
5. Aceites para el cuidado de la piel, medicinales; cremas medicinales para el cuidado de la piel; preparaciones farmacéuticas para cuidar la piel; productos para el cuidado de la piel, medicinales.
</x:t>
        </x:is>
      </x:c>
      <x:c r="L139" s="3" t="inlineStr">
        <x:is>
          <x:t>Sí</x:t>
        </x:is>
      </x:c>
      <x:c r="M139" s="3" t="inlineStr">
        <x:is>
          <x:t>GUILLERMO ANDRES NAVARRO ROMERO, CALLE 79B No. 5-81, BOGOTÁ, D.C. 110221, CO</x:t>
        </x:is>
      </x:c>
      <x:c r="N139" s="3" t="inlineStr">
        <x:is>
          <x:t/>
        </x:is>
      </x:c>
      <x:c r="O139" s="3" t="inlineStr">
        <x:is>
          <x:t>10 may. 2022</x:t>
        </x:is>
      </x:c>
      <x:c r="P139" s="3" t="inlineStr">
        <x:is>
          <x:t/>
        </x:is>
      </x:c>
      <x:c r="Q139" s="3" t="inlineStr">
        <x:is>
          <x:t/>
        </x:is>
      </x:c>
    </x:row>
    <x:row r="140">
      <x:c r="A140" s="10" t="inlineStr">
        <x:f xml:space="preserve">HYPERLINK("http://sipi.sic.gov.co/sipi/View.ashx?4087424","SD2022/0027982")</x:f>
      </x:c>
      <x:c r="B140" s="3" t="inlineStr">
        <x:is>
          <x:t>BRAKO</x:t>
        </x:is>
      </x:c>
      <x:c r="C140" s="3" t="inlineStr">
        <x:is>
          <x:t/>
        </x:is>
      </x:c>
      <x:c r="D140" s="3" t="inlineStr">
        <x:is>
          <x:t>23 mar. 2022</x:t>
        </x:is>
      </x:c>
      <x:c r="E140" s="3" t="inlineStr">
        <x:is>
          <x:t/>
        </x:is>
      </x:c>
      <x:c r="F140" s="3" t="inlineStr">
        <x:is>
          <x:t>Negada</x:t>
        </x:is>
      </x:c>
      <x:c r="G140" s="3" t="inlineStr">
        <x:is>
          <x:t>Brako</x:t>
        </x:is>
      </x:c>
      <x:c r="H140" s="3" t="inlineStr">
        <x:is>
          <x:t> BRAKO S.A.S., carrera 38 no. 15-137, YUMBO, VALLE DEL CAUCA 760507, CO</x:t>
        </x:is>
      </x:c>
      <x:c r="I140" s="3" t="inlineStr">
        <x:is>
          <x:t>3, 4</x:t>
        </x:is>
      </x:c>
      <x:c r="J140" s="3" t="inlineStr">
        <x:is>
          <x:t>11</x:t>
        </x:is>
      </x:c>
      <x:c r="K140" s="3" t="inlineStr">
        <x:is>
          <x:t>3. Agentes de limpieza para uso doméstico; agentes y preparaciones de limpieza; preparaciones de limpieza para gomas y ruedas de automóviles; preparaciones de limpieza para gomas y ruedas de vehículos; preparaciones de limpieza para neumáticos de vehículos, llantas y cubos de ruedas; preparaciones de limpieza para neumáticos y ruedas de automóviles; preparaciones de limpieza para neumáticos y ruedas de vehículos.
4. Aceites lubricantes para motores de vehículos; aceites lubricantes para uso industrial.
</x:t>
        </x:is>
      </x:c>
      <x:c r="L140" s="3" t="inlineStr">
        <x:is>
          <x:t>No</x:t>
        </x:is>
      </x:c>
      <x:c r="M140" s="3" t="inlineStr">
        <x:is>
          <x:t>Maria del Carmen Londoño , Calle 7 oeste No. 3-140, CALI, VALLE DEL CAUCA 776, CO</x:t>
        </x:is>
      </x:c>
      <x:c r="N140" s="3" t="inlineStr">
        <x:is>
          <x:t/>
        </x:is>
      </x:c>
      <x:c r="O140" s="3" t="inlineStr">
        <x:is>
          <x:t>19 abr. 2022</x:t>
        </x:is>
      </x:c>
      <x:c r="P140" s="3" t="inlineStr">
        <x:is>
          <x:t/>
        </x:is>
      </x:c>
      <x:c r="Q140" s="3" t="inlineStr">
        <x:is>
          <x:t/>
        </x:is>
      </x:c>
    </x:row>
    <x:row r="141">
      <x:c r="A141" s="10" t="inlineStr">
        <x:f xml:space="preserve">HYPERLINK("http://sipi.sic.gov.co/sipi/View.ashx?4087782","SD2022/0030761")</x:f>
      </x:c>
      <x:c r="B141" s="3" t="inlineStr">
        <x:is>
          <x:t>Jackelin</x:t>
        </x:is>
      </x:c>
      <x:c r="C141" s="3" t="inlineStr">
        <x:is>
          <x:t/>
        </x:is>
      </x:c>
      <x:c r="D141" s="3" t="inlineStr">
        <x:is>
          <x:t>29 mar. 2022</x:t>
        </x:is>
      </x:c>
      <x:c r="E141" s="3" t="inlineStr">
        <x:is>
          <x:t/>
        </x:is>
      </x:c>
      <x:c r="F141" s="3" t="inlineStr">
        <x:is>
          <x:t>Negada</x:t>
        </x:is>
      </x:c>
      <x:c r="G141" s="3" t="inlineStr">
        <x:is>
          <x:t>Proceso de Registro de Marca Jackelin</x:t>
        </x:is>
      </x:c>
      <x:c r="H141" s="3" t="inlineStr">
        <x:is>
          <x:t>ASBEYDI  JAIMES HURTADO, CALLE 11 # 10-50, CUCUTA, NORTE DE SANTANDER, CO</x:t>
        </x:is>
      </x:c>
      <x:c r="I141" s="3" t="inlineStr">
        <x:is>
          <x:t>3</x:t>
        </x:is>
      </x:c>
      <x:c r="J141" s="3" t="inlineStr">
        <x:is>
          <x:t>11</x:t>
        </x:is>
      </x:c>
      <x:c r="K141" s="3" t="inlineStr">
        <x:is>
          <x:t>3. Cosméticos; maquillaje; cosméticos y preparaciones cosméticas; crema corporal para uso cosmético; cremas de limpieza [para uso cosmético]; cremas, leches, lociones, geles y polvos cosméticos para la cara, el cuerpo y las manos; bases de maquillaje; bases de maquillaje cremosas; bases de maquillaje en crema; bases de maquillaje líquidas; bases de maquillaje para la piel; fondo de maquillaje; kits de cosméticos que comprenden principalmente máscara de pestañas, lápices de labios, lápices de cejas, maquillaje, fundación de maquillaje y brillos de labios; maquillaje para la piel; maquillaje para los ojos; maquillajes de base; maquillajes de base en crema; maquillajes de ojos; maquillajes faciales; polvos de maquillaje; preparaciones de maquillaje para la cara y el cuerpo; productos cosméticos y de maquillaje; sprays para fijar el maquillaje; cosméticos para cuidados corporales y estéticos; cosméticos para tratamiento de belleza cosméticos para el cuidado de belleza; cosméticos y preparaciones de cuidado personal; cremas cosméticas para el cuidado de la piel; cremas y lociones cosméticas para el cuidado de la cara y el cuerpo; emulsiones, geles y lociones para el cuidado de la piel; espumas para el cuidado de la piel; leches limpiadoras para el cuidado de la piel; lociones cosméticas para el cuidado de la piel; lociones lechosas para el cuidado de la piel; mascarillas para el cuidado de la piel de las manos; preparaciones de cuidado facial; barras de labios; barras de labios con protección solar [cosméticos]; barras de labios en stick con protección solar [cosméticos]; barras de labios hidratantes; bases neutralizantes para labios; brillos de labios; colorantes de labios; colorantes de labios [cosméticos]; cosméticos para los labios; cremas para los labios; estuches para lápices de labios; estuches para pintalabios; lápices de labios; lápices de labios [pintalabios]; lápices de labios [pintalabios] hidratantes; lápices de labios hidratantes; perfiladores de labios; pintalabios; pintalabios hidratantes; preparaciones no medicinales para el cuidado de los labios; tintes de labios; tintes para los labios; bálsamos labiales; bálsamos labiales no medicinales; cremas exfoliantes; exfoliantes; exfoliantes [preparaciones cosméticas]; exfoliantes corporales; exfoliantes faciales; aceites de protección solar; preparaciones cosméticas de protección solar; preparaciones de protección solar; aceites destilados para el cuidado de belleza; baños de aceite para el cuidado del cabello; cosméticos para el cuidado del cuerpo; aceites esenciales; correctores de ojos; lápices de ojos para uso cosmético; lápices perfiladores de ojos; mascarillas de belleza para el contorno de los ojos; rubores para las mejillas; paletas de sombras de párpados; sombras de ojos; sombras de párpados.
</x:t>
        </x:is>
      </x:c>
      <x:c r="L141" s="3" t="inlineStr">
        <x:is>
          <x:t>No</x:t>
        </x:is>
      </x:c>
      <x:c r="M141" s="3" t="inlineStr">
        <x:is>
          <x:t>RODRIGO  VANEGAS GAVIRIA, CALLE 52 # 47-28 OF.329, MEDELLIN, ANTIOQUIA 050001, CO</x:t>
        </x:is>
      </x:c>
      <x:c r="N141" s="3" t="inlineStr">
        <x:is>
          <x:t/>
        </x:is>
      </x:c>
      <x:c r="O141" s="3" t="inlineStr">
        <x:is>
          <x:t>19 abr. 2022</x:t>
        </x:is>
      </x:c>
      <x:c r="P141" s="3" t="inlineStr">
        <x:is>
          <x:t/>
        </x:is>
      </x:c>
      <x:c r="Q141" s="3" t="inlineStr">
        <x:is>
          <x:t/>
        </x:is>
      </x:c>
    </x:row>
    <x:row r="142">
      <x:c r="A142" s="10" t="inlineStr">
        <x:f xml:space="preserve">HYPERLINK("http://sipi.sic.gov.co/sipi/View.ashx?4089666","SD2022/0028497")</x:f>
      </x:c>
      <x:c r="B142" s="3" t="inlineStr">
        <x:is>
          <x:t>KK KANKUNAPA</x:t>
        </x:is>
      </x:c>
      <x:c r="C142" s="9" t="inlineStr">
        <x:is>
          <x:t/>
        </x:is>
      </x:c>
      <x:c r="D142" s="3" t="inlineStr">
        <x:is>
          <x:t>24 mar. 2022</x:t>
        </x:is>
      </x:c>
      <x:c r="E142" s="3" t="inlineStr">
        <x:is>
          <x:t/>
        </x:is>
      </x:c>
      <x:c r="F142" s="3" t="inlineStr">
        <x:is>
          <x:t>Negada</x:t>
        </x:is>
      </x:c>
      <x:c r="G142" s="3" t="inlineStr">
        <x:is>
          <x:t/>
        </x:is>
      </x:c>
      <x:c r="H142" s="3" t="inlineStr">
        <x:is>
          <x:t>SHRILEY JOHANA GRISALES SUAZA, DG 31C NO 32D SUR 23 IN 503, ENVIGADO, ANTIOQUIA, CO</x:t>
        </x:is>
      </x:c>
      <x:c r="I142" s="3" t="inlineStr">
        <x:is>
          <x:t>3</x:t>
        </x:is>
      </x:c>
      <x:c r="J142" s="3" t="inlineStr">
        <x:is>
          <x:t>11</x:t>
        </x:is>
      </x:c>
      <x:c r="K142" s="3" t="inlineStr">
        <x:is>
          <x:t>3. Bálsamos capilares; champús capilares; cremas capilares; geles capilares; lociones capilares*; preparaciones capilares no medicamentosas; tonificantes para el cabello; tonificantes para el cabello para uso cosmético; aceites para el cabello; acondicionadores de cabello; brillantina para el cabello; bálsamos para el cabello; champúes para el cabello; champús y acondicionadores para el cabello; crema para peinar el cabello; cremas de protección para el cabello, no medicinales; cremas para el cuidado del cabello; fijadores para el cabello.
</x:t>
        </x:is>
      </x:c>
      <x:c r="L142" s="3" t="inlineStr">
        <x:is>
          <x:t>No</x:t>
        </x:is>
      </x:c>
      <x:c r="M142" s="3" t="inlineStr">
        <x:is>
          <x:t>ANDRES CASAS SANTOFIMIO, Carrera 17A No. 175 - 82, torre 6 apartamento 903, BOGOTA D.C., CUNDINAMARCA 110141650, CO</x:t>
        </x:is>
      </x:c>
      <x:c r="N142" s="3" t="inlineStr">
        <x:is>
          <x:t/>
        </x:is>
      </x:c>
      <x:c r="O142" s="3" t="inlineStr">
        <x:is>
          <x:t>19 abr. 2022</x:t>
        </x:is>
      </x:c>
      <x:c r="P142" s="3" t="inlineStr">
        <x:is>
          <x:t/>
        </x:is>
      </x:c>
      <x:c r="Q142" s="3" t="inlineStr">
        <x:is>
          <x:t/>
        </x:is>
      </x:c>
    </x:row>
    <x:row r="143">
      <x:c r="A143" s="10" t="inlineStr">
        <x:f xml:space="preserve">HYPERLINK("http://sipi.sic.gov.co/sipi/View.ashx?4091131","SD2022/0028839")</x:f>
      </x:c>
      <x:c r="B143" s="3" t="inlineStr">
        <x:is>
          <x:t>SSTAMPA FOR MEN</x:t>
        </x:is>
      </x:c>
      <x:c r="C143" s="9" t="inlineStr">
        <x:is>
          <x:t/>
        </x:is>
      </x:c>
      <x:c r="D143" s="3" t="inlineStr">
        <x:is>
          <x:t>24 mar. 2022</x:t>
        </x:is>
      </x:c>
      <x:c r="E143" s="3" t="inlineStr">
        <x:is>
          <x:t/>
        </x:is>
      </x:c>
      <x:c r="F143" s="3" t="inlineStr">
        <x:is>
          <x:t>Negada</x:t>
        </x:is>
      </x:c>
      <x:c r="G143" s="3" t="inlineStr">
        <x:is>
          <x:t/>
        </x:is>
      </x:c>
      <x:c r="H143" s="3" t="inlineStr">
        <x:is>
          <x:t> DINAMIC PRODUCTS S.A.S., CALLE 25 79 330, MEDELLIN, ANTIOQUIA, CO</x:t>
        </x:is>
      </x:c>
      <x:c r="I143" s="3" t="inlineStr">
        <x:is>
          <x:t>3</x:t>
        </x:is>
      </x:c>
      <x:c r="J143" s="3" t="inlineStr">
        <x:is>
          <x:t>11</x:t>
        </x:is>
      </x:c>
      <x:c r="K143" s="3" t="inlineStr">
        <x:is>
          <x:t>3. PREPARACIONES COSMÉTICAS PARA EL CUIDADO DEL CABELLO Y LA PIEL HUMANA. PRODUCTOS PARA EL CUIDADO Y LA BELLEZA CAPILAR, PRODUCTOS PARA EL CUIDADO Y LA BELLEZA DEL ROSTRO Y LA PIEL, CREMAS COSMÉTICAS; CREMA PARA ACLARAR LA PIEL; GELES DE MASAJE QUE NO SEAN PARA USO MÉDICO; JABONES; JABONES ANTITRANSPIRANTES; ACEITE DE ALMENDRAS; ACEITES DE LIMPIEZA; ACEITES DE PERFUMERÍA; ACEITES ESENCIALES; ACEITES PARA USO COSMÉTICO; POLVOS DE MAQUILLAJE; MASCARILLAS DE BELLEZA; MASCARILLAS DESECHABLES CALENTADAS CON VAPOR, QUE NO SEAN PARA USO MÉDICO; PREPARACIONES COSMÉTICAS PARA EL BRONCEADO DE LA PIEL; PRODUCTOS COSMÉTICOS PARA EL CUIDADO DE LA PIEL; ACONDICIONADORES PARA EL CABELLO; COLORANTES PARA EL CABELLO; CHAMPÚS; CHAMPÚS EN SECO; COSMÉTICOS; ASTRINGENTES PARA USO COSMÉTICO; LOCIONES PARA USO COSMÉTICO; TINTES COSMÉTICOS; NECESERES DE COSMÉTICA; TÓNICOS PARA USO COSMÉTICO.
</x:t>
        </x:is>
      </x:c>
      <x:c r="L143" s="3" t="inlineStr">
        <x:is>
          <x:t>No</x:t>
        </x:is>
      </x:c>
      <x:c r="M143" s="3" t="inlineStr">
        <x:is>
          <x:t>ANDRES MARQUEZ ACOSTA, Carrera 43 A 5A 113 torre sur piso 14, MEDELLIN, ANTIOQUIA, CO</x:t>
        </x:is>
      </x:c>
      <x:c r="N143" s="3" t="inlineStr">
        <x:is>
          <x:t/>
        </x:is>
      </x:c>
      <x:c r="O143" s="3" t="inlineStr">
        <x:is>
          <x:t>08 nov. 2022</x:t>
        </x:is>
      </x:c>
      <x:c r="P143" s="3" t="inlineStr">
        <x:is>
          <x:t/>
        </x:is>
      </x:c>
      <x:c r="Q143" s="3" t="inlineStr">
        <x:is>
          <x:t/>
        </x:is>
      </x:c>
    </x:row>
    <x:row r="144">
      <x:c r="A144" s="10" t="inlineStr">
        <x:f xml:space="preserve">HYPERLINK("http://sipi.sic.gov.co/sipi/View.ashx?4092116","SD2022/0029198")</x:f>
      </x:c>
      <x:c r="B144" s="3" t="inlineStr">
        <x:is>
          <x:t>QAHWA HEALTHY &amp; BEAUTIFUL HAIR</x:t>
        </x:is>
      </x:c>
      <x:c r="C144" s="9" t="inlineStr">
        <x:is>
          <x:t/>
        </x:is>
      </x:c>
      <x:c r="D144" s="3" t="inlineStr">
        <x:is>
          <x:t>24 mar. 2022</x:t>
        </x:is>
      </x:c>
      <x:c r="E144" s="3" t="inlineStr">
        <x:is>
          <x:t/>
        </x:is>
      </x:c>
      <x:c r="F144" s="3" t="inlineStr">
        <x:is>
          <x:t>Negada</x:t>
        </x:is>
      </x:c>
      <x:c r="G144" s="3" t="inlineStr">
        <x:is>
          <x:t/>
        </x:is>
      </x:c>
      <x:c r="H144" s="3" t="inlineStr">
        <x:is>
          <x:t> QAHWA GROUP COLOMBIA S.A.S, Diagonal 6 23-01 ca 19 con la gaitana - conjunto cerrado la gaitana, NEIVA, HUILA, CO</x:t>
        </x:is>
      </x:c>
      <x:c r="I144" s="3" t="inlineStr">
        <x:is>
          <x:t>3</x:t>
        </x:is>
      </x:c>
      <x:c r="J144" s="3" t="inlineStr">
        <x:is>
          <x:t>11</x:t>
        </x:is>
      </x:c>
      <x:c r="K144" s="3" t="inlineStr">
        <x:is>
          <x:t>3. Champúes para el cabello.
</x:t>
        </x:is>
      </x:c>
      <x:c r="L144" s="3" t="inlineStr">
        <x:is>
          <x:t>No</x:t>
        </x:is>
      </x:c>
      <x:c r="M144" s="3" t="inlineStr">
        <x:is>
          <x:t>Julian Steven Alfonso Torres, Carrera 7 # 17-01 oficina 841, BOGOTÁ, D.C., CO</x:t>
        </x:is>
      </x:c>
      <x:c r="N144" s="3" t="inlineStr">
        <x:is>
          <x:t/>
        </x:is>
      </x:c>
      <x:c r="O144" s="3" t="inlineStr">
        <x:is>
          <x:t>29 jul. 2022</x:t>
        </x:is>
      </x:c>
      <x:c r="P144" s="3" t="inlineStr">
        <x:is>
          <x:t/>
        </x:is>
      </x:c>
      <x:c r="Q144" s="3" t="inlineStr">
        <x:is>
          <x:t/>
        </x:is>
      </x:c>
    </x:row>
    <x:row r="145">
      <x:c r="A145" s="10" t="inlineStr">
        <x:f xml:space="preserve">HYPERLINK("http://sipi.sic.gov.co/sipi/View.ashx?4092443","SD2022/0029249")</x:f>
      </x:c>
      <x:c r="B145" s="3" t="inlineStr">
        <x:is>
          <x:t>VARICLIN</x:t>
        </x:is>
      </x:c>
      <x:c r="C145" s="9" t="inlineStr">
        <x:is>
          <x:t/>
        </x:is>
      </x:c>
      <x:c r="D145" s="3" t="inlineStr">
        <x:is>
          <x:t>24 mar. 2022</x:t>
        </x:is>
      </x:c>
      <x:c r="E145" s="3" t="inlineStr">
        <x:is>
          <x:t/>
        </x:is>
      </x:c>
      <x:c r="F145" s="3" t="inlineStr">
        <x:is>
          <x:t>Negada</x:t>
        </x:is>
      </x:c>
      <x:c r="G145" s="3" t="inlineStr">
        <x:is>
          <x:t>VARICLIN</x:t>
        </x:is>
      </x:c>
      <x:c r="H145" s="3" t="inlineStr">
        <x:is>
          <x:t>SEBASTIAN RINCON GIRALDO, CRA 44 #67 SUR 62, SABANETA, ANTIOQUIA 055450, CO</x:t>
        </x:is>
      </x:c>
      <x:c r="I145" s="3" t="inlineStr">
        <x:is>
          <x:t>3</x:t>
        </x:is>
      </x:c>
      <x:c r="J145" s="3" t="inlineStr">
        <x:is>
          <x:t>11</x:t>
        </x:is>
      </x:c>
      <x:c r="K145" s="3" t="inlineStr">
        <x:is>
          <x:t>3. Aceites cosméticos; aceites perfumados para la fabricación de preparados cosméticos; aerosoles cosméticos de uso tópico para la piel; almohadillas de limpieza impregnadas con cosméticos; apitoxina [veneno de abeja melífera] con fines cosméticos; autobronceadores [cosméticos]; barras de labios con protección solar [cosméticos]; bloqueador solar [cosméticos]; colonias, perfumes y productos cosméticos; composiciones para aclarar la piel [cosméticos]; correctores de imperfecciones [productos cosméticos]; cosméticos; cosméticos a base de cannabis; cosméticos a base de cáñamo; cosméticos a base de hierbas; cosméticos ecológicos; cosméticos funcionales en cuanto preparaciones para blanquear la piel; cosméticos orgánicos; cosméticos para broncear la piel; cosméticos para cuidados corporales y estéticos; cosméticos para el cuidado del cuerpo; cremas corporales [cosméticos]; cremas hidratantes para la piel [cosméticos]; cremas reparadoras para la piel [cosméticos]; cremas tonificantes [cosméticos]; cremas y geles cosméticos para rostro, manos y cuerpo; exfoliantes corporales cosméticos; geles bronceadores [cosméticos]; geles para el cuerpo y la cara [cosméticos]; hidratantes para la piel utilizados como cosméticos; jabones cosméticos; leches para después del sol [productos cosméticos]; limpiadores cutáneos con propiedades suavizantes [cosméticos]; lociones autobronceadoras [cosméticos]; lociones hidratantes para la piel [cosméticos]; maquillaje [cosméticos]; parches cosméticos con filtro y pantalla solar para aplicar sobre la piel; pañitos cosméticos prehumedecidos; preparaciones autobronceadoras [cosméticos]; preparaciones blanqueadoras para la piel [productos cosméticos]; preparaciones para aclarar la piel [cosméticos]; preparados cosméticos para el cuidado del cuerpo; productos cosméticos de cbd; productos cosméticos en forma de cremas; productos cosméticos no medicinales; productos cosméticos para el baño y la ducha; productos cosméticos para el cuidado corporal; productos cosméticos para la piel; productos cosméticos para uso personal; productos cosméticos, a saber, leches, lociones y emulsiones; productos y preparaciones cosméticos para el cuidado de la piel; tatuajes temporales con fines cosméticos; tónicos cosméticos.
</x:t>
        </x:is>
      </x:c>
      <x:c r="L145" s="3" t="inlineStr">
        <x:is>
          <x:t>No</x:t>
        </x:is>
      </x:c>
      <x:c r="M145" s="3" t="inlineStr">
        <x:is>
          <x:t/>
        </x:is>
      </x:c>
      <x:c r="N145" s="3" t="inlineStr">
        <x:is>
          <x:t/>
        </x:is>
      </x:c>
      <x:c r="O145" s="3" t="inlineStr">
        <x:is>
          <x:t>10 may. 2022</x:t>
        </x:is>
      </x:c>
      <x:c r="P145" s="3" t="inlineStr">
        <x:is>
          <x:t/>
        </x:is>
      </x:c>
      <x:c r="Q145" s="3" t="inlineStr">
        <x:is>
          <x:t/>
        </x:is>
      </x:c>
    </x:row>
    <x:row r="146">
      <x:c r="A146" s="10" t="inlineStr">
        <x:f xml:space="preserve">HYPERLINK("http://sipi.sic.gov.co/sipi/View.ashx?4093240","SD2022/0029470")</x:f>
      </x:c>
      <x:c r="B146" s="3" t="inlineStr">
        <x:is>
          <x:t/>
        </x:is>
      </x:c>
      <x:c r="C146" s="9" t="inlineStr">
        <x:is>
          <x:t/>
        </x:is>
      </x:c>
      <x:c r="D146" s="3" t="inlineStr">
        <x:is>
          <x:t>25 mar. 2022</x:t>
        </x:is>
      </x:c>
      <x:c r="E146" s="3" t="inlineStr">
        <x:is>
          <x:t/>
        </x:is>
      </x:c>
      <x:c r="F146" s="3" t="inlineStr">
        <x:is>
          <x:t>Negada</x:t>
        </x:is>
      </x:c>
      <x:c r="G146" s="3" t="inlineStr">
        <x:is>
          <x:t/>
        </x:is>
      </x:c>
      <x:c r="H146" s="3" t="inlineStr">
        <x:is>
          <x:t> The Gillette Company LLC, One Gillette Park, BOSTON, MASSACHUSETTS 02127, US</x:t>
        </x:is>
      </x:c>
      <x:c r="I146" s="3" t="inlineStr">
        <x:is>
          <x:t>3, 8</x:t>
        </x:is>
      </x:c>
      <x:c r="J146" s="3" t="inlineStr">
        <x:is>
          <x:t>11</x:t>
        </x:is>
      </x:c>
      <x:c r="K146" s="3" t="inlineStr">
        <x:is>
          <x:t>3. Preparaciones para el afeitado, a saber, cremas, geles y lociones para el afeitado y espumas para el afeitado; sprays, lociones y bálsamos para después del afeitado; limpiadores y exfoliantes faciales para antes del afeitado.
8. Maquinillas de afeitar y hojas de afeitar; dispensadores, casetes, soportes y cartuchos, todos ellos diseñados específicamente para las hojas de afeitar y que las contengan; piezas y accesorios para todos los productos mencionados.
</x:t>
        </x:is>
      </x:c>
      <x:c r="L146" s="3" t="inlineStr">
        <x:is>
          <x:t>No</x:t>
        </x:is>
      </x:c>
      <x:c r="M146" s="3" t="inlineStr">
        <x:is>
          <x:t>JUAN PABLO CONCHA DELGADO, AVENIDA 82 No. 10-62 PISO 5, BOGOTÁ, D.C., CO</x:t>
        </x:is>
      </x:c>
      <x:c r="N146" s="3" t="inlineStr">
        <x:is>
          <x:t/>
        </x:is>
      </x:c>
      <x:c r="O146" s="3" t="inlineStr">
        <x:is>
          <x:t>10 may. 2022</x:t>
        </x:is>
      </x:c>
      <x:c r="P146" s="3" t="inlineStr">
        <x:is>
          <x:t/>
        </x:is>
      </x:c>
      <x:c r="Q146" s="3" t="inlineStr">
        <x:is>
          <x:t/>
        </x:is>
      </x:c>
    </x:row>
    <x:row r="147">
      <x:c r="A147" s="10" t="inlineStr">
        <x:f xml:space="preserve">HYPERLINK("http://sipi.sic.gov.co/sipi/View.ashx?4093862","SD2022/0029687")</x:f>
      </x:c>
      <x:c r="B147" s="3" t="inlineStr">
        <x:is>
          <x:t>BEAUTY NATURALS BY Amenics Lab</x:t>
        </x:is>
      </x:c>
      <x:c r="C147" s="9" t="inlineStr">
        <x:is>
          <x:t/>
        </x:is>
      </x:c>
      <x:c r="D147" s="3" t="inlineStr">
        <x:is>
          <x:t>25 mar. 2022</x:t>
        </x:is>
      </x:c>
      <x:c r="E147" s="3" t="inlineStr">
        <x:is>
          <x:t/>
        </x:is>
      </x:c>
      <x:c r="F147" s="3" t="inlineStr">
        <x:is>
          <x:t>Negada</x:t>
        </x:is>
      </x:c>
      <x:c r="G147" s="3" t="inlineStr">
        <x:is>
          <x:t>BEAUTY NATURALS</x:t>
        </x:is>
      </x:c>
      <x:c r="H147" s="3" t="inlineStr">
        <x:is>
          <x:t>Lina Fernanda Salazar Alvarado, cll 10a  Nº  76-09, BOGOTÁ, D.C., CO</x:t>
        </x:is>
      </x:c>
      <x:c r="I147" s="3" t="inlineStr">
        <x:is>
          <x:t>3</x:t>
        </x:is>
      </x:c>
      <x:c r="J147" s="3" t="inlineStr">
        <x:is>
          <x:t>11</x:t>
        </x:is>
      </x:c>
      <x:c r="K147" s="3" t="inlineStr">
        <x:is>
          <x:t>3. Aceites perfumados para el cuidado de la piel; cosméticos para cuidados corporales y estéticos; cosméticos para el cuidado del cuerpo; cosméticos para tratamiento de belleza cosméticos para el cuidado de belleza; cosméticos y preparaciones de cuidado personal; cremas cosméticas para el cuidado de la piel; cremas no medicinales para el cuidado de la piel; cremas para el cuidado de la piel que no sean de uso médico; cremas para el cuidado de la piel que no sean para uso médico; cremas para el cuidado de la piel, no medicinales; cremas y lociones cosméticas para el cuidado de la cara y el cuerpo; cremas y lociones cosméticas para el cuidado del rostro y el cuerpo; emulsiones, geles y lociones para el cuidado de la piel; lociones, cremas y preparaciones para el cuidado de la cara, cuerpo, cuero cabelludo, uñas y cabello; lociones, cremas y preparaciones para el cuidado del rostro, cuerpo, cuero cabelludo, uñas y cabello; mascarillas para el cuidado capilar; mascarillas para el cuidado de la piel de las manos; mascarillas para el cuidado del cabello; parches que contienen preparaciones no medicinales para el cuidado de la pie; preparaciones antiarrugas para el cuidado de la piel; preparaciones antienvejecimiento para el cuidado de la piel; preparaciones cosméticas de cuidado facial; preparaciones cosméticas para el cuidado de la piel; preparaciones cosméticas para el cuidado de la piel en forma de geles; preparaciones cosméticas para el cuidado del cabello; preparaciones cosméticas para el cuidado del cuerpo; preparaciones cosméticas para el cuidado y el tratamiento de la piel; preparaciones cosméticas termoactivas para el cuidado de la piel; preparaciones de cuidado corporal no medicamentosas; preparaciones de cuidado corporal no medicinales; preparaciones de cuidado corporal y de belleza para uso cosmético; preparaciones de cuidado facial; preparaciones de cuidado facial [cosméticos]; preparaciones no medicinales para el cuidado de la piel; preparaciones no medicinales para el cuidado de la piel, el cabello y el cuero cabelludo; preparaciones no medicinales para el cuidado del cabello; preparaciones para cuidados corporales y de belleza; preparaciones para el cuidado de la piel; preparaciones para el cuidado de la piel [productos cosméticos]; preparaciones para el cuidado de la piel a base de cbd; preparaciones para el cuidado de la piel, no medicinales; preparaciones para el cuidado del cabello; preparaciones para el cuidado del cuero cabelludo y del cabello; preparaciones para el cuidado del cuerpo y la belleza; preparaciones para el cuidado y la belleza personal; preparaciones para el cuidado y la limpieza del cabello; preparaciones perfumadas para el cuidado del cuerpo; preparados cosméticos para el cuidado del cuerpo; preparados no medicinales para el cuidado de la piel; preparados para el cuidado de la piel a base de cbd; productos cosméticos para el cuidado corporal; productos cosméticos para el cuidado de la piel; productos no medicinales para el cuidado de la piel; productos para el cuidado de la piel, no medicinales; productos y preparaciones cosméticos para el cuidado de la piel; productos y preparaciones no medicinales para el cuidado de la piel; productos y preparaciones para el cuidado del cabello; aceite de almendras; aceite de coco para uso cosmético; aceite de lavanda; aceite de lavanda para uso cosmético; aceite de masaje, no medicinal; aceite de menta; aceite de menta [perfumería]; aceite de ricino para uso cosmético; aceite de rosas; aceite de rosas para uso cosmético; aceite para el peinado del cabello; aceites aromáticos; aceites brillantes para el cuerpo; aceites cosméticos; aceites cosméticos para la piel; aceites de aromaterapia; aceites de masaje, no medicinales; aceites de perfumería; aceites destilados para el cuidado de belleza; aceites faciales; aceites hidratantes intensivos; aceites minerales [cosméticos]; aceites no medicados; aceites no medicinales para masajes; aceites para el cabello; aceites para el cuerpo; aceites para el cuerpo de uso cosmético; aceites para uso cosmético; aceites perfumados; aceites perfumados para fabricar preparaciones cosméticas; aceites perfumados para la fabricación de preparaciones cosméticas; aceites perfumados para la fabricación de preparados cosméticos; aceites perfumados para la fabricación de productos cosméticos; aceites y lociones bronceadoras; cremas para la piel no medicinales a base de aceites esenciales para uso en aromaterapia; cremas, aceites, lociones y preparaciones limpiadoras e hidratantes; cremas, aceites, lociones, aerosoles, lápices y bálsamos para uso cosmético; lociones, cremas y aceites de aplicación tópica para la piel y el cuerpo, de uso cosmético; productos de perfumería, aceites esenciales; productos de perfumería, aceites esenciales, cosméticos no medicinales, lociones capilares no medicinales; productos de perfumería, aceites esenciales, cosméticos, lociones capilares; champúes para el cabello; champús capilares; champús no medicinales; champús para el cabello; champús para el cabello humano; champús*; cosméticos en forma de cremas; cremas antiarrugas; cremas antiarrugas para uso cosmético; cremas antienvejecimiento; cremas antienvejecimiento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rostro; cremas cosméticas para la piel; cremas cosméticas para las manos; cremas cosméticas para pieles secas; cremas cosméticas para reafirmar la piel; cremas cosméticas para tonificar la piel; cremas cosméticas reafirmantes para el contorno de ojos; cremas de belleza; cremas de belleza para el cuerpo; cremas de belleza para el rostro y el cuerpo; cremas de hidratación intensiva; cremas de limpieza; cremas de limpieza [cosméticos]; cremas de limpieza [para uso cosmético]; cremas de limpieza [productos cosméticos]; cremas de limpieza para uso cosmético; cremas de masaje cosméticas; cremas emolientes reparadoras para el cuidado diario de la piel; cremas exfoliantes; cremas exfoliantes para uso cosmético; cremas faciales; cremas faciales para uso cosmético; cremas hidratantes; cremas hidratantes para la piel [cosméticos]; cremas limpiadoras; cremas limpiadoras [cosméticos]; cremas limpiadoras [productos cosméticos]; cremas limpiadoras para uso cosmético;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la piel; cremas orgánicas de estiramiento facial; cremas para dar firmeza al cuerpo; cremas para el cuerpo [cosméticos]; cremas para el cuerpo cosméticas;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las manos; cremas para las manos de uso cosmético; cremas para reducir la celulitis; cremas para reducir la celulitis de uso cosmético; cremas perfumadas; cremas perfumadas para el cuerpo; cremas perfumadas para uso cosmético; cremas reafirmantes corporales; cremas reafirmantes para el cuerpo; cremas regeneradoras; cremas reparadoras para contornos de ojos; cremas reparadoras para la piel [cosméticos]; cremas reparadoras para la piel de uso cosmético; cremas revitalizantes para la piel; cremas tonificantes [cosméticos]; cremas y geles cosméticos para cara, manos y cuerpo; cremas y geles cosméticos para rostro, manos y cuerpo; cremas, leches, lociones, geles y polvos cosméticos para la cara, el cuerpo y las manos; cremas, lociones y geles hidratantes; hidrocremas intensiva; leches, geles, lociones y cremas desmaquillantes; lociones y cremas corporales perfumadas; productos cosméticos en forma de cremas; gel crema matificante; gel exfoliante, no medicinal; geles antienvejecimiento; geles corporales y faciales [cosméticos]; geles cosméticos; geles de aloe vera para uso cosmético; geles de belleza; geles de masaje que no sean para uso médico; geles exfoliantes, no medicinales; geles hidratantes; geles hidratantes [cosméticos]; geles no medicinales; geles para el cuerpo [cosméticos]; geles para uso cosmético; reafirmantes en gel para el cuerpo para uso cosmético; exfoliantes; exfoliantes [preparaciones cosméticas]; exfoliantes corporales; exfoliantes corporales cosméticos; exfoliantes corporales para uso cosmético; exfoliantes faciales; exfoliantes faciales y corporales no medicamentosos; exfoliantes faciales y corporales no medicinales; exfoliantes para el cuerpo; exfoliantes para el cuerpo de uso cosmético; exfoliantes para la cara; exfoliantes para la piel; exfoliantes para uso cosmético; preparaciones depilatorias y exfoliantes; preparaciones exfoliantes faciales para uso cosmético; preparaciones exfoliantes y de limpieza para la piel.
</x:t>
        </x:is>
      </x:c>
      <x:c r="L147" s="3" t="inlineStr">
        <x:is>
          <x:t>No</x:t>
        </x:is>
      </x:c>
      <x:c r="M147" s="3" t="inlineStr">
        <x:is>
          <x:t/>
        </x:is>
      </x:c>
      <x:c r="N147" s="3" t="inlineStr">
        <x:is>
          <x:t/>
        </x:is>
      </x:c>
      <x:c r="O147" s="3" t="inlineStr">
        <x:is>
          <x:t>20 may. 2022</x:t>
        </x:is>
      </x:c>
      <x:c r="P147" s="3" t="inlineStr">
        <x:is>
          <x:t/>
        </x:is>
      </x:c>
      <x:c r="Q147" s="3" t="inlineStr">
        <x:is>
          <x:t/>
        </x:is>
      </x:c>
    </x:row>
    <x:row r="148">
      <x:c r="A148" s="10" t="inlineStr">
        <x:f xml:space="preserve">HYPERLINK("http://sipi.sic.gov.co/sipi/View.ashx?4096560","SD2022/0030319")</x:f>
      </x:c>
      <x:c r="B148" s="3" t="inlineStr">
        <x:is>
          <x:t>KYRA SPIRIT OF COLOR</x:t>
        </x:is>
      </x:c>
      <x:c r="C148" s="9" t="inlineStr">
        <x:is>
          <x:t/>
        </x:is>
      </x:c>
      <x:c r="D148" s="3" t="inlineStr">
        <x:is>
          <x:t>28 mar. 2022</x:t>
        </x:is>
      </x:c>
      <x:c r="E148" s="3" t="inlineStr">
        <x:is>
          <x:t/>
        </x:is>
      </x:c>
      <x:c r="F148" s="3" t="inlineStr">
        <x:is>
          <x:t>Negada</x:t>
        </x:is>
      </x:c>
      <x:c r="G148" s="3" t="inlineStr">
        <x:is>
          <x:t>KYRA</x:t>
        </x:is>
      </x:c>
      <x:c r="H148" s="3" t="inlineStr">
        <x:is>
          <x:t>GUSTAVO PONCIANO GARCIA DEL RIO, CALLE 78 No. 181-05, BOGOTÁ, D.C., CO</x:t>
        </x:is>
      </x:c>
      <x:c r="I148" s="3" t="inlineStr">
        <x:is>
          <x:t>3</x:t>
        </x:is>
      </x:c>
      <x:c r="J148" s="3" t="inlineStr">
        <x:is>
          <x:t>11</x:t>
        </x:is>
      </x:c>
      <x:c r="K148" s="3" t="inlineStr">
        <x:is>
          <x:t>3. Productos de perfumería, cosméticos.
</x:t>
        </x:is>
      </x:c>
      <x:c r="L148" s="3" t="inlineStr">
        <x:is>
          <x:t>No</x:t>
        </x:is>
      </x:c>
      <x:c r="M148" s="3" t="inlineStr">
        <x:is>
          <x:t>SANDRA MILENA RODRIGUEZ SARMIENTO, Calle 94A No. 11A-39 OFC. 403, BOGOTÁ, D.C., CO</x:t>
        </x:is>
      </x:c>
      <x:c r="N148" s="3" t="inlineStr">
        <x:is>
          <x:t/>
        </x:is>
      </x:c>
      <x:c r="O148" s="3" t="inlineStr">
        <x:is>
          <x:t>10 may. 2022</x:t>
        </x:is>
      </x:c>
      <x:c r="P148" s="3" t="inlineStr">
        <x:is>
          <x:t/>
        </x:is>
      </x:c>
      <x:c r="Q148" s="3" t="inlineStr">
        <x:is>
          <x:t/>
        </x:is>
      </x:c>
    </x:row>
    <x:row r="149">
      <x:c r="A149" s="10" t="inlineStr">
        <x:f xml:space="preserve">HYPERLINK("http://sipi.sic.gov.co/sipi/View.ashx?4096828","SD2022/0030288")</x:f>
      </x:c>
      <x:c r="B149" s="3" t="inlineStr">
        <x:is>
          <x:t>The Basic Cosmetics</x:t>
        </x:is>
      </x:c>
      <x:c r="C149" s="3" t="inlineStr">
        <x:is>
          <x:t/>
        </x:is>
      </x:c>
      <x:c r="D149" s="3" t="inlineStr">
        <x:is>
          <x:t>28 mar. 2022</x:t>
        </x:is>
      </x:c>
      <x:c r="E149" s="3" t="inlineStr">
        <x:is>
          <x:t/>
        </x:is>
      </x:c>
      <x:c r="F149" s="3" t="inlineStr">
        <x:is>
          <x:t>Negada</x:t>
        </x:is>
      </x:c>
      <x:c r="G149" s="3" t="inlineStr">
        <x:is>
          <x:t>The Basic Cosmetics</x:t>
        </x:is>
      </x:c>
      <x:c r="H149" s="3" t="inlineStr">
        <x:is>
          <x:t>JUAN JOSÉ DÍEZ RICO, CLL 65 56 84 A320, MEDELLIN, ANTIOQUIA, CO</x:t>
        </x:is>
      </x:c>
      <x:c r="I149" s="3" t="inlineStr">
        <x:is>
          <x:t>3</x:t>
        </x:is>
      </x:c>
      <x:c r="J149" s="3" t="inlineStr">
        <x:is>
          <x:t>11</x:t>
        </x:is>
      </x:c>
      <x:c r="K149" s="3" t="inlineStr">
        <x:is>
          <x:t>3. Cosméticos.
</x:t>
        </x:is>
      </x:c>
      <x:c r="L149" s="3" t="inlineStr">
        <x:is>
          <x:t>No</x:t>
        </x:is>
      </x:c>
      <x:c r="M149" s="3" t="inlineStr">
        <x:is>
          <x:t/>
        </x:is>
      </x:c>
      <x:c r="N149" s="3" t="inlineStr">
        <x:is>
          <x:t/>
        </x:is>
      </x:c>
      <x:c r="O149" s="3" t="inlineStr">
        <x:is>
          <x:t>08 abr. 2022</x:t>
        </x:is>
      </x:c>
      <x:c r="P149" s="3" t="inlineStr">
        <x:is>
          <x:t/>
        </x:is>
      </x:c>
      <x:c r="Q149" s="3" t="inlineStr">
        <x:is>
          <x:t/>
        </x:is>
      </x:c>
    </x:row>
    <x:row r="150">
      <x:c r="A150" s="10" t="inlineStr">
        <x:f xml:space="preserve">HYPERLINK("http://sipi.sic.gov.co/sipi/View.ashx?4096843","SD2022/0030335")</x:f>
      </x:c>
      <x:c r="B150" s="3" t="inlineStr">
        <x:is>
          <x:t>GEL COLOR GCNAILS</x:t>
        </x:is>
      </x:c>
      <x:c r="C150" s="3" t="inlineStr">
        <x:is>
          <x:t/>
        </x:is>
      </x:c>
      <x:c r="D150" s="3" t="inlineStr">
        <x:is>
          <x:t>28 mar. 2022</x:t>
        </x:is>
      </x:c>
      <x:c r="E150" s="3" t="inlineStr">
        <x:is>
          <x:t/>
        </x:is>
      </x:c>
      <x:c r="F150" s="3" t="inlineStr">
        <x:is>
          <x:t>Negada</x:t>
        </x:is>
      </x:c>
      <x:c r="G150" s="3" t="inlineStr">
        <x:is>
          <x:t>GEL COLOR GCNAILS</x:t>
        </x:is>
      </x:c>
      <x:c r="H150" s="3" t="inlineStr">
        <x:is>
          <x:t>GUSTAVO PONCIANO GARCIA DEL RIO, CALLE 78 No. 181-05, BOGOTÁ, D.C., CO</x:t>
        </x:is>
      </x:c>
      <x:c r="I150" s="3" t="inlineStr">
        <x:is>
          <x:t>3</x:t>
        </x:is>
      </x:c>
      <x:c r="J150" s="3" t="inlineStr">
        <x:is>
          <x:t>11</x:t>
        </x:is>
      </x:c>
      <x:c r="K150" s="3" t="inlineStr">
        <x:is>
          <x:t>3. Productos cosméticos no medicinales.
</x:t>
        </x:is>
      </x:c>
      <x:c r="L150" s="3" t="inlineStr">
        <x:is>
          <x:t>No</x:t>
        </x:is>
      </x:c>
      <x:c r="M150" s="3" t="inlineStr">
        <x:is>
          <x:t>SANDRA MILENA RODRIGUEZ SARMIENTO, Calle 94A No. 11A-39 OFC. 403, BOGOTÁ, D.C., CO</x:t>
        </x:is>
      </x:c>
      <x:c r="N150" s="3" t="inlineStr">
        <x:is>
          <x:t/>
        </x:is>
      </x:c>
      <x:c r="O150" s="3" t="inlineStr">
        <x:is>
          <x:t>10 may. 2022</x:t>
        </x:is>
      </x:c>
      <x:c r="P150" s="3" t="inlineStr">
        <x:is>
          <x:t/>
        </x:is>
      </x:c>
      <x:c r="Q150" s="3" t="inlineStr">
        <x:is>
          <x:t/>
        </x:is>
      </x:c>
    </x:row>
    <x:row r="151">
      <x:c r="A151" s="10" t="inlineStr">
        <x:f xml:space="preserve">HYPERLINK("http://sipi.sic.gov.co/sipi/View.ashx?4098156","SD2022/0031892")</x:f>
      </x:c>
      <x:c r="B151" s="3" t="inlineStr">
        <x:is>
          <x:t>Blissed nails</x:t>
        </x:is>
      </x:c>
      <x:c r="C151" s="9" t="inlineStr">
        <x:is>
          <x:t/>
        </x:is>
      </x:c>
      <x:c r="D151" s="3" t="inlineStr">
        <x:is>
          <x:t>31 mar. 2022</x:t>
        </x:is>
      </x:c>
      <x:c r="E151" s="3" t="inlineStr">
        <x:is>
          <x:t/>
        </x:is>
      </x:c>
      <x:c r="F151" s="3" t="inlineStr">
        <x:is>
          <x:t>Negada</x:t>
        </x:is>
      </x:c>
      <x:c r="G151" s="3" t="inlineStr">
        <x:is>
          <x:t>Proceso de Registro de Marca BLISSED NAILS</x:t>
        </x:is>
      </x:c>
      <x:c r="H151" s="3" t="inlineStr">
        <x:is>
          <x:t>JULIANA ANDREA LOPEZ SUAREZ, Carrera 54 # 46-71 local 117, MEDELLIN, ANTIOQUIA, CO</x:t>
        </x:is>
      </x:c>
      <x:c r="I151" s="3" t="inlineStr">
        <x:is>
          <x:t>3</x:t>
        </x:is>
      </x:c>
      <x:c r="J151" s="3" t="inlineStr">
        <x:is>
          <x:t>11</x:t>
        </x:is>
      </x:c>
      <x:c r="K151" s="3" t="inlineStr">
        <x:is>
          <x:t>3. Esmaltes de uñas; esmaltes de uñas y quitaesmaltes; aclaradores de uñas; adhesivos para fijar uñas postizas; adhesivos para fijar uñas y pestañas postizas; adhesivos para pegar las uñas postizas; bases para esmaltes de uñas; blanqueadores para las uñas; brillantina para las uñas; brillos de uñas para aplicar sobre el esmalte; calcomanías decorativas para uñas; calcomanías para las uñas; cremas para las uñas; endurecedores de uñas; escarcha para las uñas; esmaltes de base para las uñas [productos cosméticos]; esmaltes de uñas en gel; esmaltes de uñas para uso cosmético; fortalecedores de uñas; kits para el cuidado de las uñas que comprenden esmaltes de uñas, quitaesmaltes y uñas postizas; lacas de uñas; lacas para las uñas; lociones para fortalecer las uñas; lápices para aplicar el esmalte de uñas; lápices quitaesmaltes de uñas; pegatinas decorativas para uñas; plumas de esmalte de uñas; preparaciones cosméticas para el cuidado de las uñas; preparaciones cosméticas para las uñas; preparaciones cosméticas para secar esmaltes de uñas; preparaciones para el cuidado de las uñas; preparaciones para pulir las uñas; preparaciones para retirar uñas de gel; preparaciones y productos para el cuidado de las uñas; productos de revestimiento para esculpir uñas; productos para ablandar las uñas; productos para el cuidado de las uñas; puntas de uñas; purpurina para las uñas; quitaesmalte para uñas [cosméticos]; reparadores de uñas; uñas postizas; uñas postizas de metales preciosos; uñas postizas para los dedos de los pies.
</x:t>
        </x:is>
      </x:c>
      <x:c r="L151" s="3" t="inlineStr">
        <x:is>
          <x:t>No</x:t>
        </x:is>
      </x:c>
      <x:c r="M151" s="3" t="inlineStr">
        <x:is>
          <x:t>RODRIGO  VANEGAS GAVIRIA, CALLE 52 # 47-28 OF.329, MEDELLIN, ANTIOQUIA 050001, CO</x:t>
        </x:is>
      </x:c>
      <x:c r="N151" s="3" t="inlineStr">
        <x:is>
          <x:t/>
        </x:is>
      </x:c>
      <x:c r="O151" s="3" t="inlineStr">
        <x:is>
          <x:t>20 may. 2022</x:t>
        </x:is>
      </x:c>
      <x:c r="P151" s="3" t="inlineStr">
        <x:is>
          <x:t/>
        </x:is>
      </x:c>
      <x:c r="Q151" s="3" t="inlineStr">
        <x:is>
          <x:t/>
        </x:is>
      </x:c>
    </x:row>
    <x:row r="152">
      <x:c r="A152" s="10" t="inlineStr">
        <x:f xml:space="preserve">HYPERLINK("http://sipi.sic.gov.co/sipi/View.ashx?4098553","SD2022/0030763")</x:f>
      </x:c>
      <x:c r="B152" s="3" t="inlineStr">
        <x:is>
          <x:t>XOXOUQUI</x:t>
        </x:is>
      </x:c>
      <x:c r="C152" s="9" t="inlineStr">
        <x:is>
          <x:t/>
        </x:is>
      </x:c>
      <x:c r="D152" s="3" t="inlineStr">
        <x:is>
          <x:t>29 mar. 2022</x:t>
        </x:is>
      </x:c>
      <x:c r="E152" s="3" t="inlineStr">
        <x:is>
          <x:t/>
        </x:is>
      </x:c>
      <x:c r="F152" s="3" t="inlineStr">
        <x:is>
          <x:t>Negada</x:t>
        </x:is>
      </x:c>
      <x:c r="G152" s="3" t="inlineStr">
        <x:is>
          <x:t/>
        </x:is>
      </x:c>
      <x:c r="H152" s="3" t="inlineStr">
        <x:is>
          <x:t>Isabel Veronica Echeverri Hernandez, DG 50 C 44 51, RIONEGRO, ANTIOQUIA 050040, CO</x:t>
        </x:is>
      </x:c>
      <x:c r="I152" s="3" t="inlineStr">
        <x:is>
          <x:t>3</x:t>
        </x:is>
      </x:c>
      <x:c r="J152" s="3" t="inlineStr">
        <x:is>
          <x:t>11</x:t>
        </x:is>
      </x:c>
      <x:c r="K152"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152" s="3" t="inlineStr">
        <x:is>
          <x:t>No</x:t>
        </x:is>
      </x:c>
      <x:c r="M152" s="3" t="inlineStr">
        <x:is>
          <x:t/>
        </x:is>
      </x:c>
      <x:c r="N152" s="3" t="inlineStr">
        <x:is>
          <x:t/>
        </x:is>
      </x:c>
      <x:c r="O152" s="3" t="inlineStr">
        <x:is>
          <x:t>19 abr. 2022</x:t>
        </x:is>
      </x:c>
      <x:c r="P152" s="3" t="inlineStr">
        <x:is>
          <x:t/>
        </x:is>
      </x:c>
      <x:c r="Q152" s="3" t="inlineStr">
        <x:is>
          <x:t/>
        </x:is>
      </x:c>
    </x:row>
    <x:row r="153">
      <x:c r="A153" s="10" t="inlineStr">
        <x:f xml:space="preserve">HYPERLINK("http://sipi.sic.gov.co/sipi/View.ashx?4099147","SD2022/0030936")</x:f>
      </x:c>
      <x:c r="B153" s="3" t="inlineStr">
        <x:is>
          <x:t>N Y U S</x:t>
        </x:is>
      </x:c>
      <x:c r="C153" s="9" t="inlineStr">
        <x:is>
          <x:t/>
        </x:is>
      </x:c>
      <x:c r="D153" s="3" t="inlineStr">
        <x:is>
          <x:t>29 mar. 2022</x:t>
        </x:is>
      </x:c>
      <x:c r="E153" s="3" t="inlineStr">
        <x:is>
          <x:t/>
        </x:is>
      </x:c>
      <x:c r="F153" s="3" t="inlineStr">
        <x:is>
          <x:t>Negada</x:t>
        </x:is>
      </x:c>
      <x:c r="G153" s="3" t="inlineStr">
        <x:is>
          <x:t>Proceso de Registro de Marca NYUS</x:t>
        </x:is>
      </x:c>
      <x:c r="H153" s="3" t="inlineStr">
        <x:is>
          <x:t>SUSANA ARISTIZABAL, Carrera 47b # 17a sur 30, MEDELLIN, ANTIOQUIA, CO</x:t>
        </x:is>
      </x:c>
      <x:c r="I153" s="3" t="inlineStr">
        <x:is>
          <x:t>3</x:t>
        </x:is>
      </x:c>
      <x:c r="J153" s="3" t="inlineStr">
        <x:is>
          <x:t>11</x:t>
        </x:is>
      </x:c>
      <x:c r="K153" s="3" t="inlineStr">
        <x:is>
          <x:t>3. Cosméticos; maquillaje; cosméticos y preparaciones cosméticas; crema corporal para uso cosmético; cremas de limpieza [para uso cosmético]; cremas, leches, lociones, geles y polvos cosméticos para la cara, el cuerpo y las manos; bases de maquillaje; bases de maquillaje cremosas; bases de maquillaje en crema; bases de maquillaje líquidas; bases de maquillaje para la piel; fondo de maquillaje; kits de cosméticos que comprenden principalmente máscara de pestañas, lápices de labios, lápices de cejas, maquillaje, fundación de maquillaje y brillos de labios; maquillaje para la piel; maquillaje para los ojos; maquillajes de base; maquillajes de base en crema; maquillajes de ojos; maquillajes faciales; polvos de maquillaje; preparaciones de maquillaje para la cara y el cuerpo; productos cosméticos y de maquillaje; sprays para fijar el maquillaje; cosméticos para cuidados corporales y estéticos; cosméticos para tratamiento de belleza cosméticos para el cuidado de belleza; cosméticos y preparaciones de cuidado personal; cremas cosméticas para el cuidado de la piel; cremas y lociones cosméticas para el cuidado de la cara y el cuerpo; emulsiones, geles y lociones para el cuidado de la piel; espumas para el cuidado de la piel; leches limpiadoras para el cuidado de la piel; lociones cosméticas para el cuidado de la piel; lociones lechosas para el cuidado de la piel; mascarillas para el cuidado de la piel de las manos; preparaciones de cuidado facial; barras de labios; barras de labios con protección solar [cosméticos]; barras de labios en stick con protección solar [cosméticos]; barras de labios hidratantes; bases neutralizantes para labios; brillos de labios; colorantes de labios; colorantes de labios [cosméticos]; cosméticos para los labios; cremas para los labios; estuches para lápices de labios; estuches para pintalabios; lápices de labios; lápices de labios [pintalabios]; lápices de labios [pintalabios] hidratantes; lápices de labios hidratantes; perfiladores de labios; pintalabios; pintalabios hidratantes; preparaciones no medicinales para el cuidado de los labios; tintes de labios; tintes para los labios; bálsamos labiales; bálsamos labiales no medicinales; cremas exfoliantes; exfoliantes; exfoliantes [preparaciones cosméticas]; exfoliantes corporales; exfoliantes faciales; aceites de protección solar; preparaciones cosméticas de protección solar; preparaciones de protección solar; aceites destilados para el cuidado de belleza; baños de aceite para el cuidado del cabello; cosméticos para el cuidado del cuerpo; aceites esenciales; correctores de ojos; lápices de ojos para uso cosmético; lápices perfiladores de ojos; mascarillas de belleza para el contorno de los ojos; rubores para las mejillas; paletas de sombras de párpados; sombras de ojos; sombras de párpados.
</x:t>
        </x:is>
      </x:c>
      <x:c r="L153" s="3" t="inlineStr">
        <x:is>
          <x:t>No</x:t>
        </x:is>
      </x:c>
      <x:c r="M153" s="3" t="inlineStr">
        <x:is>
          <x:t>RODRIGO  VANEGAS GAVIRIA, CALLE 52 # 47-28 OF.329, MEDELLIN, ANTIOQUIA 050001, CO</x:t>
        </x:is>
      </x:c>
      <x:c r="N153" s="3" t="inlineStr">
        <x:is>
          <x:t/>
        </x:is>
      </x:c>
      <x:c r="O153" s="3" t="inlineStr">
        <x:is>
          <x:t>10 may. 2022</x:t>
        </x:is>
      </x:c>
      <x:c r="P153" s="3" t="inlineStr">
        <x:is>
          <x:t/>
        </x:is>
      </x:c>
      <x:c r="Q153" s="3" t="inlineStr">
        <x:is>
          <x:t/>
        </x:is>
      </x:c>
    </x:row>
    <x:row r="154">
      <x:c r="A154" s="10" t="inlineStr">
        <x:f xml:space="preserve">HYPERLINK("http://sipi.sic.gov.co/sipi/View.ashx?4100167","SD2022/0031343")</x:f>
      </x:c>
      <x:c r="B154" s="3" t="inlineStr">
        <x:is>
          <x:t>BRYKALASHES</x:t>
        </x:is>
      </x:c>
      <x:c r="C154" s="9" t="inlineStr">
        <x:is>
          <x:t/>
        </x:is>
      </x:c>
      <x:c r="D154" s="3" t="inlineStr">
        <x:is>
          <x:t>30 mar. 2022</x:t>
        </x:is>
      </x:c>
      <x:c r="E154" s="3" t="inlineStr">
        <x:is>
          <x:t/>
        </x:is>
      </x:c>
      <x:c r="F154" s="3" t="inlineStr">
        <x:is>
          <x:t>Negada</x:t>
        </x:is>
      </x:c>
      <x:c r="G154" s="3" t="inlineStr">
        <x:is>
          <x:t>BRYKALASHES</x:t>
        </x:is>
      </x:c>
      <x:c r="H154" s="3" t="inlineStr">
        <x:is>
          <x:t>TOMAS DUQUE GIRALDO, Cr 50d no 77 sur 81 131, LA ESTRELLA, ANTIOQUIA, CO</x:t>
        </x:is>
      </x:c>
      <x:c r="I154" s="3" t="inlineStr">
        <x:is>
          <x:t>3, 8, 21</x:t>
        </x:is>
      </x:c>
      <x:c r="J154" s="3" t="inlineStr">
        <x:is>
          <x:t>11</x:t>
        </x:is>
      </x:c>
      <x:c r="K15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8. Herramientas e instrumentos de mano accionados manualmente; artículos de cuchillería, tenedores y cucharas; armas blancas; maquinillas de afeitar.
21. Utensilios y recipientes para uso doméstico y culinario; peines y esponjas; cepillos; materiales para fabricar cepillos; material de limpieza; vidrio en bruto o semielaborado, excepto el vidrio de construcción; artículos de cristalería, porcelana y loza.
</x:t>
        </x:is>
      </x:c>
      <x:c r="L154" s="3" t="inlineStr">
        <x:is>
          <x:t>No</x:t>
        </x:is>
      </x:c>
      <x:c r="M154" s="3" t="inlineStr">
        <x:is>
          <x:t/>
        </x:is>
      </x:c>
      <x:c r="N154" s="3" t="inlineStr">
        <x:is>
          <x:t/>
        </x:is>
      </x:c>
      <x:c r="O154" s="3" t="inlineStr">
        <x:is>
          <x:t>30 jun. 2022</x:t>
        </x:is>
      </x:c>
      <x:c r="P154" s="3" t="inlineStr">
        <x:is>
          <x:t/>
        </x:is>
      </x:c>
      <x:c r="Q154" s="3" t="inlineStr">
        <x:is>
          <x:t/>
        </x:is>
      </x:c>
    </x:row>
    <x:row r="155">
      <x:c r="A155" s="10" t="inlineStr">
        <x:f xml:space="preserve">HYPERLINK("http://sipi.sic.gov.co/sipi/View.ashx?4102983","SD2022/0031815")</x:f>
      </x:c>
      <x:c r="B155" s="3" t="inlineStr">
        <x:is>
          <x:t>ele GOOD HAIR. GOOD DAY</x:t>
        </x:is>
      </x:c>
      <x:c r="C155" s="9" t="inlineStr">
        <x:is>
          <x:t/>
        </x:is>
      </x:c>
      <x:c r="D155" s="3" t="inlineStr">
        <x:is>
          <x:t>31 mar. 2022</x:t>
        </x:is>
      </x:c>
      <x:c r="E155" s="3" t="inlineStr">
        <x:is>
          <x:t/>
        </x:is>
      </x:c>
      <x:c r="F155" s="3" t="inlineStr">
        <x:is>
          <x:t>Negada</x:t>
        </x:is>
      </x:c>
      <x:c r="G155" s="3" t="inlineStr">
        <x:is>
          <x:t/>
        </x:is>
      </x:c>
      <x:c r="H155" s="3" t="inlineStr">
        <x:is>
          <x:t>Tatiana Muñoz Ocampo, calle 9b sur # 25 - 161, MEDELLIN, ANTIOQUIA, CO</x:t>
        </x:is>
      </x:c>
      <x:c r="I155" s="3" t="inlineStr">
        <x:is>
          <x:t>3</x:t>
        </x:is>
      </x:c>
      <x:c r="J155" s="3" t="inlineStr">
        <x:is>
          <x:t>11</x:t>
        </x:is>
      </x:c>
      <x:c r="K155" s="3" t="inlineStr">
        <x:is>
          <x:t>3. Cosméticos para el cabello.
</x:t>
        </x:is>
      </x:c>
      <x:c r="L155" s="3" t="inlineStr">
        <x:is>
          <x:t>No</x:t>
        </x:is>
      </x:c>
      <x:c r="M155" s="3" t="inlineStr">
        <x:is>
          <x:t/>
        </x:is>
      </x:c>
      <x:c r="N155" s="3" t="inlineStr">
        <x:is>
          <x:t/>
        </x:is>
      </x:c>
      <x:c r="O155" s="3" t="inlineStr">
        <x:is>
          <x:t>20 may. 2022</x:t>
        </x:is>
      </x:c>
      <x:c r="P155" s="3" t="inlineStr">
        <x:is>
          <x:t/>
        </x:is>
      </x:c>
      <x:c r="Q155" s="3" t="inlineStr">
        <x:is>
          <x:t/>
        </x:is>
      </x:c>
    </x:row>
    <x:row r="156">
      <x:c r="A156" s="10" t="inlineStr">
        <x:f xml:space="preserve">HYPERLINK("http://sipi.sic.gov.co/sipi/View.ashx?4103424","SD2022/0031981")</x:f>
      </x:c>
      <x:c r="B156" s="3" t="inlineStr">
        <x:is>
          <x:t>Tocco D´Amore</x:t>
        </x:is>
      </x:c>
      <x:c r="C156" s="9" t="inlineStr">
        <x:is>
          <x:t/>
        </x:is>
      </x:c>
      <x:c r="D156" s="3" t="inlineStr">
        <x:is>
          <x:t>31 mar. 2022</x:t>
        </x:is>
      </x:c>
      <x:c r="E156" s="3" t="inlineStr">
        <x:is>
          <x:t/>
        </x:is>
      </x:c>
      <x:c r="F156" s="3" t="inlineStr">
        <x:is>
          <x:t>Negada</x:t>
        </x:is>
      </x:c>
      <x:c r="G156" s="3" t="inlineStr">
        <x:is>
          <x:t>Tocco D´Amore</x:t>
        </x:is>
      </x:c>
      <x:c r="H156" s="3" t="inlineStr">
        <x:is>
          <x:t>MARTHA LILIANA MEJIA BONILLA, CARRERA 85 C #14A-116, CALI, VALLE DEL CAUCA, CO</x:t>
        </x:is>
      </x:c>
      <x:c r="I156" s="3" t="inlineStr">
        <x:is>
          <x:t>3</x:t>
        </x:is>
      </x:c>
      <x:c r="J156" s="3" t="inlineStr">
        <x:is>
          <x:t>11</x:t>
        </x:is>
      </x:c>
      <x:c r="K156" s="3" t="inlineStr">
        <x:is>
          <x:t>3. Aceites faciales; brillos faciales; brillos faciales y corporales; cintas de estiramiento facial para uso cosmético; cintas de lifting facial para uso cosmético; corrector facial; correctores de líneas y arrugas faciales; cremas faciales; cremas faciales para uso cosmético; cremas no medicadas para exfoliantes faciales; cremas orgánicas de estiramiento facial; emulsiones faciales; emulsiones faciales de vitalidad; emulsiones faciales para uso cosmético; exfoliantes faciales; exfoliantes faciales y corporales no medicamentosos; exfoliantes faciales y corporales no medicinales; geles corporales y faciales [cosméticos]; granulados de limpieza facial; hidratantes faciales; hidratantes faciales [cosméticos]; hidratantes faciales de uso cosmético; jabones faciales; leches de limpieza facial; limpiadores cosméticos faciales; limpiadores faciales; limpiadores faciales [cosméticos]; limpiadores faciales [productos cosméticos]; lociones faciales; lociones faciales [cosméticos]; lociones faciales no medicadas; maquillajes faciales;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limpiadoras para faciales; papel secante facial [cosméticos]; papel secante facial para uso cosmético; parches de estiramiento facial para uso cosmético; parches de lifting facial para uso cosmético; paños desechables impregnados de compuestos limpiadores para uso facial; pintura facial; polvos faciales; polvos faciales [cosméticos]; polvos faciales blancos para uso cosmético; polvos faciales compactos; polvos faciales cosméticos; polvos faciales cosméticos de color blanco; polvos faciales en crema; polvos faciales en papel; polvos faciales para uso cosmético; polvos faciales sueltos; polvos faciales, a saber, papel revestido con polvo facial; preparaciones cosméticas de cuidado facial; preparaciones cosméticas de uso tópico para atenuar las arrugas faciales; preparaciones de cuidado facial; preparaciones de cuidado facial [cosméticos]; preparaciones exfoliantes faciales para uso cosmético; preparaciones faciales; preparaciones faciales [cosméticos]; sueros faciales; sueros faciales para uso cosmético; sueros para el lifting facial; tónicos clarificadores faciales; tónicos faciales; tónicos faciales [cosméticos]; tónicos faciales clarificantes; tónicos faciales revitalizantes; tónicos revitalizantes faciales; bases de maquillaje en crema; bálsamos [cremas] para disimular las imperfecciones de la piel; coloretes en crema; cosméticos en forma de cremas; crema corporal; crema corporal para uso cosmético; crema en gel para matificar la piel; crema lavamanos; crema limpiadora; crema no medicinal contra la dermatitis del pañal; crema para aclarar la piel; crema para las manos; crema para lavarse las manos; crema para peinar el cabello;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desmaquillantes; cremas emolientes reparadoras para el cuidado diario de la piel; cremas evanescentes; cremas exfoliantes; cremas exfoliantes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para aclarar la piel; cremas para antes del afeitado; cremas para atenuar las manchas de la vejez; cremas para atenuar las manchas de la vejez de uso cosmético; cremas para botas; cremas para broncear la piel; cremas para cutículas; cremas para dar firmeza al cuerpo; cremas para después de afeitar (no medicinales); cremas para después del afeitado; cremas para después del afeitado (no medicinales); cremas para después del sol; cremas para después del sol de uso cosmético; cremas para el cabello; cremas para el cabello de uso cosmético; cremas para el cabello para uso cosmético; cremas para el cuerpo [cosméticos]; cremas para el cuerpo cosméticas; cremas para el cuidado de la piel que no sean de uso médico;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 piel no medicinales a base de aceites esenciales para uso en aromaterapia; cremas para las botas;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manos a base de cáñamo; cremas para reducir la celulitis; cremas para reducir la celulitis de uso cosmético; cremas para tez clara; cremas para tez clara de uso cosmético; cremas para zapatos y botas; cremas perfumadas; cremas perfumadas para el cuerpo; cremas perfumadas para uso cosmético; cremas reafirmantes corporales; cremas reafirmantes para el cuerpo; cremas regeneradoras; cremas reparadoras para contornos de ojos; cremas reparadoras para la piel [cosméticos]; cremas reparadoras para la piel de uso cosmético; cremas revitalizantes para la piel; cremas solares para bebés; cremas tonificantes [cosméticos]; cremas tópicas a base de hierbas para reafirmar y realzar el busto;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gel crema matificante; geles, cremas y aceites de ducha; hidrocremas intensiva; jabones en crema; jabones en crema para el cuerpo; leches, geles, lociones y cremas desmaquillantes;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maquillajes de base en crema; mascarillas corporales en forma de cremas; mascarillas corporales en forma de cremas para uso cosmético; productos cosméticos en forma de cremas; lociones para ondular el cabello de forma permanente; lociones para reducir la celulitis; lociones para reducir la celulitis de uso cosmético; lociones para rizar el cabello; lociones para uso cosmético; lociones perfumadas [preparaciones de tocador]; lociones perfumadas para el cuerpo; lociones tonificantes para el cuerpo; lociones tónicas para el cuerpo; lociones tónicas para el rostro, el cuerpo y las manos de uso cosmético; mascarillas corporales en forma de lociones; mascarillas corporales en forma de lociones para uso cosmético; pomadas y lociones no medicinales contra la dermatitis del pañal; productos cosméticos, a saber, leches, lociones y emulsiones; productos cosméticos, a saber, lociones; productos de perfumería, aceites esenciales, cosméticos no medicinales, lociones capilares no medicinales; productos de perfumería, aceites esenciales, cosméticos, lociones capilares; toallitas impregnadas de lociones cosméticas; jabón de almendras; jabón de aloe vera; jabón de baño; jabón en polvo; jabón líquido para baños de pies; jabón líquido para el cuerpo; pastillas de jabón para el cuerpo; preparaciones de jabón no medicinales; productos de jabón no medicinales; acondicionadores de cabello; acondicionadores en barritas sólidas para el cabello; acondicionadores labiales; acondicionadores para el cabello; acondicionadores para el cabello para bebés; acondicionadores para la piel; acondicionadores para uso en el cabello; bálsamo acondicionador; champús acondicionadores; champús y acondicionadores; champús y acondicionadores para animales de compañía [preparaciones de peluquería no medicinales ni veterinarias]; champús y acondicionadores para el cabello; productos de enjuague para el cabello [champús acondicionadores]; exfoliante corporal; exfoliantes; exfoliantes [preparaciones cosméticas]; exfoliantes corporales; exfoliantes corporales cosméticos; exfoliantes corporales para uso cosmético; exfoliantes iluminadores; exfoliantes para el cuerpo; exfoliantes para el cuerpo de uso cosmético; exfoliantes para la cara; exfoliantes para la piel; exfoliantes para labios; exfoliantes para las manos; exfoliantes para los pies; exfoliantes para uso cosmético; gel exfoliante, no medicinal; geles exfoliantes, no medicinales; preparaciones depilatorias y exfoliantes; preparaciones exfoliantes y de limpieza para la piel; baños de aceite para el cuidado del cabello; baños de aceite para el cuidado del cabello de uso cosmético; difusores de caña compuestos por aceites perfumados en recipientes y cañas; esencias y aceites etéreos; leches, geles y aceites bronceadores y para después del sol, de uso cosmético; preparaciones capilares a base de aceite de coco virgen ecológico y de aceite de coco virgen.
</x:t>
        </x:is>
      </x:c>
      <x:c r="L156" s="3" t="inlineStr">
        <x:is>
          <x:t>No</x:t>
        </x:is>
      </x:c>
      <x:c r="M156" s="3" t="inlineStr">
        <x:is>
          <x:t/>
        </x:is>
      </x:c>
      <x:c r="N156" s="3" t="inlineStr">
        <x:is>
          <x:t/>
        </x:is>
      </x:c>
      <x:c r="O156" s="3" t="inlineStr">
        <x:is>
          <x:t>08 abr. 2022</x:t>
        </x:is>
      </x:c>
      <x:c r="P156" s="3" t="inlineStr">
        <x:is>
          <x:t/>
        </x:is>
      </x:c>
      <x:c r="Q156" s="3" t="inlineStr">
        <x:is>
          <x:t/>
        </x:is>
      </x:c>
    </x:row>
    <x:row r="157">
      <x:c r="A157" s="10" t="inlineStr">
        <x:f xml:space="preserve">HYPERLINK("http://sipi.sic.gov.co/sipi/View.ashx?4103613","SD2022/0032025")</x:f>
      </x:c>
      <x:c r="B157" s="3" t="inlineStr">
        <x:is>
          <x:t>OS OSIRIS PERFUMERÍA BY MQ</x:t>
        </x:is>
      </x:c>
      <x:c r="C157" s="9" t="inlineStr">
        <x:is>
          <x:t/>
        </x:is>
      </x:c>
      <x:c r="D157" s="3" t="inlineStr">
        <x:is>
          <x:t>31 mar. 2022</x:t>
        </x:is>
      </x:c>
      <x:c r="E157" s="3" t="inlineStr">
        <x:is>
          <x:t/>
        </x:is>
      </x:c>
      <x:c r="F157" s="3" t="inlineStr">
        <x:is>
          <x:t>Negada</x:t>
        </x:is>
      </x:c>
      <x:c r="G157" s="3" t="inlineStr">
        <x:is>
          <x:t>OSIRIS PERFUMERÍA BY MQ</x:t>
        </x:is>
      </x:c>
      <x:c r="H157" s="3" t="inlineStr">
        <x:is>
          <x:t>NATALIE  PIEDRAHITA QUEVEDO, OSIRIS PERFUMERÍA, CARTAGO, VALLE DEL CAUCA, CO</x:t>
        </x:is>
      </x:c>
      <x:c r="I157" s="3" t="inlineStr">
        <x:is>
          <x:t>3</x:t>
        </x:is>
      </x:c>
      <x:c r="J157" s="3" t="inlineStr">
        <x:is>
          <x:t>11</x:t>
        </x:is>
      </x:c>
      <x:c r="K157" s="3" t="inlineStr">
        <x:is>
          <x:t>3. Productos de perfumería, aceites esenciales, cosméticos no medicinales, lociones capilares no medicinales, perfumería.
</x:t>
        </x:is>
      </x:c>
      <x:c r="L157" s="3" t="inlineStr">
        <x:is>
          <x:t>No</x:t>
        </x:is>
      </x:c>
      <x:c r="M157" s="3" t="inlineStr">
        <x:is>
          <x:t>Maria Angelica  Cabarcas Padrón, calle 22 sur #44-50, MEDELLIN,, ANTIOQUIA, CO</x:t>
        </x:is>
      </x:c>
      <x:c r="N157" s="3" t="inlineStr">
        <x:is>
          <x:t/>
        </x:is>
      </x:c>
      <x:c r="O157" s="3" t="inlineStr">
        <x:is>
          <x:t>09 sept. 2022</x:t>
        </x:is>
      </x:c>
      <x:c r="P157" s="3" t="inlineStr">
        <x:is>
          <x:t/>
        </x:is>
      </x:c>
      <x:c r="Q157" s="3" t="inlineStr">
        <x:is>
          <x:t/>
        </x:is>
      </x:c>
    </x:row>
    <x:row r="158">
      <x:c r="A158" s="10" t="inlineStr">
        <x:f xml:space="preserve">HYPERLINK("http://sipi.sic.gov.co/sipi/View.ashx?4103762","SD2022/0032032")</x:f>
      </x:c>
      <x:c r="B158" s="3" t="inlineStr">
        <x:is>
          <x:t>Frutalika</x:t>
        </x:is>
      </x:c>
      <x:c r="C158" s="9" t="inlineStr">
        <x:is>
          <x:t/>
        </x:is>
      </x:c>
      <x:c r="D158" s="3" t="inlineStr">
        <x:is>
          <x:t>01 abr. 2022</x:t>
        </x:is>
      </x:c>
      <x:c r="E158" s="3" t="inlineStr">
        <x:is>
          <x:t/>
        </x:is>
      </x:c>
      <x:c r="F158" s="3" t="inlineStr">
        <x:is>
          <x:t>Negada</x:t>
        </x:is>
      </x:c>
      <x:c r="G158" s="3" t="inlineStr">
        <x:is>
          <x:t>Frutalika1</x:t>
        </x:is>
      </x:c>
      <x:c r="H158" s="3" t="inlineStr">
        <x:is>
          <x:t>Cristian Daniel Acero Castro, Calle 99 Carrera 17A  # 99-49, barrio las delicias, TURBO, ANTIOQUIA, CO</x:t>
        </x:is>
      </x:c>
      <x:c r="I158" s="3" t="inlineStr">
        <x:is>
          <x:t>3</x:t>
        </x:is>
      </x:c>
      <x:c r="J158" s="3" t="inlineStr">
        <x:is>
          <x:t>11</x:t>
        </x:is>
      </x:c>
      <x:c r="K158" s="3" t="inlineStr">
        <x:is>
          <x:t>3. Productos de perfumería, aceites esenciales, cosméticos no medicinales, lociones capilares no medicinales; dentífricos no medicinales;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decolorantes para el cabello; decolorantes para uso en 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permanentemente y amoldar el cabello; preparaciones para ondular permanentemente y marcar el cabello; preparaciones para ondular y amoldar el cabello; preparaciones para ondular y marcar el cabello; preparaciones para ondular y rizar el cabello de forma permanente; preparaciones para rizar el cabello; preparaciones para teñir el cabello; preparaciones para teñir y decolorar el cabello; preparación nutritiva para el cabello; preparaciónes nutritiva para el cabello; productos de enjuague para el cabello; productos de enjuague para el cabello [champús acondicionadores]; productos de textura para el cabello; productos decolorantes para el cabello; productos hidratantes para el cabello; productos para aclarar el cabello; productos para desrizar 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queratina para el cabello.
</x:t>
        </x:is>
      </x:c>
      <x:c r="L158" s="3" t="inlineStr">
        <x:is>
          <x:t>No</x:t>
        </x:is>
      </x:c>
      <x:c r="M158" s="3" t="inlineStr">
        <x:is>
          <x:t/>
        </x:is>
      </x:c>
      <x:c r="N158" s="3" t="inlineStr">
        <x:is>
          <x:t/>
        </x:is>
      </x:c>
      <x:c r="O158" s="3" t="inlineStr">
        <x:is>
          <x:t>31 may. 2022</x:t>
        </x:is>
      </x:c>
      <x:c r="P158" s="3" t="inlineStr">
        <x:is>
          <x:t/>
        </x:is>
      </x:c>
      <x:c r="Q158" s="3" t="inlineStr">
        <x:is>
          <x:t/>
        </x:is>
      </x:c>
    </x:row>
    <x:row r="159">
      <x:c r="A159" s="10" t="inlineStr">
        <x:f xml:space="preserve">HYPERLINK("http://sipi.sic.gov.co/sipi/View.ashx?4104178","SD2022/0032158")</x:f>
      </x:c>
      <x:c r="B159" s="3" t="inlineStr">
        <x:is>
          <x:t>Petluditos</x:t>
        </x:is>
      </x:c>
      <x:c r="C159" s="9" t="inlineStr">
        <x:is>
          <x:t/>
        </x:is>
      </x:c>
      <x:c r="D159" s="3" t="inlineStr">
        <x:is>
          <x:t>01 abr. 2022</x:t>
        </x:is>
      </x:c>
      <x:c r="E159" s="3" t="inlineStr">
        <x:is>
          <x:t/>
        </x:is>
      </x:c>
      <x:c r="F159" s="3" t="inlineStr">
        <x:is>
          <x:t>Negada</x:t>
        </x:is>
      </x:c>
      <x:c r="G159" s="3" t="inlineStr">
        <x:is>
          <x:t/>
        </x:is>
      </x:c>
      <x:c r="H159" s="3" t="inlineStr">
        <x:is>
          <x:t>Robin Santiago Salgado Umbarila, Calle 78D #112F - 47, BOGOTÁ, D.C. 111031, CO</x:t>
        </x:is>
      </x:c>
      <x:c r="I159" s="3" t="inlineStr">
        <x:is>
          <x:t>3, 5</x:t>
        </x:is>
      </x:c>
      <x:c r="J159" s="3" t="inlineStr">
        <x:is>
          <x:t>11</x:t>
        </x:is>
      </x:c>
      <x:c r="K159" s="3" t="inlineStr">
        <x:is>
          <x:t>3. Champús no medicinales para animales de compañía [preparaciones de aseo, que no sean para uso veterinario]; cosméticos para animales; desodorantes para animales; productos cosméticos para el cuidado de la piel de los perros; productos para lavar perros [champús]; preparaciones de jabón no medicinales; productos de jabón; productos de limpieza en spray; enjuagues bucales no medicinales para animales de compañía; limpiadores para camas [arena] de animales; preparaciones para el cuidado y limpieza de los animales.
5. Champús insecticidas para animales; champús medicinales para animales de compañía; preparaciones medicinales para el aseo de animales; preparaciones repelentes para animales, pájaros e insectos; repelentes para animales; desodorizantes de aire en sprays; sprays antipulgas; desodorantes para camas de animales.
</x:t>
        </x:is>
      </x:c>
      <x:c r="L159" s="3" t="inlineStr">
        <x:is>
          <x:t>No</x:t>
        </x:is>
      </x:c>
      <x:c r="M159" s="3" t="inlineStr">
        <x:is>
          <x:t/>
        </x:is>
      </x:c>
      <x:c r="N159" s="3" t="inlineStr">
        <x:is>
          <x:t/>
        </x:is>
      </x:c>
      <x:c r="O159" s="3" t="inlineStr">
        <x:is>
          <x:t>10 may. 2022</x:t>
        </x:is>
      </x:c>
      <x:c r="P159" s="3" t="inlineStr">
        <x:is>
          <x:t/>
        </x:is>
      </x:c>
      <x:c r="Q159" s="3" t="inlineStr">
        <x:is>
          <x:t/>
        </x:is>
      </x:c>
    </x:row>
    <x:row r="160">
      <x:c r="A160" s="10" t="inlineStr">
        <x:f xml:space="preserve">HYPERLINK("http://sipi.sic.gov.co/sipi/View.ashx?4104445","SD2022/0032299")</x:f>
      </x:c>
      <x:c r="B160" s="3" t="inlineStr">
        <x:is>
          <x:t>THE CURL COMPANY</x:t>
        </x:is>
      </x:c>
      <x:c r="C160" s="3" t="inlineStr">
        <x:is>
          <x:t/>
        </x:is>
      </x:c>
      <x:c r="D160" s="3" t="inlineStr">
        <x:is>
          <x:t>01 abr. 2022</x:t>
        </x:is>
      </x:c>
      <x:c r="E160" s="3" t="inlineStr">
        <x:is>
          <x:t/>
        </x:is>
      </x:c>
      <x:c r="F160" s="3" t="inlineStr">
        <x:is>
          <x:t>Negada</x:t>
        </x:is>
      </x:c>
      <x:c r="G160" s="3" t="inlineStr">
        <x:is>
          <x:t/>
        </x:is>
      </x:c>
      <x:c r="H160" s="3" t="inlineStr">
        <x:is>
          <x:t> Creightons Plc, 1210 Lincoln Road, PETERBOROUGH, INGLATERRA PE4 6ND, GB</x:t>
        </x:is>
      </x:c>
      <x:c r="I160" s="3" t="inlineStr">
        <x:is>
          <x:t>3</x:t>
        </x:is>
      </x:c>
      <x:c r="J160" s="3" t="inlineStr">
        <x:is>
          <x:t>11</x:t>
        </x:is>
      </x:c>
      <x:c r="K160" s="3" t="inlineStr">
        <x:is>
          <x:t>3. Preparaciones para blanquear y otras sustancias para lavar la ropa; preparaciones para limpiar, pulir, fregar y raspar; preparaciones de tocador no medicinales; jabones; productos de perfumería; aceites esenciales; productos cosméticos; lociones capilares; dentífricos; preparaciones para el cuidado de la piel; cremas para la piel; cremas hidratantes; cremas y lociones hidratantes; bálsamo labial; soluciones para el lavado de la cara; preparaciones para el cuidado del cabello; champús; lociones para el cuidado del cabello; acondicionadores para el cabello; colorantes para el cabello; tintes para el cabello; gel y espuma para el cabello; lacas para el cabello; aceites para el cabello; preparaciones para alisar el cabello; preparaciones para rizar el cabello; espráis para peinar el cabello; cera para el cabello; desodorantes personales; preparaciones no medicinales para el baño; preparaciones para las uñas; quitaesmaltes; preparaciones autobronceadoras; cremas, lociones, espráis, toallitas autobronceadoras y autobronceadores en forma de nieblas corporales; toallitas faciales impregnadas de cosméticos, mascarillas faciales, cremas faciales, hidratantes faciales, exfoliantes faciales, hidratantes corporales, exfoliantes corporales; toallitas desmaquillantes impregnadas de cosméticos; preparaciones depilatorias; cremas depilatorias; cera depilatoria; lociones depilatorias; estuches de presentación y de regalo que incorporan algunos o todos los productos mencionados.
</x:t>
        </x:is>
      </x:c>
      <x:c r="L160" s="3" t="inlineStr">
        <x:is>
          <x:t>No</x:t>
        </x:is>
      </x:c>
      <x:c r="M160" s="3" t="inlineStr">
        <x:is>
          <x:t>ADRIANA PAOLA PEÑARANDA URBINA, Carrera 10A No. 121-48, Apto. 102, Edificio Pacandé, BOGOTÁ, D.C. 110111, CO</x:t>
        </x:is>
      </x:c>
      <x:c r="N160" s="3" t="inlineStr">
        <x:is>
          <x:t/>
        </x:is>
      </x:c>
      <x:c r="O160" s="3" t="inlineStr">
        <x:is>
          <x:t>30 sept. 2022</x:t>
        </x:is>
      </x:c>
      <x:c r="P160" s="3" t="inlineStr">
        <x:is>
          <x:t/>
        </x:is>
      </x:c>
      <x:c r="Q160" s="3" t="inlineStr">
        <x:is>
          <x:t/>
        </x:is>
      </x:c>
    </x:row>
    <x:row r="161">
      <x:c r="A161" s="10" t="inlineStr">
        <x:f xml:space="preserve">HYPERLINK("http://sipi.sic.gov.co/sipi/View.ashx?4107969","SD2022/0032948")</x:f>
      </x:c>
      <x:c r="B161" s="3" t="inlineStr">
        <x:is>
          <x:t>Tikay</x:t>
        </x:is>
      </x:c>
      <x:c r="C161" s="9" t="inlineStr">
        <x:is>
          <x:t/>
        </x:is>
      </x:c>
      <x:c r="D161" s="3" t="inlineStr">
        <x:is>
          <x:t>04 abr. 2022</x:t>
        </x:is>
      </x:c>
      <x:c r="E161" s="3" t="inlineStr">
        <x:is>
          <x:t/>
        </x:is>
      </x:c>
      <x:c r="F161" s="3" t="inlineStr">
        <x:is>
          <x:t>Negada</x:t>
        </x:is>
      </x:c>
      <x:c r="G161" s="3" t="inlineStr">
        <x:is>
          <x:t/>
        </x:is>
      </x:c>
      <x:c r="H161" s="3" t="inlineStr">
        <x:is>
          <x:t>CAROLINA MARIA SALAZAR VILLA, CL 87 NO 51 27 , ITAGUI, ANTIOQUIA, CO</x:t>
        </x:is>
      </x:c>
      <x:c r="I161" s="3" t="inlineStr">
        <x:is>
          <x:t>3</x:t>
        </x:is>
      </x:c>
      <x:c r="J161" s="3" t="inlineStr">
        <x:is>
          <x:t>11</x:t>
        </x:is>
      </x:c>
      <x:c r="K161" s="3" t="inlineStr">
        <x:is>
          <x:t>3. Abrillantadores capilares; bálsamos capilares; bálsamos capilares no medicinales; champús capilares; cremas capilares; cremas de protección capilar, no medicinales;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x:t>
        </x:is>
      </x:c>
      <x:c r="L161" s="3" t="inlineStr">
        <x:is>
          <x:t>No</x:t>
        </x:is>
      </x:c>
      <x:c r="M161" s="3" t="inlineStr">
        <x:is>
          <x:t/>
        </x:is>
      </x:c>
      <x:c r="N161" s="3" t="inlineStr">
        <x:is>
          <x:t/>
        </x:is>
      </x:c>
      <x:c r="O161" s="3" t="inlineStr">
        <x:is>
          <x:t>08 jul. 2022</x:t>
        </x:is>
      </x:c>
      <x:c r="P161" s="3" t="inlineStr">
        <x:is>
          <x:t/>
        </x:is>
      </x:c>
      <x:c r="Q161" s="3" t="inlineStr">
        <x:is>
          <x:t/>
        </x:is>
      </x:c>
    </x:row>
    <x:row r="162">
      <x:c r="A162" s="10" t="inlineStr">
        <x:f xml:space="preserve">HYPERLINK("http://sipi.sic.gov.co/sipi/View.ashx?4109650","SD2022/0033494")</x:f>
      </x:c>
      <x:c r="B162" s="3" t="inlineStr">
        <x:is>
          <x:t>DR. WOLFF PLANTUR 39</x:t>
        </x:is>
      </x:c>
      <x:c r="C162" s="9" t="inlineStr">
        <x:is>
          <x:t/>
        </x:is>
      </x:c>
      <x:c r="D162" s="3" t="inlineStr">
        <x:is>
          <x:t>05 abr. 2022</x:t>
        </x:is>
      </x:c>
      <x:c r="E162" s="3" t="inlineStr">
        <x:is>
          <x:t/>
        </x:is>
      </x:c>
      <x:c r="F162" s="3" t="inlineStr">
        <x:is>
          <x:t>Negada</x:t>
        </x:is>
      </x:c>
      <x:c r="G162" s="3" t="inlineStr">
        <x:is>
          <x:t>760498016REG</x:t>
        </x:is>
      </x:c>
      <x:c r="H162" s="3" t="inlineStr">
        <x:is>
          <x:t> DR. KURT WOLFF GMBH &amp; CO. KG, JOHANNESWERKSTRASSE 34-36, 33611 BIELEFELD, ALEMANIA, BIELEFELD, NORDRHEIN-WESTFALEN, DE</x:t>
        </x:is>
      </x:c>
      <x:c r="I162" s="3" t="inlineStr">
        <x:is>
          <x:t>3, 5</x:t>
        </x:is>
      </x:c>
      <x:c r="J162" s="3" t="inlineStr">
        <x:is>
          <x:t>11</x:t>
        </x:is>
      </x:c>
      <x:c r="K162" s="3" t="inlineStr">
        <x:is>
          <x:t>3. Artículos de tocador; preparaciones para la limpieza y el cuidado del cuerpo; preparaciones y tratamientos para el cabello; cosméticos para el uso en el cabello; champú; tinte para el cabello; loción para el cabello; tónico para el cabello; preparaciones para proteger el cabello del sol; preparaciones de protección solar para el cuero cabelludo.
5. Preparaciones médicas y veterinarias; suplementos dietéticos y preparaciones dietéticas; productos farmacéuticos y remedios naturales; preparaciones medicinales para el cuidado del cabello; lociones capilares medicinales; lociones medicinales para el cabello; preparaciones medicinales para el crecimiento del cabello; preparaciones para la protección solar del cuero cabelludo con fines farmacéuticos.
</x:t>
        </x:is>
      </x:c>
      <x:c r="L162" s="3" t="inlineStr">
        <x:is>
          <x:t>No</x:t>
        </x:is>
      </x:c>
      <x:c r="M162" s="3" t="inlineStr">
        <x:is>
          <x:t>JUAN CARLOS URIBE RESTREPO, CALLE 93B No. 12-48 PISO 4, BOGOTÁ, D.C., CO</x:t>
        </x:is>
      </x:c>
      <x:c r="N162" s="3" t="inlineStr">
        <x:is>
          <x:t/>
        </x:is>
      </x:c>
      <x:c r="O162" s="3" t="inlineStr">
        <x:is>
          <x:t>10 may. 2022</x:t>
        </x:is>
      </x:c>
      <x:c r="P162" s="3" t="inlineStr">
        <x:is>
          <x:t/>
        </x:is>
      </x:c>
      <x:c r="Q162" s="3" t="inlineStr">
        <x:is>
          <x:t/>
        </x:is>
      </x:c>
    </x:row>
    <x:row r="163">
      <x:c r="A163" s="10" t="inlineStr">
        <x:f xml:space="preserve">HYPERLINK("http://sipi.sic.gov.co/sipi/View.ashx?4109705","SD2022/0033496")</x:f>
      </x:c>
      <x:c r="B163" s="3" t="inlineStr">
        <x:is>
          <x:t>DR. WOLFF PLANTUR 21</x:t>
        </x:is>
      </x:c>
      <x:c r="C163" s="9" t="inlineStr">
        <x:is>
          <x:t/>
        </x:is>
      </x:c>
      <x:c r="D163" s="3" t="inlineStr">
        <x:is>
          <x:t>05 abr. 2022</x:t>
        </x:is>
      </x:c>
      <x:c r="E163" s="3" t="inlineStr">
        <x:is>
          <x:t/>
        </x:is>
      </x:c>
      <x:c r="F163" s="3" t="inlineStr">
        <x:is>
          <x:t>Negada</x:t>
        </x:is>
      </x:c>
      <x:c r="G163" s="3" t="inlineStr">
        <x:is>
          <x:t>760498017REG</x:t>
        </x:is>
      </x:c>
      <x:c r="H163" s="3" t="inlineStr">
        <x:is>
          <x:t> DR. KURT WOLFF GMBH &amp; CO. KG, JOHANNESWERKSTRASSE 34-36, 33611 BIELEFELD, ALEMANIA, BIELEFELD, NORDRHEIN-WESTFALEN, DE</x:t>
        </x:is>
      </x:c>
      <x:c r="I163" s="3" t="inlineStr">
        <x:is>
          <x:t>3, 5</x:t>
        </x:is>
      </x:c>
      <x:c r="J163" s="3" t="inlineStr">
        <x:is>
          <x:t>11</x:t>
        </x:is>
      </x:c>
      <x:c r="K163" s="3" t="inlineStr">
        <x:is>
          <x:t>3. Artículos de tocador; preparaciones para la limpieza y el cuidado del cuerpo; preparaciones y tratamientos para el cabello; cosméticos para el uso en el cabello; champú; tinte para el cabello; loción para el cabello; tónico para el cabello; preparaciones para proteger el cabello del sol; preparaciones de protección solar para el cuero cabelludo.
5. Preparaciones médicas y veterinarias; suplementos dietéticos y preparaciones dietéticas; productos farmacéuticos y remedios naturales; preparaciones medicinales para el cuidado del cabello; lociones capilares medicinales; lociones medicinales para el cabello; preparaciones medicinales para el crecimiento del cabello; preparaciones para la protección solar del cuero cabelludo con fines farmacéuticos.
</x:t>
        </x:is>
      </x:c>
      <x:c r="L163" s="3" t="inlineStr">
        <x:is>
          <x:t>Sí</x:t>
        </x:is>
      </x:c>
      <x:c r="M163" s="3" t="inlineStr">
        <x:is>
          <x:t>JUAN CARLOS URIBE RESTREPO, CALLE 93B No. 12-48 PISO 4, BOGOTÁ, D.C., CO</x:t>
        </x:is>
      </x:c>
      <x:c r="N163" s="3" t="inlineStr">
        <x:is>
          <x:t/>
        </x:is>
      </x:c>
      <x:c r="O163" s="3" t="inlineStr">
        <x:is>
          <x:t>20 may. 2022</x:t>
        </x:is>
      </x:c>
      <x:c r="P163" s="3" t="inlineStr">
        <x:is>
          <x:t/>
        </x:is>
      </x:c>
      <x:c r="Q163" s="3" t="inlineStr">
        <x:is>
          <x:t/>
        </x:is>
      </x:c>
    </x:row>
    <x:row r="164">
      <x:c r="A164" s="10" t="inlineStr">
        <x:f xml:space="preserve">HYPERLINK("http://sipi.sic.gov.co/sipi/View.ashx?4109774","SD2022/0033498")</x:f>
      </x:c>
      <x:c r="B164" s="3" t="inlineStr">
        <x:is>
          <x:t>PLANTUR</x:t>
        </x:is>
      </x:c>
      <x:c r="C164" s="3" t="inlineStr">
        <x:is>
          <x:t/>
        </x:is>
      </x:c>
      <x:c r="D164" s="3" t="inlineStr">
        <x:is>
          <x:t>05 abr. 2022</x:t>
        </x:is>
      </x:c>
      <x:c r="E164" s="3" t="inlineStr">
        <x:is>
          <x:t/>
        </x:is>
      </x:c>
      <x:c r="F164" s="3" t="inlineStr">
        <x:is>
          <x:t>Negada</x:t>
        </x:is>
      </x:c>
      <x:c r="G164" s="3" t="inlineStr">
        <x:is>
          <x:t>760498018REG</x:t>
        </x:is>
      </x:c>
      <x:c r="H164" s="3" t="inlineStr">
        <x:is>
          <x:t> DR. KURT WOLFF GMBH &amp; CO. KG, JOHANNESWERKSTRASSE 34-36, 33611 BIELEFELD, ALEMANIA, BIELEFELD, NORDRHEIN-WESTFALEN, DE</x:t>
        </x:is>
      </x:c>
      <x:c r="I164" s="3" t="inlineStr">
        <x:is>
          <x:t>3, 5</x:t>
        </x:is>
      </x:c>
      <x:c r="J164" s="3" t="inlineStr">
        <x:is>
          <x:t>11</x:t>
        </x:is>
      </x:c>
      <x:c r="K164" s="3" t="inlineStr">
        <x:is>
          <x:t>3. Artículos de tocador; preparaciones para la limpieza del cuerpo y el cuidado de la belleza; preparaciones y tratamientos para el cabello; cosméticos para el cabello; champú; colorantes para el cabello; lociones capilares; tonificantes para el cabello; líquido para el cabello; acondicionador para el cabello; preparaciones capilares de protección solar; preparaciones con filtro solar para el cuero cabelludo.
5. Preparaciones para uso médico y veterinario; suplementos dietéticos y preparaciones dietéticas; remedios naturales y farmacéuticos; preparaciones medicinales para el cuidado capilar; lociones capilares medicinales; lociones medicinales para el cabello; preparaciones medicinales para el crecimiento del cabello; preparaciones con filtro solar para el cuero cabelludo para uso farmacéutico.
</x:t>
        </x:is>
      </x:c>
      <x:c r="L164" s="3" t="inlineStr">
        <x:is>
          <x:t>Sí</x:t>
        </x:is>
      </x:c>
      <x:c r="M164" s="3" t="inlineStr">
        <x:is>
          <x:t>JUAN CARLOS URIBE RESTREPO, CALLE 93B No. 12-48 PISO 4, BOGOTÁ, D.C., CO</x:t>
        </x:is>
      </x:c>
      <x:c r="N164" s="3" t="inlineStr">
        <x:is>
          <x:t/>
        </x:is>
      </x:c>
      <x:c r="O164" s="3" t="inlineStr">
        <x:is>
          <x:t>31 may. 2022</x:t>
        </x:is>
      </x:c>
      <x:c r="P164" s="3" t="inlineStr">
        <x:is>
          <x:t/>
        </x:is>
      </x:c>
      <x:c r="Q164" s="3" t="inlineStr">
        <x:is>
          <x:t/>
        </x:is>
      </x:c>
    </x:row>
    <x:row r="165">
      <x:c r="A165" s="10" t="inlineStr">
        <x:f xml:space="preserve">HYPERLINK("http://sipi.sic.gov.co/sipi/View.ashx?4110588","SD2022/0033609")</x:f>
      </x:c>
      <x:c r="B165" s="3" t="inlineStr">
        <x:is>
          <x:t>ARNI KREM</x:t>
        </x:is>
      </x:c>
      <x:c r="C165" s="3" t="inlineStr">
        <x:is>
          <x:t/>
        </x:is>
      </x:c>
      <x:c r="D165" s="3" t="inlineStr">
        <x:is>
          <x:t>06 abr. 2022</x:t>
        </x:is>
      </x:c>
      <x:c r="E165" s="3" t="inlineStr">
        <x:is>
          <x:t/>
        </x:is>
      </x:c>
      <x:c r="F165" s="3" t="inlineStr">
        <x:is>
          <x:t>Negada</x:t>
        </x:is>
      </x:c>
      <x:c r="G165" s="3" t="inlineStr">
        <x:is>
          <x:t/>
        </x:is>
      </x:c>
      <x:c r="H165" s="3" t="inlineStr">
        <x:is>
          <x:t> DISFARMACOL S.A.S. , CARERA 32 42 27 SUR, BOGOTÁ, D.C. 11111, CO</x:t>
        </x:is>
      </x:c>
      <x:c r="I165" s="3" t="inlineStr">
        <x:is>
          <x:t>3</x:t>
        </x:is>
      </x:c>
      <x:c r="J165" s="3" t="inlineStr">
        <x:is>
          <x:t>11</x:t>
        </x:is>
      </x:c>
      <x:c r="K165" s="3" t="inlineStr">
        <x:is>
          <x:t>3. Gel masajeador corporal térmico; crema volumizante para busto y glúteos, cremas; lociones, bálsamos y geles; cosméticos para el cuidado de la piel tales como hidratantes, humectantes, astringentes, desmaquilladoras, exfoliantes, limpiadoras, aclarantes, tonificantes, nutritivas, reconstituyentes, balsámicas, anti-arrugas, anti-celuliticas, anti-edad, blanqueadoras, reafirmantes; cremas, lociones, geles y preparaciones protectoras y bronceadoras de la piel expuesta a los rayos solares; champús, reacondicionadores, mousses y geles para el cuidado y estilizado del cabello; desodorantes de uso personal; antitranspirantes; maquillaje facial; esmaltes y barnices para las uñas; aceites esenciales, cremas hidratantes, lociones y espumas para el afeitado; preparaciones para blanquear y otras sustancias para la colada; preparaciones para limpiar, pulir, desengrasar y raspar, (preparaciones abrasivas) jabones; perfumería, aceites esenciales, cosméticos, lociones para el cabello; dentífricos.
</x:t>
        </x:is>
      </x:c>
      <x:c r="L165" s="3" t="inlineStr">
        <x:is>
          <x:t>No</x:t>
        </x:is>
      </x:c>
      <x:c r="M165" s="3" t="inlineStr">
        <x:is>
          <x:t>Gustavo  Florez Bautista, Carrera 63 96 66, BOGOTÁ, D.C., CO</x:t>
        </x:is>
      </x:c>
      <x:c r="N165" s="3" t="inlineStr">
        <x:is>
          <x:t/>
        </x:is>
      </x:c>
      <x:c r="O165" s="3" t="inlineStr">
        <x:is>
          <x:t>10 jun. 2022</x:t>
        </x:is>
      </x:c>
      <x:c r="P165" s="3" t="inlineStr">
        <x:is>
          <x:t/>
        </x:is>
      </x:c>
      <x:c r="Q165" s="3" t="inlineStr">
        <x:is>
          <x:t/>
        </x:is>
      </x:c>
    </x:row>
    <x:row r="166">
      <x:c r="A166" s="10" t="inlineStr">
        <x:f xml:space="preserve">HYPERLINK("http://sipi.sic.gov.co/sipi/View.ashx?4110596","SD2022/0033608")</x:f>
      </x:c>
      <x:c r="B166" s="3" t="inlineStr">
        <x:is>
          <x:t>CREATYBELL</x:t>
        </x:is>
      </x:c>
      <x:c r="C166" s="3" t="inlineStr">
        <x:is>
          <x:t/>
        </x:is>
      </x:c>
      <x:c r="D166" s="3" t="inlineStr">
        <x:is>
          <x:t>06 abr. 2022</x:t>
        </x:is>
      </x:c>
      <x:c r="E166" s="3" t="inlineStr">
        <x:is>
          <x:t/>
        </x:is>
      </x:c>
      <x:c r="F166" s="3" t="inlineStr">
        <x:is>
          <x:t>Negada</x:t>
        </x:is>
      </x:c>
      <x:c r="G166" s="3" t="inlineStr">
        <x:is>
          <x:t>F681</x:t>
        </x:is>
      </x:c>
      <x:c r="H166" s="3" t="inlineStr">
        <x:is>
          <x:t>ALEJANDRO  BARRERA FONSECA, CALLE 7A No 73B - 98 CAMINO DE LOS ANGELES , BOGOTÁ, D.C., CO</x:t>
        </x:is>
      </x:c>
      <x:c r="I166" s="3" t="inlineStr">
        <x:is>
          <x:t>3</x:t>
        </x:is>
      </x:c>
      <x:c r="J166" s="3" t="inlineStr">
        <x:is>
          <x:t>11</x:t>
        </x:is>
      </x:c>
      <x:c r="K166" s="3" t="inlineStr">
        <x:is>
          <x:t>3. Cosméticos, jabones, productos de perfumería, aceites esenciales, champú,; acondicionadores, mascarillas cosméticas, lociones capilares cosméticas; cremas para; el cuerpo y la cara, cremas para masajes corporales y faciales, tónicos y limpiadores; faciales, emulsiones corporales y faciales, lociones, esmaltes para uñas, tratamientos; cosméticos para fortalecer las uñas, preparaciones para tratamientos capilares; tintes; cosméticos para uso capilar, facial y corporal.
</x:t>
        </x:is>
      </x:c>
      <x:c r="L166" s="3" t="inlineStr">
        <x:is>
          <x:t>No</x:t>
        </x:is>
      </x:c>
      <x:c r="M166" s="3" t="inlineStr">
        <x:is>
          <x:t>MARTHA AMPARO FONSECA FIERRO, CRA 7 No. 17-01 Oficina 435, BOGOTÁ, D.C., CO</x:t>
        </x:is>
      </x:c>
      <x:c r="N166" s="3" t="inlineStr">
        <x:is>
          <x:t/>
        </x:is>
      </x:c>
      <x:c r="O166" s="3" t="inlineStr">
        <x:is>
          <x:t>30 jun. 2022</x:t>
        </x:is>
      </x:c>
      <x:c r="P166" s="3" t="inlineStr">
        <x:is>
          <x:t/>
        </x:is>
      </x:c>
      <x:c r="Q166" s="3" t="inlineStr">
        <x:is>
          <x:t/>
        </x:is>
      </x:c>
    </x:row>
    <x:row r="167">
      <x:c r="A167" s="10" t="inlineStr">
        <x:f xml:space="preserve">HYPERLINK("http://sipi.sic.gov.co/sipi/View.ashx?4111541","SD2022/0033888")</x:f>
      </x:c>
      <x:c r="B167" s="3" t="inlineStr">
        <x:is>
          <x:t>Bellexe Plus</x:t>
        </x:is>
      </x:c>
      <x:c r="C167" s="9" t="inlineStr">
        <x:is>
          <x:t/>
        </x:is>
      </x:c>
      <x:c r="D167" s="3" t="inlineStr">
        <x:is>
          <x:t>06 abr. 2022</x:t>
        </x:is>
      </x:c>
      <x:c r="E167" s="3" t="inlineStr">
        <x:is>
          <x:t/>
        </x:is>
      </x:c>
      <x:c r="F167" s="3" t="inlineStr">
        <x:is>
          <x:t>Negada</x:t>
        </x:is>
      </x:c>
      <x:c r="G167" s="3" t="inlineStr">
        <x:is>
          <x:t>BELLEXE PLUS</x:t>
        </x:is>
      </x:c>
      <x:c r="H167" s="3" t="inlineStr">
        <x:is>
          <x:t> LABORATORIOS Q.F.A. S.A.S, CRA 93 No. 4B - 34, CALI, VALLE DEL CAUCA, CO</x:t>
        </x:is>
      </x:c>
      <x:c r="I167" s="3" t="inlineStr">
        <x:is>
          <x:t>3</x:t>
        </x:is>
      </x:c>
      <x:c r="J167" s="3" t="inlineStr">
        <x:is>
          <x:t>11</x:t>
        </x:is>
      </x:c>
      <x:c r="K167" s="3" t="inlineStr">
        <x:is>
          <x:t>3. Cosméticos y Preparaciones Cosméticas excluyendo expresamente cosméticos higiénicos tales como dentífricos no medicinales, jabones no medicinales, champús no medicinales, toallitasimpregnadas de lociones cosméticas y en general champús, jabones y lociones no medicinales.
</x:t>
        </x:is>
      </x:c>
      <x:c r="L167" s="3" t="inlineStr">
        <x:is>
          <x:t>No</x:t>
        </x:is>
      </x:c>
      <x:c r="M167" s="3" t="inlineStr">
        <x:is>
          <x:t>MARIA VICTORIA HENAO HERNANDEZ, CALLE 23 NORTE No. 3-33 OFC 602 EDIFICIO PEÑAS BLANCAS, CALI, VALLE DEL CAUCA, CO</x:t>
        </x:is>
      </x:c>
      <x:c r="N167" s="3" t="inlineStr">
        <x:is>
          <x:t/>
        </x:is>
      </x:c>
      <x:c r="O167" s="3" t="inlineStr">
        <x:is>
          <x:t>30 ago. 2022</x:t>
        </x:is>
      </x:c>
      <x:c r="P167" s="3" t="inlineStr">
        <x:is>
          <x:t/>
        </x:is>
      </x:c>
      <x:c r="Q167" s="3" t="inlineStr">
        <x:is>
          <x:t/>
        </x:is>
      </x:c>
    </x:row>
    <x:row r="168">
      <x:c r="A168" s="10" t="inlineStr">
        <x:f xml:space="preserve">HYPERLINK("http://sipi.sic.gov.co/sipi/View.ashx?4112555","SD2022/0034200")</x:f>
      </x:c>
      <x:c r="B168" s="3" t="inlineStr">
        <x:is>
          <x:t>OSHI SKINCARE </x:t>
        </x:is>
      </x:c>
      <x:c r="C168" s="9" t="inlineStr">
        <x:is>
          <x:t/>
        </x:is>
      </x:c>
      <x:c r="D168" s="3" t="inlineStr">
        <x:is>
          <x:t>07 abr. 2022</x:t>
        </x:is>
      </x:c>
      <x:c r="E168" s="3" t="inlineStr">
        <x:is>
          <x:t/>
        </x:is>
      </x:c>
      <x:c r="F168" s="3" t="inlineStr">
        <x:is>
          <x:t>Negada</x:t>
        </x:is>
      </x:c>
      <x:c r="G168" s="3" t="inlineStr">
        <x:is>
          <x:t>OSHI SKINCARE </x:t>
        </x:is>
      </x:c>
      <x:c r="H168" s="3" t="inlineStr">
        <x:is>
          <x:t> SKINCARE PROJECT SAS, CL 18 A # 130 - 121, CALI, VALLE DEL CAUCA, CO</x:t>
        </x:is>
      </x:c>
      <x:c r="I168" s="3" t="inlineStr">
        <x:is>
          <x:t>3</x:t>
        </x:is>
      </x:c>
      <x:c r="J168" s="3" t="inlineStr">
        <x:is>
          <x:t>11</x:t>
        </x:is>
      </x:c>
      <x:c r="K168" s="3" t="inlineStr">
        <x:is>
          <x:t>3. Calcetines impregnados con crema hidratante cosmética; crema corporal; crema corporal para uso cosmético; crema en gel para matificar la piel; crema limpiadora; crema para aclarar la piel; jabones corporales no medicados; jabones cosméticos; jabones de baño en forma líquida, sólida o de gel; jabones de tocador; jabones de tocador no medicinales; jabones de tocador perfumados; jabones desodorantes; jabones en crema; jabones faciales; jabones líquidos no medicinales; jabones líquidos para el baño; jabones líquidos para las manos y el rostro; jabones líquidos para las manos, el rostro y el cuerpo; jabones no medicados para la cara; jabones para la piel; jabones para uso personal; jabones vegetales; espuma limpiadora; bloqueador solar [cosméticos]; preparaciones de bloqueadores solares para uso cosmético.
</x:t>
        </x:is>
      </x:c>
      <x:c r="L168" s="3" t="inlineStr">
        <x:is>
          <x:t>Sí</x:t>
        </x:is>
      </x:c>
      <x:c r="M168" s="3" t="inlineStr">
        <x:is>
          <x:t>ALEJANDRA BAEZA GONZALEZ, Avenida  9 Norte #15AN-55, CALI, VALLE DEL CAUCA, CO</x:t>
        </x:is>
      </x:c>
      <x:c r="N168" s="3" t="inlineStr">
        <x:is>
          <x:t/>
        </x:is>
      </x:c>
      <x:c r="O168" s="3" t="inlineStr">
        <x:is>
          <x:t>19 abr. 2022</x:t>
        </x:is>
      </x:c>
      <x:c r="P168" s="3" t="inlineStr">
        <x:is>
          <x:t/>
        </x:is>
      </x:c>
      <x:c r="Q168" s="3" t="inlineStr">
        <x:is>
          <x:t/>
        </x:is>
      </x:c>
    </x:row>
    <x:row r="169">
      <x:c r="A169" s="10" t="inlineStr">
        <x:f xml:space="preserve">HYPERLINK("http://sipi.sic.gov.co/sipi/View.ashx?4113794","SD2022/0034460")</x:f>
      </x:c>
      <x:c r="B169" s="3" t="inlineStr">
        <x:is>
          <x:t>PCN PRAÍA</x:t>
        </x:is>
      </x:c>
      <x:c r="C169" s="9" t="inlineStr">
        <x:is>
          <x:t/>
        </x:is>
      </x:c>
      <x:c r="D169" s="3" t="inlineStr">
        <x:is>
          <x:t>07 abr. 2022</x:t>
        </x:is>
      </x:c>
      <x:c r="E169" s="3" t="inlineStr">
        <x:is>
          <x:t/>
        </x:is>
      </x:c>
      <x:c r="F169" s="3" t="inlineStr">
        <x:is>
          <x:t>Negada</x:t>
        </x:is>
      </x:c>
      <x:c r="G169" s="3" t="inlineStr">
        <x:is>
          <x:t/>
        </x:is>
      </x:c>
      <x:c r="H169" s="3" t="inlineStr">
        <x:is>
          <x:t>HECTOR FABIO ARISTIZABAL GRISALES, CARRERA 10 N° 57 - 04, CALI, VALLE DEL CAUCA, CO</x:t>
        </x:is>
      </x:c>
      <x:c r="I169" s="3" t="inlineStr">
        <x:is>
          <x:t>3, 35</x:t>
        </x:is>
      </x:c>
      <x:c r="J169" s="3" t="inlineStr">
        <x:is>
          <x:t>11</x:t>
        </x:is>
      </x:c>
      <x:c r="K169" s="3" t="inlineStr">
        <x:is>
          <x:t>3. Productos destinados para tratamientos de belleza de uso cosméticos tales como: geles, cremas, leches, lociones, gel y polvos para la cara y las manos; preparaciones para el bronceado y cuidado de la piel por el sol (productos cosméticos); agua de tocador; jabones de tocador; desodorantes para el cuerpo( de uso cosmético); preparaciones para maquillaje, aceites esenciales para uso personal, preparaciones cosméticas para el cuidado de las uñas, esmalte de uñas, removedores, dilusor de esmaltes, base fortalecedora de uñas, brillo secante, aceite humectante para uñas, barniz de uñas, removedores de barnices, lacas para el pintado, abrillantado, delineado, cuidado fortalecimiento y secado de las uñas; removedor de cutícula, jabón líquido, desodorantes, lápices para las cejas, labiales, maquillaje para uso cosmético, tónicos para la piel, tónicos cosméticos para la cara, toallitas para la higiene femenina no medicinal, toallitas o paños impregnados de productos limpiadores para la piel [de uso cosmético]; toallitas impregnadas de productos cosméticos; toallitas impregnadas de aceites esenciales, para uso cosmético; toallitas impregnadas con sustancias cosméticas; talco de tocador; sueros no medicinales para la piel de uso cosmético; sueros de belleza; sprays para el cuerpo [de uso cosmético]; sombras de ojos en polvo o en lápiz; sales de baño para uso cosmético; sales de baño no medicinales; revitalizantes cutáneos de uso cosmético; protectores labiales no medicinales; productos hidratantes antienvejecimiento; productos de tocador no medicinales; productos depilatorios; productos de perfumería, fragancias e incienso; aceites esenciales; productos de aromaterapia; preparaciones para baños de espuma [para uso cosmético]; preparaciones para antes y después del afeitado; preparaciones de afeitar y para antes y después de afeitar, incluidos geles, cremas y espumas; productos de tocador; aceites para el cabello, aceites para el cuerpo de uso cosmético aceites para masajes; aceites perfumados (de uso cosmético).
35. Comercialización, importaciones-exportaciones, compra y venta de todo tipo de productos de belleza, contratación de personal, publicidad, contabilidad- auditoría- consultoría comercial -distribución de propaganda, muestras publicitarias-, encuestas de mercado- gestión de negocios comerciales: asesoramiento empresarial sobre franquicias.
</x:t>
        </x:is>
      </x:c>
      <x:c r="L169" s="3" t="inlineStr">
        <x:is>
          <x:t>No</x:t>
        </x:is>
      </x:c>
      <x:c r="M169" s="3" t="inlineStr">
        <x:is>
          <x:t>AIDA LUCIA CERTUCHE CANDELO, CL 64N 5BN 145 OF 314A, CALI, VALLE DEL CAUCA, CO</x:t>
        </x:is>
      </x:c>
      <x:c r="N169" s="3" t="inlineStr">
        <x:is>
          <x:t/>
        </x:is>
      </x:c>
      <x:c r="O169" s="3" t="inlineStr">
        <x:is>
          <x:t>11 oct. 2022</x:t>
        </x:is>
      </x:c>
      <x:c r="P169" s="3" t="inlineStr">
        <x:is>
          <x:t/>
        </x:is>
      </x:c>
      <x:c r="Q169" s="3" t="inlineStr">
        <x:is>
          <x:t/>
        </x:is>
      </x:c>
    </x:row>
    <x:row r="170">
      <x:c r="A170" s="10" t="inlineStr">
        <x:f xml:space="preserve">HYPERLINK("http://sipi.sic.gov.co/sipi/View.ashx?4114187","SD2022/0034596")</x:f>
      </x:c>
      <x:c r="B170" s="3" t="inlineStr">
        <x:is>
          <x:t>LA FONTE</x:t>
        </x:is>
      </x:c>
      <x:c r="C170" s="9" t="inlineStr">
        <x:is>
          <x:t/>
        </x:is>
      </x:c>
      <x:c r="D170" s="3" t="inlineStr">
        <x:is>
          <x:t>07 abr. 2022</x:t>
        </x:is>
      </x:c>
      <x:c r="E170" s="3" t="inlineStr">
        <x:is>
          <x:t/>
        </x:is>
      </x:c>
      <x:c r="F170" s="3" t="inlineStr">
        <x:is>
          <x:t>Negada</x:t>
        </x:is>
      </x:c>
      <x:c r="G170" s="3" t="inlineStr">
        <x:is>
          <x:t>LA FONTE</x:t>
        </x:is>
      </x:c>
      <x:c r="H170" s="3" t="inlineStr">
        <x:is>
          <x:t>Mariana Giraldo, Calle 48 FF Sur No, 42C 113 Apto 309, ENVIGADO, ANTIOQUIA, CO</x:t>
        </x:is>
      </x:c>
      <x:c r="I170" s="3" t="inlineStr">
        <x:is>
          <x:t>3</x:t>
        </x:is>
      </x:c>
      <x:c r="J170" s="3" t="inlineStr">
        <x:is>
          <x:t>11</x:t>
        </x:is>
      </x:c>
      <x:c r="K170" s="3" t="inlineStr">
        <x:is>
          <x:t>3.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tratamientos para permanentes capilares; champús 3 en 1;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cera para el pelo; ceras para el cuidado del pelo; ceras para el pelo; cremas para el cuidado del pelo; enjuagues de color para el pelo; preparaciones para decolorar el pelo; acondicionadores de cutícula; acondicionadores labiales; acondicionadores para la piel; bálsamo acondicionador; champús acondicionadores; champús y acondicionadores; champús y acondicionadores para animales de compañía [preparaciones de peluquería no medicinales ni veterinarias]; cremas acondicionadoras; cremas acondicionadoras para la piel, de uso cosmético; champús anticaspa; champús corporales;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para automóviles; champús para bebés; champús para coches; champús para el cuerpo; champús*; productos para lavar perros [champús]; aceite de almendras; aceite de amla para uso cosmético; aceite de coco para uso cosmético; aceite de gaulteria; aceite de jazmín; aceite de lavanda; aceite de lavanda para uso cosmético; aceite de masaje, no medicinal; aceite de menta; aceite de menta [perfumería]; aceite de neem para uso cosmético; aceite de ricino para uso cosmético; aceite de rosas; aceite de rosas para uso cosmético; aceite de trementina para desengrasar; aceite de veppennai para uso cosmético; aceite de árbol de té; aceite esencial de citronela de aromaterapia; aceite esencial de coco; aceite esencial de eucalipto de aromaterapia; aceite esencial de eucalipto en forma de bola; aceite esencial de eucalipto en forma de roll-on; aceite esencial de hierba limón de aromaterapia; aceite esencial de hierbabuena en forma de bola; aceite esencial de hierbabuena en forma de roll-on; aceite esencial de lavanda de aromaterapia; aceite esencial de lavanda en forma de bola; aceite esencial de lavanda en forma de roll-on; aceite esencial de limoncillo de aromaterapia; aceite esencial de menta en forma de bola; aceite esencial de menta en forma de roll-on; aceite esencial de neem; aceite esencial de romero de aromaterapia; aceite esencial de veppennai; aceite esencial de yerbabuena en forma de bola; aceite esencial de yerbabuena en forma de roll-on; aceite esencial de árbol de té de aromaterapia; aceite esencial de árbol de té en forma de roll-on; aceite esencial del árbol del té en forma de bola; aceites aromáticos; aceites aromáticos para el baño; aceites brillantes para el cuerpo; aceites bronceadores; aceites bronceadores [cosméticos]; aceites bronceadores de uso cosmético; aceites cosméticos; aceites cosméticos para la piel; aceites de aromaterapia; aceites de baño; aceites de baño no medicados; aceites de baño no medicinales; aceites de baño para uso cosmético; aceites de baño que no sean medicinales; aceites de baño, que no sean para uso médico; aceites de cáñamo a base de cbd para uso cosmético; aceites de ducha a base de cáñamo; aceites de limpieza; aceites de masaje, no medicinales; aceites de perfumería; aceites de pino para la limpieza de suelos; aceites de protección solar; aceites de protección solar [cosméticos]; aceites de tocador; aceites destilados para el cuidado de belleza;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en cuanto aromatizantes alimentarios; aceites esenciales en cuanto fragancias de lavandería; aceites esenciales en cuanto perfumes de lavandería; aceites esenciales industriales para uso en la fabricación de productos de tabaco; aceites esenciales naturales; aceites esenciales para ambientadores de interior; aceites esenciales para aparatos ambientadores de interior; aceites esenciales para aromatizar bebidas; aceites esenciales para aromatizar el tabaco; aceites esenciales para aromatizar las bebidas; aceites esenciales para aromatizar los alimentos; aceites esenciales para cigarrillos electrónicos; aceites esenciales para el tabaco; aceites esenciales para la fabricación de productos perfumados; aceites esenciales para uso cosmético; aceites esenciales para uso doméstico; aceites esenciales para uso en aromaterapia; aceites esenciales para uso en la fabricación de líquidos para cigarrillos electrónicos [e-liquid]; aceites esenciales para uso en la fabricación de productos neutralizadores de olores; aceites esenciales para uso industrial; aceites esenciales para uso industrial para uso en la fabricación de productos de tabaco; aceites esenciales para uso personal; aceites esenciales que no sean para uso médico o terapéutico; aceites esenciales utilizados como aromatizantes alimentarios; aceites esenciales utilizados como aromatizantes para alimentos; aceites esenciales utilizados como saborizantes alimentarios; aceites esenciales utilizados como saborizantes para alimentos; aceites esenciales utilizados en la fabricación de líquido para cigarrillo electrónico [e-liquid]; aceites esenciales utilizados en procesos de fabricación; aceites etéreos; aceites faciales; aceites hidratantes intensivos; aceites minerales [cosméticos]; aceites no medicados; aceites no medicinales para masajes; aceites para bebés; aceites para bebés [productos de tocador]; aceites para bronceado [cosméticos]; aceites para cutículas; aceites para después del sol; aceites para después del sol [productos cosméticos]; aceites para después del sol de uso cosmético; aceites para el bronceado de la piel; aceites para el cuerpo; aceites para el cuerpo de uso cosmético; aceites para perfumes y fragancias; aceites para uso cosmético; aceites perfumados; aceites perfumados para el cuidado de la piel; aceites perfumados para fabricar preparaciones cosméticas; aceites perfumados para la fabricación de preparaciones cosméticas; aceites perfumados para la fabricación de preparados cosméticos; aceites perfumados para la fabricación de productos cosméticos; aceites perfumados que difunden aromas al ser calentados; aceites puros para uso cosmético; aceites solares de uso cosmético; aceites vegetales esenciales; aceites y lociones bronceadoras; aceites y lociones con filtro solar; aceites y lociones de masaje; aceites y lociones de protección solar; aceites y sales de baño; aceites y sales de baño que no sean para uso médico; agua de tocador que contiene aceite de serpiente; aromas [aceites esenciales]; aromatizantes alimentarios [aceites esenciales]; aromatizantes alimentarios en cuanto aceites esenciales; aromatizantes alimentarios o para bebidas en cuanto aceites esenciales; aromatizantes alimenticios a base de aceites esenciales; aromatizantes de pastelería [aceites esenciales]; aromatizantes de pasteles en cuanto aceites esenciales; aromatizantes en cuanto aceites esenciales para el tabaco; aromatizantes en cuanto aceites esenciales para uso en cigarrillos electrónicos; aromatizantes para batidos de frutas u hortalizas [aceites esenciales]; aromatizantes para batidos de leche [aceites esenciales]; aromatizantes para bebidas [aceites esenciales]; aromatizantes para bebidas en cuanto aceites esenciales; aromatizantes para licuados de frutas u hortalizas [aceites esenciales]; botellas tipo roll-on llenas de aceites esenciales; botellas tipo rollo llenas de aceites esenciales; bálsamo de guritania en cuanto aceites esenciales para uso en la fabricación de barnices; cremas para la piel no medicinales a base de aceites esenciales para uso en aromaterapia; cremas, aceites, lociones y preparaciones limpiadoras e hidratantes; cremas, aceites, lociones, aerosoles, lápices y bálsamos para uso cosmético; difusores de caña compuestos por aceites perfumados en recipientes y cañas; esencia de citronela [aceite esencial]; esencia de cáñamo [aceite esencial]; esencia de eucalipto [aceite esencial]; esencia de gaulteria [aceite esencial]; esencia de helicriso [aceite esencial]; esencia de hierba limón [aceite esencial]; esencia de hierbabuena [aceite esencial]; esencia de lavanda [aceite esencial]; esencia de limoncillo [aceite esencial]; esencia de menta [aceite esencial]; esencia de menta en cuanto aceites esenciales; esencia de neroli [aceite esencial]; esencia de neroli [aceites esenciales]; esencia de niaouli [aceite esencial]; esencia de petitgrain [aceite esencial]; esencia de romero [aceite esencial]; esencia de ylang ylang [aceite esencial]; esencia de árbol de té [aceite esencial]; esencias comestibles para alimentos [aceites esenciales]; esencias y aceites etéreos; geles, cremas y aceites de ducha; leches, geles y aceites bronceadores y para después del sol, de uso cosmético; lociones, cremas y aceites de aplicación tópica para la piel y el cuerpo, de uso cosmético; líquidos para cigarrillos electrónicos [e-liquid] que contienen aceites esenciales; líquidos para cigarrillos electrónicos [e-liquid] que contienen aceites esenciales, utilizados para rellenar cartuchos de cigarrillos electrónicos; líquidos para cigarrillos electrónicos [e-liquid] que contienen aromas en cuanto aceites esenciales, utilizados para rellenar cartuchos de cigarrillos electrónicos; líquidos para cigarrillos electrónicos [e-liquid] que contienen aromas que sean aceites esenciales; líquidos para cigarrillos electrónicos a base de aceites esenciales; líquidos para cigarrillos electrónicos que contienen aromas en cuanto aceites esenciales; líquidos para cigarrillos electrónicos que contienen aromas en cuanto aceites esenciales, utilizados para rellenar los cartuchos de cigarrillos electrónicos; productos de perfumería, aceites esenciales; recambios de fragancias para ambientadores de aceites esenciales enchufables; recambios de fragancias para ambientadores electrónicos de aceites esenciales; recambios de fragancias para difusores de aceites esenciales enchufables; recambios de fragancias para difusores electrónicos de aceites esenciales; recambios de perfumes para difusores de aceites esenciales enchufables; recambios de perfumes para difusores electrónicos de aceites esenciales; saborizantes alimentarios [aceites esenciales]; saborizantes alimentarios en cuanto aceites esenciales; saborizantes de pastelería [aceites esenciales]; saborizantes de pasteles en cuanto aceites esenciales; saborizantes para batidos de leche [aceites esenciales]; saborizantes para bebidas [aceites esenciales]; saborizantes para bebidas en cuanto aceites esenciales; terpenos [aceites esenciales]; terpenos en cuanto aceites esenciales; toallitas impregnadas de aceites esenciales, para uso cosmético; betunes y cremas para vinilo; bálsamos [cremas] para disimular las imperfecciones de la piel; coloretes en crema; cosméticos en forma de cremas; crema corporal; crema corporal para uso cosmético; crema en gel para matificar la piel; crema lavamanos; crema limpiadora; crema no medicinal contra la dermatitis del pañal; crema para aclarar la piel; crema para las manos; crema para lavarse las manos;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solar; cremas de protección solar para uso cosmético; cremas de pureza; cremas depilatorias; cremas desmaquillantes; cremas emolientes reparadoras para el cuidado diario de la piel; cremas evanescentes;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botas; cremas para broncear la piel; cremas para cutículas; cremas para dar firmeza al cuerpo; cremas para después de afeitar (no medicinales); cremas para después del afeitado; cremas para después del afeitado (no medicinales); cremas para después del sol; cremas para después del sol de uso cosmético; cremas para el calzado; cremas para el cuero; cremas para el cuerpo [cosméticos]; cremas para el cuerpo cosméticas; cremas para el cuidado de la piel que no sean de uso médico; cremas para el cuidado de la piel que no sean para uso médico; cremas para el cuidado de la piel, no medicinales; cremas para el rostro; cremas para el rostro de uso cosmético; cremas para el rostro y el cuerpo; cremas para el rostro y el cuerpo de uso cosmético; cremas para la cara [cosméticos]; cremas para la piel; cremas para la piel de uso cosmético; cremas para las botas;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manos a base de cáñamo; cremas para pulir; cremas para reducir la celulitis; cremas para reducir la celulitis de uso cosmético; cremas para tez clara; cremas para tez clara de uso cosmético; cremas para zapatos y botas;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solares para bebés; cremas tonificantes [cosméticos]; cremas tópicas a base de hierbas para reafirmar y realzar el busto; cremas y betunes para el calzado;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leches, lociones, geles y polvos cosméticos para la cara, el cuerpo y las manos; cremas, lociones y geles hidratantes; cremas, lociones y otras preparaciones cosméticas bronceadoras; gel crema matificante; hidrocremas intensiva; jabones en crema; jabones en crema para el cuerpo; leches, geles, lociones y cremas desmaquillantes; lociones y cremas corporales perfumadas; maquillajes de base en crema; mascarillas corporales en forma de cremas; mascarillas corporales en forma de cremas para uso cosmético; polvos faciales en crema; productos cosméticos en forma de cremas;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apitoxina [veneno de abeja melífera] con fines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cannabis; cosméticos a base de cáñamo; cosméticos a base de hierbas; cosméticos biológicos; cosméticos de belleza; cosméticos ecológicos;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endurecedores de uñas [cosméticos]; esmaltes de base para las uñas [productos cosméticos]; exfoliantes corporales cosméticos; filtro solar [cosméticos]; geles bronceadores [cosméticos]; geles corporales y faciales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leches bronceadoras [cosméticos]; leches para después del sol [productos cosméticos];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autobronceadoras [cosméticos]; lociones faciales [cosméticos]; lociones hidratantes [cosméticos]; lociones hidratantes para el cuerpo [cosméticos]; lociones hidratantes para la piel [cosméticos]; lociones no medicinales para el cuidado de la piel [cosméticos]; lociones para el cuidado de la piel [cosméticos]; lociones para la piel [productos cosméticos]; maquillaje [cosméticos]; mascarillas faciales [productos cosméticos]; mascarillas para el cutis [cosméticos]; mascarillas para la piel [cosméticos]; papel secante anti-brillo [cosméticos]; papel secante facial [cosméticos]; parches cosméticos con filtro y pantalla solar para aplicar sobre la piel; parches de gel para los ojos con fines cosméticos; pañitos cosméticos prehumedecidos; perfumería para cosméticos; polvos compactos para polveras [cosméticos]; polvos cosméticos; polvos faciales [cosméticos]; polvos faciales cosméticos; polvos faciales cosméticos de color blanco; preparaciones autobronceadoras [cosméticos]; preparaciones blanqueadoras para la piel [productos cosméticos]; preparaciones de cuidado facial [cosméticos]; preparaciones de protección solar [productos cosméticos]; preparaciones faciales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de cbd; productos cosméticos de baño y ducha; productos cosméticos decorativos; productos cosméticos en aerosol para el cuidado de la piel; productos cosméticos en forma de polvos; productos cosméticos no medicinales; productos cosméticos para el baño y la ducha;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revestimiento para esculpir uñas [productos cosméticos]; productos y preparaciones cosméticos para el cuidado de la piel; protectores solares para los labios [productos cosméticos]; quitaesmalte para uñas [cosméticos]; quitaesmaltes de uñas [cosméticos]; tatuajes temporales con fines cosméticos; tintes cosméticos; tintes de labios [cosméticos]; tintes labiales [cosméticos]; tintes labiales [productos cosméticos]; tintes para los labios [productos cosméticos]; tiras blanqueadoras de dientes impregnadas con preparaciones blanqueadoras [cosméticos]; toallas de papel para las manos impregnadas de cosméticos; toallas de papel para las manos impregnadas de productos cosméticos; toallitas desechables impregnadas con preparados cosméticos para bebés; toallitas impregnadas con preparados cosméticos; toallitas impregnadas de productos cosméticos; tónicos cosméticos; tónicos cosméticos para el rostro; tónicos cosméticos para la cara; tónicos faciales [cosméticos]; veneno de abeja con fines cosméticos.
</x:t>
        </x:is>
      </x:c>
      <x:c r="L170" s="3" t="inlineStr">
        <x:is>
          <x:t>No</x:t>
        </x:is>
      </x:c>
      <x:c r="M170" s="3" t="inlineStr">
        <x:is>
          <x:t/>
        </x:is>
      </x:c>
      <x:c r="N170" s="3" t="inlineStr">
        <x:is>
          <x:t/>
        </x:is>
      </x:c>
      <x:c r="O170" s="3" t="inlineStr">
        <x:is>
          <x:t>09 dic. 2022</x:t>
        </x:is>
      </x:c>
      <x:c r="P170" s="3" t="inlineStr">
        <x:is>
          <x:t/>
        </x:is>
      </x:c>
      <x:c r="Q170" s="3" t="inlineStr">
        <x:is>
          <x:t/>
        </x:is>
      </x:c>
    </x:row>
    <x:row r="171">
      <x:c r="A171" s="10" t="inlineStr">
        <x:f xml:space="preserve">HYPERLINK("http://sipi.sic.gov.co/sipi/View.ashx?4114202","SD2022/0043467")</x:f>
      </x:c>
      <x:c r="B171" s="3" t="inlineStr">
        <x:is>
          <x:t>Ekko by kannab </x:t>
        </x:is>
      </x:c>
      <x:c r="C171" s="9" t="inlineStr">
        <x:is>
          <x:t/>
        </x:is>
      </x:c>
      <x:c r="D171" s="3" t="inlineStr">
        <x:is>
          <x:t>03 may. 2022</x:t>
        </x:is>
      </x:c>
      <x:c r="E171" s="3" t="inlineStr">
        <x:is>
          <x:t/>
        </x:is>
      </x:c>
      <x:c r="F171" s="3" t="inlineStr">
        <x:is>
          <x:t>Negada</x:t>
        </x:is>
      </x:c>
      <x:c r="G171" s="3" t="inlineStr">
        <x:is>
          <x:t>Ekko by kannab </x:t>
        </x:is>
      </x:c>
      <x:c r="H171" s="3" t="inlineStr">
        <x:is>
          <x:t> KANNAB COLOMBIA SAS, Carrera 14 127- 10 of 501, BOGOTA, CUNDINAMARCA, CO</x:t>
        </x:is>
      </x:c>
      <x:c r="I171" s="3" t="inlineStr">
        <x:is>
          <x:t>3</x:t>
        </x:is>
      </x:c>
      <x:c r="J171" s="3" t="inlineStr">
        <x:is>
          <x:t>11</x:t>
        </x:is>
      </x:c>
      <x:c r="K171" s="3" t="inlineStr">
        <x:is>
          <x:t>3. Parches de gel para los ojos de uso cosmético.
</x:t>
        </x:is>
      </x:c>
      <x:c r="L171" s="3" t="inlineStr">
        <x:is>
          <x:t>Sí</x:t>
        </x:is>
      </x:c>
      <x:c r="M171" s="3" t="inlineStr">
        <x:is>
          <x:t>CAMILO ANDRES TOLEDO PEREZ , carrera13a#101-52 ofi 701, BOGOTÁ, D.C. 110111, CO</x:t>
        </x:is>
      </x:c>
      <x:c r="N171" s="3" t="inlineStr">
        <x:is>
          <x:t/>
        </x:is>
      </x:c>
      <x:c r="O171" s="3" t="inlineStr">
        <x:is>
          <x:t>10 may. 2022</x:t>
        </x:is>
      </x:c>
      <x:c r="P171" s="3" t="inlineStr">
        <x:is>
          <x:t/>
        </x:is>
      </x:c>
      <x:c r="Q171" s="3" t="inlineStr">
        <x:is>
          <x:t/>
        </x:is>
      </x:c>
    </x:row>
    <x:row r="172">
      <x:c r="A172" s="10" t="inlineStr">
        <x:f xml:space="preserve">HYPERLINK("http://sipi.sic.gov.co/sipi/View.ashx?4115648","SD2022/0039160")</x:f>
      </x:c>
      <x:c r="B172" s="3" t="inlineStr">
        <x:is>
          <x:t>roús Product by INCES</x:t>
        </x:is>
      </x:c>
      <x:c r="C172" s="9" t="inlineStr">
        <x:is>
          <x:t/>
        </x:is>
      </x:c>
      <x:c r="D172" s="3" t="inlineStr">
        <x:is>
          <x:t>21 abr. 2022</x:t>
        </x:is>
      </x:c>
      <x:c r="E172" s="3" t="inlineStr">
        <x:is>
          <x:t/>
        </x:is>
      </x:c>
      <x:c r="F172" s="3" t="inlineStr">
        <x:is>
          <x:t>Negada</x:t>
        </x:is>
      </x:c>
      <x:c r="G172" s="3" t="inlineStr">
        <x:is>
          <x:t>Roús product by inces</x:t>
        </x:is>
      </x:c>
      <x:c r="H172" s="3" t="inlineStr">
        <x:is>
          <x:t>Mauricio Ocampo Gomez , Carrera 5 # 21a - 134, CARTAGO, VALLE DEL CAUCA, CO</x:t>
        </x:is>
      </x:c>
      <x:c r="I172" s="3" t="inlineStr">
        <x:is>
          <x:t>3</x:t>
        </x:is>
      </x:c>
      <x:c r="J172" s="3" t="inlineStr">
        <x:is>
          <x:t>11</x:t>
        </x:is>
      </x:c>
      <x:c r="K172" s="3" t="inlineStr">
        <x:is>
          <x:t>3. Barras de labios con protección solar [cosméticos]; cosméticos para el cabello; cosméticos para el cuero cabelludo; cosméticos para las cejas; cosméticos para los labios; cosméticos para pestañas; cosméticos para polveras; cosméticos para tratamiento de belleza cosméticos para el cuidado de belleza; cremas de limpieza [cosméticos]; cremas de limpieza [productos cosméticos]; cremas para la cara [cosméticos]; cremas reparadoras para la piel [cosméticos]; cremas, leches, lociones, geles y polvos cosméticos para la cara, el cuerpo y las manos; endurecedores de uñas [cosméticos]; esmaltes de base para las uñas [productos cosméticos]; hidratantes [cosméticos]; hidratantes faciales [cosméticos]; hidratantes para la piel utilizados como cosméticos; limpiadores cosméticos faciales; limpiadores de la piel [cosméticos]; limpiadores para pinceles cosméticos; lociones hidratantes [cosméticos]; lociones hidratantes para la piel [cosméticos]; maquillaje [cosméticos]; mascarillas faciales [productos cosméticos]; pañitos cosméticos prehumedecidos; tónicos cosméticos para el rostro; tónicos cosméticos para la cara; tónicos faciales [cosméticos]; champúes para el cabello; champús acondicionadores; champús capilares; champús para el cabello; champús para el cabello humano; champús y acondicionadores; champús y acondicionadores para el cabello; cremas cosméticas para el tratamiento de los labios; cremas no medicinales para el tratamiento del cuero cabelludo; preparaciones cosméticas no medicamentosas para tratamientos capilares; preparaciones cosméticas no medicinales para tratamientos capilares; preparaciones para el tratamiento de coloración permanente del cabello; preparaciones para el tratamiento de permanente de coloración del cabello; preparados para el tratamiento de coloración permanente del cabello; preparados para el tratamiento de permanente de coloración del cabello; tratamientos de alisado para el cabello; tratamientos de queratina para el cabello; cejas postizas; geles para el peinado de las cejas; geles para el teñido de las cejas;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lápices de cejas; neceseres de cosmética que comprenden principalmente máscara de pestañas, lápices de labios, lápices de cejas, maquillaje, fundación de maquillaje y brillos de labios; aclaradores de uñas; bases para esmaltes de uñas; brillos de uñas para aplicar sobre el esmalte; cremas para las uñas; cremas para las uñas de uso cosmético; endurecedores de uñas; esmaltes de uñas; esmaltes de uñas en gel; esmaltes de uñas para uso cosmético; esmaltes de uñas y quitaesmaltes; fortalecedores de uñas; lápices para aplicar el esmalte de uñas; preparaciones cosméticas para el cuidado de las uñas; preparaciones cosméticas para las uñas; preparaciones cosméticas para secar esmaltes de uñas; preparaciones para el cuidado de las uñas; preparaciones para pulir las uñas; preparaciones para retirar uñas de gel; preparaciones y productos para el cuidado de las uñas; productos de revestimiento para esculpir uñas; productos de revestimiento para esculpir uñas [productos cosméticos]; productos para ablandar las uñas; productos para el cuidado de las uñas; quitaesmalte para uñas [cosméticos]; quitaesmaltes de uñas [cosméticos]; reparadores de uñas; exfoliantes para las manos; exfoliantes para los pies; exfoliantes para la cara; hidratantes cosméticas para la cara; limpiadores para la cara; lociones cosméticas para la cara; maquillaje para la cara; mascarillas faciales para eliminar el exceso de sebo de la cara; mascarillas para la cara; tónicos faciales clarificantes; tónicos faciales revitalizantes; tónicos no medicinales para la piel; tónicos para la piel para uso cosmético; tónicos para uso cosmético; tónicos revitalizantes faciales; astringentes para uso cosmético; mascarillas cosméticas; mascarillas de belleza; mascarillas de belleza para el cabello; mascarillas de belleza para el contorno de los ojos; mascarillas faciales; mascarillas faciales cosméticas; mascarillas faciales de belleza; mascarillas faciales de limpieza profunda; mascarillas faciales limpiadoras; mascarillas faciales para limpiar los poros; mascarillas faciales para tonificar la piel; mascarillas faciales para uso cosmético; mascarillas hidratantes para la piel; mascarillas limpiadoras; mascarillas limpiadoras para faciales; mascarillas para el cabello; mascarillas para el cabello y el cuero cabelludo; mascarillas para el cuero cabelludo; mascarillas para el cuidado capilar; mascarillas para el cuidado del cabello; mascarillas para el cutis; mascarillas para el cutis [cosméticos]; barras de labios en stick con protección solar [cosméticos]; bloqueador solar [cosméticos]; cremas con filtro solar; cremas con filtro solar para uso cosmético; cremas de protección solar; cremas de protección solar para uso cosmético; lociones con filtro solar; lociones con filtro solar para uso cosmético; lociones con pantalla solar; lociones con pantalla solar para uso cosmético; lociones de protección solar; lociones de protección solar para uso cosmético; productos con pantalla solar; protectores solares para los labios; protectores solares para los labios [productos cosméticos]; agua oxigenada para el cabello; preparaciones cosméticas para pestañas; productos cosméticos para las pestañas; productos de limpieza para las pestañas; tintes de pestañas; tintes para pestañas; tintes de cejas; tintes para cejas; preparaciones no medicinales para masajes; preparaciones cosméticas de peluquería; cremas desmaquillantes; desmaquilladores; desmaquilladores de ojos; desmaquillantes de ojos; kits de maquillaje; kits de maquillaje que consisten principalmente en bases de maquillaje, rímeles, coloretes, brillos de labios y lápices de labios [sin incluir pinceles ni esponjas]; leches desmaquillantes; leches, geles, lociones y cremas desmaquillantes; lociones desmaquillantes; lápices de maquillaje; maquillaje para el rostro; maquillaje.
</x:t>
        </x:is>
      </x:c>
      <x:c r="L172" s="3" t="inlineStr">
        <x:is>
          <x:t>No</x:t>
        </x:is>
      </x:c>
      <x:c r="M172" s="3" t="inlineStr">
        <x:is>
          <x:t/>
        </x:is>
      </x:c>
      <x:c r="N172" s="3" t="inlineStr">
        <x:is>
          <x:t/>
        </x:is>
      </x:c>
      <x:c r="O172" s="3" t="inlineStr">
        <x:is>
          <x:t>08 jul. 2022</x:t>
        </x:is>
      </x:c>
      <x:c r="P172" s="3" t="inlineStr">
        <x:is>
          <x:t/>
        </x:is>
      </x:c>
      <x:c r="Q172" s="3" t="inlineStr">
        <x:is>
          <x:t/>
        </x:is>
      </x:c>
    </x:row>
    <x:row r="173">
      <x:c r="A173" s="10" t="inlineStr">
        <x:f xml:space="preserve">HYPERLINK("http://sipi.sic.gov.co/sipi/View.ashx?4115824","SD2022/0035035")</x:f>
      </x:c>
      <x:c r="B173" s="3" t="inlineStr">
        <x:is>
          <x:t>EHLALA EYEBROWS &amp; EYELASHES</x:t>
        </x:is>
      </x:c>
      <x:c r="C173" s="9" t="inlineStr">
        <x:is>
          <x:t/>
        </x:is>
      </x:c>
      <x:c r="D173" s="3" t="inlineStr">
        <x:is>
          <x:t>08 abr. 2022</x:t>
        </x:is>
      </x:c>
      <x:c r="E173" s="3" t="inlineStr">
        <x:is>
          <x:t/>
        </x:is>
      </x:c>
      <x:c r="F173" s="3" t="inlineStr">
        <x:is>
          <x:t>Negada</x:t>
        </x:is>
      </x:c>
      <x:c r="G173" s="3" t="inlineStr">
        <x:is>
          <x:t/>
        </x:is>
      </x:c>
      <x:c r="H173" s="3" t="inlineStr">
        <x:is>
          <x:t>Valentina  Gomez Trujillo, Carrera 39 # 77 sur 84, Maderos del Campo 3 apto 1103, SABANETA, ANTIOQUIA, CO</x:t>
        </x:is>
      </x:c>
      <x:c r="I173" s="3" t="inlineStr">
        <x:is>
          <x:t>3</x:t>
        </x:is>
      </x:c>
      <x:c r="J173" s="3" t="inlineStr">
        <x:is>
          <x:t>11</x:t>
        </x:is>
      </x:c>
      <x:c r="K173" s="3" t="inlineStr">
        <x:is>
          <x:t>3. Cosméticos para las cejas; cosméticos para pestañas; preparaciones cosméticas para pestañas; productos cosméticos para las pestañas; cosméticos para cuidados corporales y estéticos; cosméticos para tratamiento de belleza cosméticos para el cuidado de belleza; cosméticos y preparaciones de cuidado personal.
</x:t>
        </x:is>
      </x:c>
      <x:c r="L173" s="3" t="inlineStr">
        <x:is>
          <x:t>No</x:t>
        </x:is>
      </x:c>
      <x:c r="M173" s="3" t="inlineStr">
        <x:is>
          <x:t/>
        </x:is>
      </x:c>
      <x:c r="N173" s="3" t="inlineStr">
        <x:is>
          <x:t/>
        </x:is>
      </x:c>
      <x:c r="O173" s="3" t="inlineStr">
        <x:is>
          <x:t>20 may. 2022</x:t>
        </x:is>
      </x:c>
      <x:c r="P173" s="3" t="inlineStr">
        <x:is>
          <x:t/>
        </x:is>
      </x:c>
      <x:c r="Q173" s="3" t="inlineStr">
        <x:is>
          <x:t/>
        </x:is>
      </x:c>
    </x:row>
    <x:row r="174">
      <x:c r="A174" s="10" t="inlineStr">
        <x:f xml:space="preserve">HYPERLINK("http://sipi.sic.gov.co/sipi/View.ashx?4116889","SD2022/0035206")</x:f>
      </x:c>
      <x:c r="B174" s="3" t="inlineStr">
        <x:is>
          <x:t>D'Tierra NATURAL ARTESANAL</x:t>
        </x:is>
      </x:c>
      <x:c r="C174" s="9" t="inlineStr">
        <x:is>
          <x:t/>
        </x:is>
      </x:c>
      <x:c r="D174" s="3" t="inlineStr">
        <x:is>
          <x:t>21 abr. 2022</x:t>
        </x:is>
      </x:c>
      <x:c r="E174" s="3" t="inlineStr">
        <x:is>
          <x:t/>
        </x:is>
      </x:c>
      <x:c r="F174" s="3" t="inlineStr">
        <x:is>
          <x:t>Negada</x:t>
        </x:is>
      </x:c>
      <x:c r="G174" s="3" t="inlineStr">
        <x:is>
          <x:t/>
        </x:is>
      </x:c>
      <x:c r="H174" s="3" t="inlineStr">
        <x:is>
          <x:t>EVA NATHALIE LOZANO GARCIA, CRA. 14 C. N° 10 - 08 CHIA, CHIA, CUNDINAMARCA, CO</x:t>
        </x:is>
      </x:c>
      <x:c r="I174" s="3" t="inlineStr">
        <x:is>
          <x:t>3, 5</x:t>
        </x:is>
      </x:c>
      <x:c r="J174" s="3" t="inlineStr">
        <x:is>
          <x:t>11</x:t>
        </x:is>
      </x:c>
      <x:c r="K17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174" s="3" t="inlineStr">
        <x:is>
          <x:t>No</x:t>
        </x:is>
      </x:c>
      <x:c r="M174" s="3" t="inlineStr">
        <x:is>
          <x:t/>
        </x:is>
      </x:c>
      <x:c r="N174" s="3" t="inlineStr">
        <x:is>
          <x:t/>
        </x:is>
      </x:c>
      <x:c r="O174" s="3" t="inlineStr">
        <x:is>
          <x:t>09 ago. 2022</x:t>
        </x:is>
      </x:c>
      <x:c r="P174" s="3" t="inlineStr">
        <x:is>
          <x:t/>
        </x:is>
      </x:c>
      <x:c r="Q174" s="3" t="inlineStr">
        <x:is>
          <x:t/>
        </x:is>
      </x:c>
    </x:row>
    <x:row r="175">
      <x:c r="A175" s="10" t="inlineStr">
        <x:f xml:space="preserve">HYPERLINK("http://sipi.sic.gov.co/sipi/View.ashx?4117228","SD2022/0035305")</x:f>
      </x:c>
      <x:c r="B175" s="3" t="inlineStr">
        <x:is>
          <x:t>48 HORAS PREVENCIÓN CONTRA BACTERIAS</x:t>
        </x:is>
      </x:c>
      <x:c r="C175" s="9" t="inlineStr">
        <x:is>
          <x:t/>
        </x:is>
      </x:c>
      <x:c r="D175" s="3" t="inlineStr">
        <x:is>
          <x:t>11 abr. 2022</x:t>
        </x:is>
      </x:c>
      <x:c r="E175" s="3" t="inlineStr">
        <x:is>
          <x:t/>
        </x:is>
      </x:c>
      <x:c r="F175" s="3" t="inlineStr">
        <x:is>
          <x:t>Negada</x:t>
        </x:is>
      </x:c>
      <x:c r="G175" s="3" t="inlineStr">
        <x:is>
          <x:t>151954</x:t>
        </x:is>
      </x:c>
      <x:c r="H175" s="3" t="inlineStr">
        <x:is>
          <x:t> THE CLOROX COMPANY, 1221 BROADWAY, OAKLAND, CALIFORNIA 94612, U.S.A., OAKLAND, CALIFORNIA, US</x:t>
        </x:is>
      </x:c>
      <x:c r="I175" s="3" t="inlineStr">
        <x:is>
          <x:t>3, 5</x:t>
        </x:is>
      </x:c>
      <x:c r="J175" s="3" t="inlineStr">
        <x:is>
          <x:t>11</x:t>
        </x:is>
      </x:c>
      <x:c r="K175" s="3" t="inlineStr">
        <x:is>
          <x:t>3. Preparaciones para blanquear y otras sustancias para lavar la ropa; preparaciones para limpiar y desengrasar de uso doméstico; preparaciones blanqueadoras para uso doméstico; preparaciones para desatascar desagües; quitamanchas; toallitas impregnadas de preparaciones de limpieza para uso doméstico.
5. Desinfectantes, germicidas y bactericidas de uso doméstico; desodorantes de ambientes; desinfectantes de ambientes en aerosol; preparaciones anti-moho para uso doméstico; toallitas impregnadas de preparaciones desinfectantes, germicidas, antibacterianas de uso doméstico.
</x:t>
        </x:is>
      </x:c>
      <x:c r="L175" s="3" t="inlineStr">
        <x:is>
          <x:t>No</x:t>
        </x:is>
      </x:c>
      <x:c r="M175" s="3" t="inlineStr">
        <x:is>
          <x:t>JUAN PABLO CADENA SARMIENTO, CALLE 70A No. 4-41 PISO 4, BOGOTÁ, D.C., CO</x:t>
        </x:is>
      </x:c>
      <x:c r="N175" s="3" t="inlineStr">
        <x:is>
          <x:t/>
        </x:is>
      </x:c>
      <x:c r="O175" s="3" t="inlineStr">
        <x:is>
          <x:t>31 may. 2022</x:t>
        </x:is>
      </x:c>
      <x:c r="P175" s="3" t="inlineStr">
        <x:is>
          <x:t/>
        </x:is>
      </x:c>
      <x:c r="Q175" s="3" t="inlineStr">
        <x:is>
          <x:t/>
        </x:is>
      </x:c>
    </x:row>
    <x:row r="176">
      <x:c r="A176" s="10" t="inlineStr">
        <x:f xml:space="preserve">HYPERLINK("http://sipi.sic.gov.co/sipi/View.ashx?4117236","SD2022/0035311")</x:f>
      </x:c>
      <x:c r="B176" s="3" t="inlineStr">
        <x:is>
          <x:t>48 HORAS PREVENCIÓN CONTRA BACTERIAS</x:t>
        </x:is>
      </x:c>
      <x:c r="C176" s="9" t="inlineStr">
        <x:is>
          <x:t/>
        </x:is>
      </x:c>
      <x:c r="D176" s="3" t="inlineStr">
        <x:is>
          <x:t>11 abr. 2022</x:t>
        </x:is>
      </x:c>
      <x:c r="E176" s="3" t="inlineStr">
        <x:is>
          <x:t/>
        </x:is>
      </x:c>
      <x:c r="F176" s="3" t="inlineStr">
        <x:is>
          <x:t>Negada</x:t>
        </x:is>
      </x:c>
      <x:c r="G176" s="3" t="inlineStr">
        <x:is>
          <x:t>151955</x:t>
        </x:is>
      </x:c>
      <x:c r="H176" s="3" t="inlineStr">
        <x:is>
          <x:t> THE CLOROX COMPANY, 1221 BROADWAY, OAKLAND, CALIFORNIA 94612, U.S.A., OAKLAND, CALIFORNIA, US</x:t>
        </x:is>
      </x:c>
      <x:c r="I176" s="3" t="inlineStr">
        <x:is>
          <x:t>3, 5</x:t>
        </x:is>
      </x:c>
      <x:c r="J176" s="3" t="inlineStr">
        <x:is>
          <x:t>11</x:t>
        </x:is>
      </x:c>
      <x:c r="K176" s="3" t="inlineStr">
        <x:is>
          <x:t>3. Preparaciones para blanquear y otras sustancias para lavar la ropa; preparaciones para limpiar y desengrasar de uso doméstico; preparaciones blanqueadoras para uso doméstico; preparaciones para desatascar desagües; quitamanchas; toallitas impregnadas de preparaciones de limpieza para uso doméstico.
5. Desinfectantes, germicidas y bactericidas de uso doméstico; desodorantes de ambientes; desinfectantes de ambientes en aerosol; preparaciones anti-moho para uso doméstico; toallitas impregnadas de preparaciones desinfectantes, germicidas, antibacterianas de uso doméstico.
</x:t>
        </x:is>
      </x:c>
      <x:c r="L176" s="3" t="inlineStr">
        <x:is>
          <x:t>No</x:t>
        </x:is>
      </x:c>
      <x:c r="M176" s="3" t="inlineStr">
        <x:is>
          <x:t>JUAN PABLO CADENA SARMIENTO, CALLE 70A No. 4-41 PISO 4, BOGOTÁ, D.C., CO</x:t>
        </x:is>
      </x:c>
      <x:c r="N176" s="3" t="inlineStr">
        <x:is>
          <x:t/>
        </x:is>
      </x:c>
      <x:c r="O176" s="3" t="inlineStr">
        <x:is>
          <x:t>31 may. 2022</x:t>
        </x:is>
      </x:c>
      <x:c r="P176" s="3" t="inlineStr">
        <x:is>
          <x:t/>
        </x:is>
      </x:c>
      <x:c r="Q176" s="3" t="inlineStr">
        <x:is>
          <x:t/>
        </x:is>
      </x:c>
    </x:row>
    <x:row r="177">
      <x:c r="A177" s="10" t="inlineStr">
        <x:f xml:space="preserve">HYPERLINK("http://sipi.sic.gov.co/sipi/View.ashx?4119104","SD2022/0037528")</x:f>
      </x:c>
      <x:c r="B177" s="3" t="inlineStr">
        <x:is>
          <x:t>MONTERROSA</x:t>
        </x:is>
      </x:c>
      <x:c r="C177" s="9" t="inlineStr">
        <x:is>
          <x:t/>
        </x:is>
      </x:c>
      <x:c r="D177" s="3" t="inlineStr">
        <x:is>
          <x:t>19 abr. 2022</x:t>
        </x:is>
      </x:c>
      <x:c r="E177" s="3" t="inlineStr">
        <x:is>
          <x:t/>
        </x:is>
      </x:c>
      <x:c r="F177" s="3" t="inlineStr">
        <x:is>
          <x:t>Negada</x:t>
        </x:is>
      </x:c>
      <x:c r="G177" s="3" t="inlineStr">
        <x:is>
          <x:t>Monterrosa</x:t>
        </x:is>
      </x:c>
      <x:c r="H177" s="3" t="inlineStr">
        <x:is>
          <x:t>Laura Monterrosa, Carrera 38 #54-34, Apto 502, barrio boston, MEDELLIN, ANTIOQUIA 050013, CO</x:t>
        </x:is>
      </x:c>
      <x:c r="I177" s="3" t="inlineStr">
        <x:is>
          <x:t>3</x:t>
        </x:is>
      </x:c>
      <x:c r="J177" s="3" t="inlineStr">
        <x:is>
          <x:t>11</x:t>
        </x:is>
      </x:c>
      <x:c r="K177" s="3" t="inlineStr">
        <x:is>
          <x:t>3. Aceites esenciales para aromaterapia; aceites para uso cosmético; acondicionadores para el cabello; adhesivos [pegamentos] para uso cosmético; aguas perfumadas; aguas de tocador; agua micelar; agua de Colonia; algodón para uso cosmético; apósitos para la reparación de uñas; aromas [aceites esenciales]; aromatizantes alimentarios [aceites esenciales]; aromatizantes de pastelería [aceites esenciales]; aromatizantes para bebidas [aceites esenciales]; astringentes para uso cosmético; bálsamos que no sean para uso médico; basma [tinte para uso cosmético]; bastoncillos de algodón para uso cosmético; brillos de labios; cera depilatoria; cera para el bigote; champús; champús en seco; champús para animales de compañía [preparaciones higiénicas no medicinales]; champús para animales [preparaciones higiénicas no medicinales]; colorantes de tocador; colorantes para el cabello; cosméticos; cosméticos para animales; cosméticos para las cejas; cosméticos para pestañas; crema para aclarar la piel; cremas a base de aceites esenciales para aromaterapia; cremas cosméticas; decolorantes para uso cosmético; dentífricos; desmaquilladores; desodorantes para animales de compañía; desodorantes para personas o animales [productos de perfumería]; diamantina [abrasivo]; difusores de perfumes de ambiente con varillas; duchas vaginales para la higiene íntima o en cuanto desodorantes; enjuagues bucales que no sean para uso médico; esencias etéreas; esmaltes de uñas; estuches para pintalabios; extractos de flores [productos de perfumería]; extractos de plantas para uso cosmético; geles blanqueadores para uso dental; geles de masaje que no sean para uso médico; incienso; jabones; jabones antitranspirantes; jabones antitranspirantes para los pies; jabones desodorantes; lacas para el cabello; lápices de cejas; lápices de labios [pintalabios]; lápices para uso cosmético; leches limpiadoras de tocador; lociones para uso cosmético; maquillaje; mascarillas de belleza; máscara de pestañas; mascarillas de hoja para uso cosmético; mascarillas desechables calentadas con vapor, que no sean para uso médico; motivos decorativos para uso cosmético; neceseres de cosmética; parches de gel para los ojos de uso cosmético; pastas de dientes; perfumes; pegatinas decorativas para uñas; pestañas postizas; pintura corporal para uso cosmético; polvos de maquillaje; pomadas para uso cosmético; popurrís aromáticos; preparaciones blanqueadoras [decolorantes] para uso doméstico; preparaciones con filtro solar; preparaciones cosméticas adelgazantes; preparaciones cosméticas para el baño; preparaciones cosméticas para el bronceado de la piel; preparaciones de aloe vera para uso cosmético; preparaciones de colágeno para uso cosmético; preparaciones de higiene íntima para uso sanitario o utilizadas como desodorantes; preparaciones de higiene personal para refrescar el aliento; preparaciones de tocador; preparaciones fito-cosméticas; preparaciones limpiadoras no medicinales para la higiene íntima; preparaciones para alisar el cabello; preparaciones para el baño que no sean para uso médico; preparaciones para ondular el cabello; productos antitranspirantes [artículos de tocador]; productos cosméticos para el cuidado de la piel; productos de maquillaje; productos de perfumería; productos depilatorios; productos para dar brillo; productos para el cuidado de las uñas; purpurina corporal; purpurina para las uñas; quitaesmaltes; tintes cosméticos; toallitas impregnadas de lociones cosméticas; toallitas impregnadas de preparaciones desmaquillantes; toallitas para bebés impregnadas de preparaciones de limpieza; tónicos para uso cosmético; velas de masaje para uso cosmético; uñas postizas; varillas de incienso; aceites para el cabello; acondicionadores de cabello; cera para el cabello; bálsamos para el cabello; brillantina para el cabello; champúes para el cabello; champús para el cabello; ceras para el cabello; cosméticos para el cabello; cremas para el cabello; enjuagues para el cabello; espumas para el cabello; fijadores para el cabello; geles para el cabello; geles para uso en el cabello; hidratantes para el cabello; cremas de protección para el cabello; aceites esenciales a base de cáñamo; aceites de cáñamo a base de CBD para uso cosmético; aceites de ducha a base de cáñamo; esencia de cáñamo [aceite esencial].
</x:t>
        </x:is>
      </x:c>
      <x:c r="L177" s="3" t="inlineStr">
        <x:is>
          <x:t>Sí</x:t>
        </x:is>
      </x:c>
      <x:c r="M177" s="3" t="inlineStr">
        <x:is>
          <x:t/>
        </x:is>
      </x:c>
      <x:c r="N177" s="3" t="inlineStr">
        <x:is>
          <x:t/>
        </x:is>
      </x:c>
      <x:c r="O177" s="3" t="inlineStr">
        <x:is>
          <x:t>10 jun. 2022</x:t>
        </x:is>
      </x:c>
      <x:c r="P177" s="3" t="inlineStr">
        <x:is>
          <x:t/>
        </x:is>
      </x:c>
      <x:c r="Q177" s="3" t="inlineStr">
        <x:is>
          <x:t/>
        </x:is>
      </x:c>
    </x:row>
    <x:row r="178">
      <x:c r="A178" s="10" t="inlineStr">
        <x:f xml:space="preserve">HYPERLINK("http://sipi.sic.gov.co/sipi/View.ashx?4122676","SD2022/0036538")</x:f>
      </x:c>
      <x:c r="B178" s="3" t="inlineStr">
        <x:is>
          <x:t>Oasis del Alma</x:t>
        </x:is>
      </x:c>
      <x:c r="C178" s="9" t="inlineStr">
        <x:is>
          <x:t/>
        </x:is>
      </x:c>
      <x:c r="D178" s="3" t="inlineStr">
        <x:is>
          <x:t>13 abr. 2022</x:t>
        </x:is>
      </x:c>
      <x:c r="E178" s="3" t="inlineStr">
        <x:is>
          <x:t/>
        </x:is>
      </x:c>
      <x:c r="F178" s="3" t="inlineStr">
        <x:is>
          <x:t>Negada</x:t>
        </x:is>
      </x:c>
      <x:c r="G178" s="3" t="inlineStr">
        <x:is>
          <x:t>Oasis del alma</x:t>
        </x:is>
      </x:c>
      <x:c r="H178" s="3" t="inlineStr">
        <x:is>
          <x:t>Natalia González Solanillas, Cra 35a # 11b Oeste -288 Cristallo Towers, CALI, VALLE DEL CAUCA, CO</x:t>
        </x:is>
      </x:c>
      <x:c r="I178" s="3" t="inlineStr">
        <x:is>
          <x:t>3</x:t>
        </x:is>
      </x:c>
      <x:c r="J178" s="3" t="inlineStr">
        <x:is>
          <x:t>11</x:t>
        </x:is>
      </x:c>
      <x:c r="K17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178" s="3" t="inlineStr">
        <x:is>
          <x:t>No</x:t>
        </x:is>
      </x:c>
      <x:c r="M178" s="3" t="inlineStr">
        <x:is>
          <x:t/>
        </x:is>
      </x:c>
      <x:c r="N178" s="3" t="inlineStr">
        <x:is>
          <x:t/>
        </x:is>
      </x:c>
      <x:c r="O178" s="3" t="inlineStr">
        <x:is>
          <x:t>21 jun. 2022</x:t>
        </x:is>
      </x:c>
      <x:c r="P178" s="3" t="inlineStr">
        <x:is>
          <x:t/>
        </x:is>
      </x:c>
      <x:c r="Q178" s="3" t="inlineStr">
        <x:is>
          <x:t/>
        </x:is>
      </x:c>
    </x:row>
    <x:row r="179">
      <x:c r="A179" s="10" t="inlineStr">
        <x:f xml:space="preserve">HYPERLINK("http://sipi.sic.gov.co/sipi/View.ashx?4124070","SD2022/0036844")</x:f>
      </x:c>
      <x:c r="B179" s="3" t="inlineStr">
        <x:is>
          <x:t>CANAS COVER</x:t>
        </x:is>
      </x:c>
      <x:c r="C179" s="9" t="inlineStr">
        <x:is>
          <x:t/>
        </x:is>
      </x:c>
      <x:c r="D179" s="3" t="inlineStr">
        <x:is>
          <x:t>17 abr. 2022</x:t>
        </x:is>
      </x:c>
      <x:c r="E179" s="3" t="inlineStr">
        <x:is>
          <x:t/>
        </x:is>
      </x:c>
      <x:c r="F179" s="3" t="inlineStr">
        <x:is>
          <x:t>Negada</x:t>
        </x:is>
      </x:c>
      <x:c r="G179" s="3" t="inlineStr">
        <x:is>
          <x:t>CANASCOVER</x:t>
        </x:is>
      </x:c>
      <x:c r="H179" s="3" t="inlineStr">
        <x:is>
          <x:t>SEBASTIAN RINCON GIRALDO, CRA 44 #67 SUR 62, SABANETA, ANTIOQUIA 055450, CO</x:t>
        </x:is>
      </x:c>
      <x:c r="I179" s="3" t="inlineStr">
        <x:is>
          <x:t>3</x:t>
        </x:is>
      </x:c>
      <x:c r="J179" s="3" t="inlineStr">
        <x:is>
          <x:t>11</x:t>
        </x:is>
      </x:c>
      <x:c r="K179" s="3" t="inlineStr">
        <x:is>
          <x:t>3. Colorantes para el cabello; decolorantes capilares; lociones colorantes para el cabello; preparaciones cosméticas colorantes; tintes y decolorantes para el cabello; abrillantadores capilares; champús capilares; cremas capilares; cremas de protección capilar, no medicinales; fijadores capilares; geles capilares; lociones capilares cosméticas; mascarillas para el cuidado capilar; preparaciones de tintes capilares; agua micelar de limpieza; espuma de limpieza; preparaciones para la limpieza del cabello.
</x:t>
        </x:is>
      </x:c>
      <x:c r="L179" s="3" t="inlineStr">
        <x:is>
          <x:t>No</x:t>
        </x:is>
      </x:c>
      <x:c r="M179" s="3" t="inlineStr">
        <x:is>
          <x:t/>
        </x:is>
      </x:c>
      <x:c r="N179" s="3" t="inlineStr">
        <x:is>
          <x:t/>
        </x:is>
      </x:c>
      <x:c r="O179" s="3" t="inlineStr">
        <x:is>
          <x:t>10 may. 2022</x:t>
        </x:is>
      </x:c>
      <x:c r="P179" s="3" t="inlineStr">
        <x:is>
          <x:t/>
        </x:is>
      </x:c>
      <x:c r="Q179" s="3" t="inlineStr">
        <x:is>
          <x:t/>
        </x:is>
      </x:c>
    </x:row>
    <x:row r="180">
      <x:c r="A180" s="10" t="inlineStr">
        <x:f xml:space="preserve">HYPERLINK("http://sipi.sic.gov.co/sipi/View.ashx?4124503","SD2022/0039671")</x:f>
      </x:c>
      <x:c r="B180" s="3" t="inlineStr">
        <x:is>
          <x:t>Kerastania</x:t>
        </x:is>
      </x:c>
      <x:c r="C180" s="9" t="inlineStr">
        <x:is>
          <x:t/>
        </x:is>
      </x:c>
      <x:c r="D180" s="3" t="inlineStr">
        <x:is>
          <x:t>22 abr. 2022</x:t>
        </x:is>
      </x:c>
      <x:c r="E180" s="3" t="inlineStr">
        <x:is>
          <x:t/>
        </x:is>
      </x:c>
      <x:c r="F180" s="3" t="inlineStr">
        <x:is>
          <x:t>Negada</x:t>
        </x:is>
      </x:c>
      <x:c r="G180" s="3" t="inlineStr">
        <x:is>
          <x:t>Kerastania</x:t>
        </x:is>
      </x:c>
      <x:c r="H180" s="3" t="inlineStr">
        <x:is>
          <x:t>Camila  Marin Roman, Torre empresarial DAVIVIENDA- Carrera 43A # 1 SUR 188, Oficina 805, MEDELLIN, ANTIOQUIA, CO</x:t>
        </x:is>
      </x:c>
      <x:c r="I180" s="3" t="inlineStr">
        <x:is>
          <x:t>3</x:t>
        </x:is>
      </x:c>
      <x:c r="J180" s="3" t="inlineStr">
        <x:is>
          <x:t>11</x:t>
        </x:is>
      </x:c>
      <x:c r="K180" s="3" t="inlineStr">
        <x:is>
          <x:t>3. Mascarillas para el cuidado del cabello; preparaciones cosméticas para el cuidado del cabello; preparaciones para alisar el cabello; preparaciones para el cuidado del cabello; preparaciones para el cuidado del cuero cabelludo y del cabello; preparaciónes nutritiva para el cabello; productos hidratantes para el cabello; tratamientos de alisado para el cabello; tratamientos de permanente para el cabello; tratamientos de queratina para el cabello.
</x:t>
        </x:is>
      </x:c>
      <x:c r="L180" s="3" t="inlineStr">
        <x:is>
          <x:t>No</x:t>
        </x:is>
      </x:c>
      <x:c r="M180" s="3" t="inlineStr">
        <x:is>
          <x:t>Clara Ines Velez Escobar, Carrera 42 # 3 sur 81, MEDELLIN, ANTIOQUIA 050021, CO</x:t>
        </x:is>
      </x:c>
      <x:c r="N180" s="3" t="inlineStr">
        <x:is>
          <x:t/>
        </x:is>
      </x:c>
      <x:c r="O180" s="3" t="inlineStr">
        <x:is>
          <x:t>30 jun. 2022</x:t>
        </x:is>
      </x:c>
      <x:c r="P180" s="3" t="inlineStr">
        <x:is>
          <x:t/>
        </x:is>
      </x:c>
      <x:c r="Q180" s="3" t="inlineStr">
        <x:is>
          <x:t/>
        </x:is>
      </x:c>
    </x:row>
    <x:row r="181">
      <x:c r="A181" s="10" t="inlineStr">
        <x:f xml:space="preserve">HYPERLINK("http://sipi.sic.gov.co/sipi/View.ashx?4126011","SD2022/0037349")</x:f>
      </x:c>
      <x:c r="B181" s="3" t="inlineStr">
        <x:is>
          <x:t>Green Extracts</x:t>
        </x:is>
      </x:c>
      <x:c r="C181" s="3" t="inlineStr">
        <x:is>
          <x:t/>
        </x:is>
      </x:c>
      <x:c r="D181" s="3" t="inlineStr">
        <x:is>
          <x:t>18 abr. 2022</x:t>
        </x:is>
      </x:c>
      <x:c r="E181" s="3" t="inlineStr">
        <x:is>
          <x:t/>
        </x:is>
      </x:c>
      <x:c r="F181" s="3" t="inlineStr">
        <x:is>
          <x:t>Negada</x:t>
        </x:is>
      </x:c>
      <x:c r="G181" s="3" t="inlineStr">
        <x:is>
          <x:t>M00093</x:t>
        </x:is>
      </x:c>
      <x:c r="H181" s="3" t="inlineStr">
        <x:is>
          <x:t> MARIA JUANA GARDENS S.A.S., CALLE 19 NO. 21 - 55, LA CEJA, ANTIOQUIA, CO</x:t>
        </x:is>
      </x:c>
      <x:c r="I181" s="3" t="inlineStr">
        <x:is>
          <x:t>3</x:t>
        </x:is>
      </x:c>
      <x:c r="J181" s="3" t="inlineStr">
        <x:is>
          <x:t>11</x:t>
        </x:is>
      </x:c>
      <x:c r="K181" s="3" t="inlineStr">
        <x:is>
          <x:t>3. Productos cosméticos; productos cosméticos de CBD; aceites de cáñamo a base de CBD para uso cosmético; preparaciones para el cuidado de la piel a base de CBD; preparados para el cuidado de la piel a base de CBD; productos cosméticos a base de plantas y extractos de plantas; aceites a base de plantas y extractos de plantas; preparaciones para la piel a base de plantas y extractos de plantas.
</x:t>
        </x:is>
      </x:c>
      <x:c r="L181" s="3" t="inlineStr">
        <x:is>
          <x:t>No</x:t>
        </x:is>
      </x:c>
      <x:c r="M181" s="3" t="inlineStr">
        <x:is>
          <x:t>MARIA CAMILA CORREA MARQUEZ , Alto de las Palmas Km. 17 Mall Indina Oficina 272 , ENVIGADO, ANTIOQUIA, CO</x:t>
        </x:is>
      </x:c>
      <x:c r="N181" s="3" t="inlineStr">
        <x:is>
          <x:t/>
        </x:is>
      </x:c>
      <x:c r="O181" s="3" t="inlineStr">
        <x:is>
          <x:t>10 jun. 2022</x:t>
        </x:is>
      </x:c>
      <x:c r="P181" s="3" t="inlineStr">
        <x:is>
          <x:t/>
        </x:is>
      </x:c>
      <x:c r="Q181" s="3" t="inlineStr">
        <x:is>
          <x:t/>
        </x:is>
      </x:c>
    </x:row>
    <x:row r="182">
      <x:c r="A182" s="10" t="inlineStr">
        <x:f xml:space="preserve">HYPERLINK("http://sipi.sic.gov.co/sipi/View.ashx?4128184","SD2022/0039927")</x:f>
      </x:c>
      <x:c r="B182" s="3" t="inlineStr">
        <x:is>
          <x:t>BAE VETERINARY</x:t>
        </x:is>
      </x:c>
      <x:c r="C182" s="9" t="inlineStr">
        <x:is>
          <x:t/>
        </x:is>
      </x:c>
      <x:c r="D182" s="3" t="inlineStr">
        <x:is>
          <x:t>25 abr. 2022</x:t>
        </x:is>
      </x:c>
      <x:c r="E182" s="3" t="inlineStr">
        <x:is>
          <x:t/>
        </x:is>
      </x:c>
      <x:c r="F182" s="3" t="inlineStr">
        <x:is>
          <x:t>Negada</x:t>
        </x:is>
      </x:c>
      <x:c r="G182" s="3" t="inlineStr">
        <x:is>
          <x:t>BAE VETERINARY</x:t>
        </x:is>
      </x:c>
      <x:c r="H182" s="3" t="inlineStr">
        <x:is>
          <x:t> BAE VETERINARY SAS, CR 18 42 00, NEIVA, HUILA, CO</x:t>
        </x:is>
      </x:c>
      <x:c r="I182" s="3" t="inlineStr">
        <x:is>
          <x:t>3</x:t>
        </x:is>
      </x:c>
      <x:c r="J182" s="3" t="inlineStr">
        <x:is>
          <x:t>11</x:t>
        </x:is>
      </x:c>
      <x:c r="K182" s="3" t="inlineStr">
        <x:is>
          <x:t>3. Cosméticos para animales.
</x:t>
        </x:is>
      </x:c>
      <x:c r="L182" s="3" t="inlineStr">
        <x:is>
          <x:t>No</x:t>
        </x:is>
      </x:c>
      <x:c r="M182" s="3" t="inlineStr">
        <x:is>
          <x:t>ANDRÉS FELIPE ROMERO SILVA, Carrera 18 42 00, NEIVA, HUILA, CO</x:t>
        </x:is>
      </x:c>
      <x:c r="N182" s="3" t="inlineStr">
        <x:is>
          <x:t/>
        </x:is>
      </x:c>
      <x:c r="O182" s="3" t="inlineStr">
        <x:is>
          <x:t>29 abr. 2022</x:t>
        </x:is>
      </x:c>
      <x:c r="P182" s="3" t="inlineStr">
        <x:is>
          <x:t/>
        </x:is>
      </x:c>
      <x:c r="Q182" s="3" t="inlineStr">
        <x:is>
          <x:t/>
        </x:is>
      </x:c>
    </x:row>
    <x:row r="183">
      <x:c r="A183" s="10" t="inlineStr">
        <x:f xml:space="preserve">HYPERLINK("http://sipi.sic.gov.co/sipi/View.ashx?4129216","SD2022/0038453")</x:f>
      </x:c>
      <x:c r="B183" s="3" t="inlineStr">
        <x:is>
          <x:t>PUREDERM</x:t>
        </x:is>
      </x:c>
      <x:c r="C183" s="9" t="inlineStr">
        <x:is>
          <x:t/>
        </x:is>
      </x:c>
      <x:c r="D183" s="3" t="inlineStr">
        <x:is>
          <x:t>20 abr. 2022</x:t>
        </x:is>
      </x:c>
      <x:c r="E183" s="3" t="inlineStr">
        <x:is>
          <x:t/>
        </x:is>
      </x:c>
      <x:c r="F183" s="3" t="inlineStr">
        <x:is>
          <x:t>Negada</x:t>
        </x:is>
      </x:c>
      <x:c r="G183" s="3" t="inlineStr">
        <x:is>
          <x:t>Proceso de Registro de Marca PUREDERM</x:t>
        </x:is>
      </x:c>
      <x:c r="H183" s="3" t="inlineStr">
        <x:is>
          <x:t>DUVAN ALEXANDER GIRALDO GÓMEZ, CARRERA 53 # 45-50 PISO 11. BODEGA 1109, MEDELLIN, ANTIOQUIA, CO</x:t>
        </x:is>
      </x:c>
      <x:c r="I183" s="3" t="inlineStr">
        <x:is>
          <x:t>3</x:t>
        </x:is>
      </x:c>
      <x:c r="J183" s="3" t="inlineStr">
        <x:is>
          <x:t>11</x:t>
        </x:is>
      </x:c>
      <x:c r="K183" s="3" t="inlineStr">
        <x:is>
          <x:t>3. Aceites destilados para el cuidado de belleza; aceites perfumados para el cuidado de la piel; baños de aceite para el cuidado del cabello; baños de aceite para el cuidado del cabello de uso cosmético; ceras para el cuidado del cabello; ceras para el cuidado del pelo; cosméticos para cuidados corporales y estéticos; cosméticos para el cuidado del cuerpo; cosméticos para tratamiento de belleza cosméticos para el cuidado de belleza; cosméticos y preparaciones de cuidado personal; espumas para el cuidado de la piel; jabones para el cuidado del cuerpo; mascarillas para el cuidado de la piel de las manos; parches que contienen preparaciones no medicinales para el cuidado de la pie; preparaciones antiarrugas para el cuidado de la piel; preparaciones cosméticas de cuidado facial; preparaciones cosméticas para el cuidado de la piel; preparaciones cosméticas para el cuidado y el tratamiento de la piel; preparaciones de cuidado corporal no medicinales; preparaciones para cuidados corporales y de belleza; preparaciones para el cuidado de la piel; preparaciones para el cuidado del cabello; productos no medicinales para el cuidado de la piel; productos para el cuidado de la piel, no medicinales; productos para el cuidado de las uñas; productos y preparaciones cosméticos para el cuidado de la piel; productos y preparaciones para el cuidado del cabello; souflés corporal en cuanto preparaciones perfumadas para el cuidado del cuerpo.
</x:t>
        </x:is>
      </x:c>
      <x:c r="L183" s="3" t="inlineStr">
        <x:is>
          <x:t>No</x:t>
        </x:is>
      </x:c>
      <x:c r="M183" s="3" t="inlineStr">
        <x:is>
          <x:t>RODRIGO  VANEGAS GAVIRIA, CALLE 52 # 47-28 OF.329, MEDELLIN, ANTIOQUIA 050001, CO</x:t>
        </x:is>
      </x:c>
      <x:c r="N183" s="3" t="inlineStr">
        <x:is>
          <x:t/>
        </x:is>
      </x:c>
      <x:c r="O183" s="3" t="inlineStr">
        <x:is>
          <x:t>10 jun. 2022</x:t>
        </x:is>
      </x:c>
      <x:c r="P183" s="3" t="inlineStr">
        <x:is>
          <x:t/>
        </x:is>
      </x:c>
      <x:c r="Q183" s="3" t="inlineStr">
        <x:is>
          <x:t/>
        </x:is>
      </x:c>
    </x:row>
    <x:row r="184">
      <x:c r="A184" s="10" t="inlineStr">
        <x:f xml:space="preserve">HYPERLINK("http://sipi.sic.gov.co/sipi/View.ashx?4130058","SD2022/0038524")</x:f>
      </x:c>
      <x:c r="B184" s="3" t="inlineStr">
        <x:is>
          <x:t>DELMAX</x:t>
        </x:is>
      </x:c>
      <x:c r="C184" s="9" t="inlineStr">
        <x:is>
          <x:t/>
        </x:is>
      </x:c>
      <x:c r="D184" s="3" t="inlineStr">
        <x:is>
          <x:t>20 abr. 2022</x:t>
        </x:is>
      </x:c>
      <x:c r="E184" s="3" t="inlineStr">
        <x:is>
          <x:t/>
        </x:is>
      </x:c>
      <x:c r="F184" s="3" t="inlineStr">
        <x:is>
          <x:t>Negada</x:t>
        </x:is>
      </x:c>
      <x:c r="G184" s="3" t="inlineStr">
        <x:is>
          <x:t>DELMAX</x:t>
        </x:is>
      </x:c>
      <x:c r="H184" s="3" t="inlineStr">
        <x:is>
          <x:t>Juan Sebastian Ducuara Sanchez, Calle 19 # 44a - 19, DOSQUEBRADAS, RISARALDA, CO</x:t>
        </x:is>
      </x:c>
      <x:c r="I184" s="3" t="inlineStr">
        <x:is>
          <x:t>3</x:t>
        </x:is>
      </x:c>
      <x:c r="J184" s="3" t="inlineStr">
        <x:is>
          <x:t>11</x:t>
        </x:is>
      </x:c>
      <x:c r="K184" s="3" t="inlineStr">
        <x:is>
          <x:t>3. Líquidos de limpieza; líquidos de limpieza en seco; preparaciones de limpieza; preparaciones de limpieza para el baño; preparaciones de limpieza para el hogar; productos de limpieza; productos de limpieza para el hogar; champús para automóviles; champús para el cabello y el cuerpo; champús para el lavado de vehículos; champús y acondicionadores para animales de compañía [preparaciones de peluquería no medicinales ni veterinarias]; champús*.
</x:t>
        </x:is>
      </x:c>
      <x:c r="L184" s="3" t="inlineStr">
        <x:is>
          <x:t>No</x:t>
        </x:is>
      </x:c>
      <x:c r="M184" s="3" t="inlineStr">
        <x:is>
          <x:t/>
        </x:is>
      </x:c>
      <x:c r="N184" s="3" t="inlineStr">
        <x:is>
          <x:t/>
        </x:is>
      </x:c>
      <x:c r="O184" s="3" t="inlineStr">
        <x:is>
          <x:t>21 jun. 2022</x:t>
        </x:is>
      </x:c>
      <x:c r="P184" s="3" t="inlineStr">
        <x:is>
          <x:t/>
        </x:is>
      </x:c>
      <x:c r="Q184" s="3" t="inlineStr">
        <x:is>
          <x:t/>
        </x:is>
      </x:c>
    </x:row>
    <x:row r="185">
      <x:c r="A185" s="10" t="inlineStr">
        <x:f xml:space="preserve">HYPERLINK("http://sipi.sic.gov.co/sipi/View.ashx?4132661","SD2022/0040752")</x:f>
      </x:c>
      <x:c r="B185" s="3" t="inlineStr">
        <x:is>
          <x:t>PHARMABIDIOL MEDICAL CANNABIS </x:t>
        </x:is>
      </x:c>
      <x:c r="C185" s="9" t="inlineStr">
        <x:is>
          <x:t/>
        </x:is>
      </x:c>
      <x:c r="D185" s="3" t="inlineStr">
        <x:is>
          <x:t>26 abr. 2022</x:t>
        </x:is>
      </x:c>
      <x:c r="E185" s="3" t="inlineStr">
        <x:is>
          <x:t/>
        </x:is>
      </x:c>
      <x:c r="F185" s="3" t="inlineStr">
        <x:is>
          <x:t>Negada</x:t>
        </x:is>
      </x:c>
      <x:c r="G185" s="3" t="inlineStr">
        <x:is>
          <x:t>PHARMABIDIOL MEDICAL CANNABIS</x:t>
        </x:is>
      </x:c>
      <x:c r="H185" s="3" t="inlineStr">
        <x:is>
          <x:t>Camilo Andres  Castro Bejarano, Cr 81 C No. 22 C 29, BOGOTÁ, D.C., CO</x:t>
        </x:is>
      </x:c>
      <x:c r="I185" s="3" t="inlineStr">
        <x:is>
          <x:t>3</x:t>
        </x:is>
      </x:c>
      <x:c r="J185" s="3" t="inlineStr">
        <x:is>
          <x:t>11</x:t>
        </x:is>
      </x:c>
      <x:c r="K185" s="3" t="inlineStr">
        <x:is>
          <x:t>3. Cosméticos a base de cannabis; aceites cosméticos; cosméticos; aceites de cáñamo a base de cbd para uso cosmético; preparaciones para el cuidado de la piel a base de cbd; preparados para el cuidado de la piel a base de cbd; productos cosméticos de cbd.
</x:t>
        </x:is>
      </x:c>
      <x:c r="L185" s="3" t="inlineStr">
        <x:is>
          <x:t>No</x:t>
        </x:is>
      </x:c>
      <x:c r="M185" s="3" t="inlineStr">
        <x:is>
          <x:t>CAROLINA MARÍA QUINTERO ARIAS, AV. CALLE 26 #68C - 61, OF. 605, BOGOTÁ, D.C., CO</x:t>
        </x:is>
      </x:c>
      <x:c r="N185" s="3" t="inlineStr">
        <x:is>
          <x:t/>
        </x:is>
      </x:c>
      <x:c r="O185" s="3" t="inlineStr">
        <x:is>
          <x:t>19 jul. 2022</x:t>
        </x:is>
      </x:c>
      <x:c r="P185" s="3" t="inlineStr">
        <x:is>
          <x:t/>
        </x:is>
      </x:c>
      <x:c r="Q185" s="3" t="inlineStr">
        <x:is>
          <x:t/>
        </x:is>
      </x:c>
    </x:row>
    <x:row r="186">
      <x:c r="A186" s="10" t="inlineStr">
        <x:f xml:space="preserve">HYPERLINK("http://sipi.sic.gov.co/sipi/View.ashx?4132692","SD2022/0039265")</x:f>
      </x:c>
      <x:c r="B186" s="3" t="inlineStr">
        <x:is>
          <x:t>ITANA BIOCOSMETICS</x:t>
        </x:is>
      </x:c>
      <x:c r="C186" s="9" t="inlineStr">
        <x:is>
          <x:t/>
        </x:is>
      </x:c>
      <x:c r="D186" s="3" t="inlineStr">
        <x:is>
          <x:t>21 abr. 2022</x:t>
        </x:is>
      </x:c>
      <x:c r="E186" s="3" t="inlineStr">
        <x:is>
          <x:t/>
        </x:is>
      </x:c>
      <x:c r="F186" s="3" t="inlineStr">
        <x:is>
          <x:t>Negada</x:t>
        </x:is>
      </x:c>
      <x:c r="G186" s="3" t="inlineStr">
        <x:is>
          <x:t/>
        </x:is>
      </x:c>
      <x:c r="H186" s="3" t="inlineStr">
        <x:is>
          <x:t>MIGUEL ANGEL VASQUEZ CUEVAS, calle 67 # 1-03, NEIVA, HUILA 410001, CO</x:t>
        </x:is>
      </x:c>
      <x:c r="I186" s="3" t="inlineStr">
        <x:is>
          <x:t>3</x:t>
        </x:is>
      </x:c>
      <x:c r="J186" s="3" t="inlineStr">
        <x:is>
          <x:t>11</x:t>
        </x:is>
      </x:c>
      <x:c r="K186" s="3" t="inlineStr">
        <x:is>
          <x:t>3. Jabones corporales no medicados; jabones cosméticos; jabones de baño; jabones de baño en forma líquida, sólida o de gel; jabones de tocador; jabones faciales; jabones para el cuidado del cuerpo; champús en barritas sólidas; champús y acondicionadores para el cabello; acondicionadores de cabello; acondicionadores para el cabello; acondicionadores para uso en el cabello; aceite de lavanda; aceite de lavanda para uso cosmético; aceite esencial de lavanda de aromaterapia; cremas cosméticas para el cuidado de la piel; cremas cosméticas para el rostro; sueros antiedad multiactivos; sueros de belleza; sueros faciales; sueros faciales para uso cosmético; sueros no medicados para la piel de la cara; sueros para el cuidado del cabello.
</x:t>
        </x:is>
      </x:c>
      <x:c r="L186" s="3" t="inlineStr">
        <x:is>
          <x:t>No</x:t>
        </x:is>
      </x:c>
      <x:c r="M186" s="3" t="inlineStr">
        <x:is>
          <x:t/>
        </x:is>
      </x:c>
      <x:c r="N186" s="3" t="inlineStr">
        <x:is>
          <x:t/>
        </x:is>
      </x:c>
      <x:c r="O186" s="3" t="inlineStr">
        <x:is>
          <x:t>21 jun. 2022</x:t>
        </x:is>
      </x:c>
      <x:c r="P186" s="3" t="inlineStr">
        <x:is>
          <x:t/>
        </x:is>
      </x:c>
      <x:c r="Q186" s="3" t="inlineStr">
        <x:is>
          <x:t/>
        </x:is>
      </x:c>
    </x:row>
    <x:row r="187">
      <x:c r="A187" s="10" t="inlineStr">
        <x:f xml:space="preserve">HYPERLINK("http://sipi.sic.gov.co/sipi/View.ashx?4133665","SD2022/0039439")</x:f>
      </x:c>
      <x:c r="B187" s="3" t="inlineStr">
        <x:is>
          <x:t>VIIVE</x:t>
        </x:is>
      </x:c>
      <x:c r="C187" s="3" t="inlineStr">
        <x:is>
          <x:t/>
        </x:is>
      </x:c>
      <x:c r="D187" s="3" t="inlineStr">
        <x:is>
          <x:t>22 abr. 2022</x:t>
        </x:is>
      </x:c>
      <x:c r="E187" s="3" t="inlineStr">
        <x:is>
          <x:t/>
        </x:is>
      </x:c>
      <x:c r="F187" s="3" t="inlineStr">
        <x:is>
          <x:t>Negada</x:t>
        </x:is>
      </x:c>
      <x:c r="G187" s="3" t="inlineStr">
        <x:is>
          <x:t>M2022-000392</x:t>
        </x:is>
      </x:c>
      <x:c r="H187" s="3" t="inlineStr">
        <x:is>
          <x:t> NEW AGE, INC., 7158 S. FLSmidth Drive, Suite 250    , MIDVALE, UTAH 84047, US</x:t>
        </x:is>
      </x:c>
      <x:c r="I187" s="3" t="inlineStr">
        <x:is>
          <x:t>3</x:t>
        </x:is>
      </x:c>
      <x:c r="J187" s="3" t="inlineStr">
        <x:is>
          <x:t>11</x:t>
        </x:is>
      </x:c>
      <x:c r="K187" s="3" t="inlineStr">
        <x:is>
          <x:t>3. Preparaciones no medicinales para el cuidado de la piel, en concreto, cremas, lociones, geles, tónicos, limpiadores, peelings, exfoliantes, mascarillas y sueros; cosméticos y preparaciones cosméticas; champú, acondicionador, loción de baño, aceites esenciales, pasta de dientes, desmaquillador, cosmético preparaciones para el cuidado del cuerpo, a saber, exfoliantes corporales; preparaciones cosméticas para el bronceado; cosméticos para niños y bebes.
</x:t>
        </x:is>
      </x:c>
      <x:c r="L187" s="3" t="inlineStr">
        <x:is>
          <x:t>Sí</x:t>
        </x:is>
      </x:c>
      <x:c r="M187" s="3" t="inlineStr">
        <x:is>
          <x:t>JUAN GUILLERMO MOURE PEREZ, CARRERA 5 No. 34-03, BOGOTÁ, D.C., CO</x:t>
        </x:is>
      </x:c>
      <x:c r="N187" s="3" t="inlineStr">
        <x:is>
          <x:t/>
        </x:is>
      </x:c>
      <x:c r="O187" s="3" t="inlineStr">
        <x:is>
          <x:t>30 jun. 2022</x:t>
        </x:is>
      </x:c>
      <x:c r="P187" s="3" t="inlineStr">
        <x:is>
          <x:t/>
        </x:is>
      </x:c>
      <x:c r="Q187" s="3" t="inlineStr">
        <x:is>
          <x:t/>
        </x:is>
      </x:c>
    </x:row>
    <x:row r="188">
      <x:c r="A188" s="10" t="inlineStr">
        <x:f xml:space="preserve">HYPERLINK("http://sipi.sic.gov.co/sipi/View.ashx?4135114","SD2022/0039803")</x:f>
      </x:c>
      <x:c r="B188" s="3" t="inlineStr">
        <x:is>
          <x:t>OLIVIA. </x:t>
        </x:is>
      </x:c>
      <x:c r="C188" s="9" t="inlineStr">
        <x:is>
          <x:t/>
        </x:is>
      </x:c>
      <x:c r="D188" s="3" t="inlineStr">
        <x:is>
          <x:t>22 abr. 2022</x:t>
        </x:is>
      </x:c>
      <x:c r="E188" s="3" t="inlineStr">
        <x:is>
          <x:t/>
        </x:is>
      </x:c>
      <x:c r="F188" s="3" t="inlineStr">
        <x:is>
          <x:t>Negada</x:t>
        </x:is>
      </x:c>
      <x:c r="G188" s="3" t="inlineStr">
        <x:is>
          <x:t/>
        </x:is>
      </x:c>
      <x:c r="H188" s="3" t="inlineStr">
        <x:is>
          <x:t> OLIVIA PRIMAVERA LLC , 12173 NW 59th ST., CORAL SPRINGS, FL 33076, CORAL SPRINGS, FLORIDA, US</x:t>
        </x:is>
      </x:c>
      <x:c r="I188" s="3" t="inlineStr">
        <x:is>
          <x:t>3</x:t>
        </x:is>
      </x:c>
      <x:c r="J188" s="3" t="inlineStr">
        <x:is>
          <x:t>11</x:t>
        </x:is>
      </x:c>
      <x:c r="K188" s="3" t="inlineStr">
        <x:is>
          <x:t>3. PREPARACIONES COSMÉTICAS PARA EL CUIDADO DE LA PIEL, MASCARILLAS, EXFOLIANTES, CREMAS CORPORALES, LOCIONES CORPORALES, COSMÉTICOS, TÓNICOS FACIALES, TÓNICOS CORPORALES, ACEITES COSMÉTICOS, PREPARACIONES COSMÉTICAS A BASE DE CANNABIS, SUEROS FACIALES Y SUEROS COSMÉTICOS.
</x:t>
        </x:is>
      </x:c>
      <x:c r="L188" s="3" t="inlineStr">
        <x:is>
          <x:t>No</x:t>
        </x:is>
      </x:c>
      <x:c r="M188" s="3" t="inlineStr">
        <x:is>
          <x:t>FERNANDO ANDRÉS  VALDERRAMA GRIJALBA , CL. 97 No. 23-60, OFICINA 603, BOGOTÁ, D.C., CO</x:t>
        </x:is>
      </x:c>
      <x:c r="N188" s="3" t="inlineStr">
        <x:is>
          <x:t/>
        </x:is>
      </x:c>
      <x:c r="O188" s="3" t="inlineStr">
        <x:is>
          <x:t>30 ago. 2022</x:t>
        </x:is>
      </x:c>
      <x:c r="P188" s="3" t="inlineStr">
        <x:is>
          <x:t/>
        </x:is>
      </x:c>
      <x:c r="Q188" s="3" t="inlineStr">
        <x:is>
          <x:t/>
        </x:is>
      </x:c>
    </x:row>
    <x:row r="189">
      <x:c r="A189" s="10" t="inlineStr">
        <x:f xml:space="preserve">HYPERLINK("http://sipi.sic.gov.co/sipi/View.ashx?4135421","SD2022/0039825")</x:f>
      </x:c>
      <x:c r="B189" s="3" t="inlineStr">
        <x:is>
          <x:t>MAKUXI</x:t>
        </x:is>
      </x:c>
      <x:c r="C189" s="9" t="inlineStr">
        <x:is>
          <x:t/>
        </x:is>
      </x:c>
      <x:c r="D189" s="3" t="inlineStr">
        <x:is>
          <x:t>25 abr. 2022</x:t>
        </x:is>
      </x:c>
      <x:c r="E189" s="3" t="inlineStr">
        <x:is>
          <x:t/>
        </x:is>
      </x:c>
      <x:c r="F189" s="3" t="inlineStr">
        <x:is>
          <x:t>Negada</x:t>
        </x:is>
      </x:c>
      <x:c r="G189" s="3" t="inlineStr">
        <x:is>
          <x:t/>
        </x:is>
      </x:c>
      <x:c r="H189" s="3" t="inlineStr">
        <x:is>
          <x:t> YUMK INTERNATIONAL TRADE GROUP SAS, CALLE 11 # 28-27 PISO 2, BOGOTÁ, D.C., CO</x:t>
        </x:is>
      </x:c>
      <x:c r="I189" s="3" t="inlineStr">
        <x:is>
          <x:t>3</x:t>
        </x:is>
      </x:c>
      <x:c r="J189" s="3" t="inlineStr">
        <x:is>
          <x:t>11</x:t>
        </x:is>
      </x:c>
      <x:c r="K189" s="3" t="inlineStr">
        <x:is>
          <x:t>3.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x:t>
        </x:is>
      </x:c>
      <x:c r="L189" s="3" t="inlineStr">
        <x:is>
          <x:t>No</x:t>
        </x:is>
      </x:c>
      <x:c r="M189" s="3" t="inlineStr">
        <x:is>
          <x:t>NÉSTOR JAVIER GONZÁLEZ GUATAME, CRA 3 No. 21-46 TORRE A OFC. 702, BOGOTÁ, D.C., CO</x:t>
        </x:is>
      </x:c>
      <x:c r="N189" s="3" t="inlineStr">
        <x:is>
          <x:t/>
        </x:is>
      </x:c>
      <x:c r="O189" s="3" t="inlineStr">
        <x:is>
          <x:t>10 may. 2022</x:t>
        </x:is>
      </x:c>
      <x:c r="P189" s="3" t="inlineStr">
        <x:is>
          <x:t/>
        </x:is>
      </x:c>
      <x:c r="Q189" s="3" t="inlineStr">
        <x:is>
          <x:t/>
        </x:is>
      </x:c>
    </x:row>
    <x:row r="190">
      <x:c r="A190" s="10" t="inlineStr">
        <x:f xml:space="preserve">HYPERLINK("http://sipi.sic.gov.co/sipi/View.ashx?4135459","SD2022/0039831")</x:f>
      </x:c>
      <x:c r="B190" s="3" t="inlineStr">
        <x:is>
          <x:t>DOREK</x:t>
        </x:is>
      </x:c>
      <x:c r="C190" s="9" t="inlineStr">
        <x:is>
          <x:t/>
        </x:is>
      </x:c>
      <x:c r="D190" s="3" t="inlineStr">
        <x:is>
          <x:t>23 abr. 2022</x:t>
        </x:is>
      </x:c>
      <x:c r="E190" s="3" t="inlineStr">
        <x:is>
          <x:t/>
        </x:is>
      </x:c>
      <x:c r="F190" s="3" t="inlineStr">
        <x:is>
          <x:t>Negada</x:t>
        </x:is>
      </x:c>
      <x:c r="G190" s="3" t="inlineStr">
        <x:is>
          <x:t>DOREK</x:t>
        </x:is>
      </x:c>
      <x:c r="H190" s="3" t="inlineStr">
        <x:is>
          <x:t>Natalia Leottau Cruz, Bocagrande Carrera 3 #6-153, CARTAGENA, BOLIVAR 130001, CO</x:t>
        </x:is>
      </x:c>
      <x:c r="I190" s="3" t="inlineStr">
        <x:is>
          <x:t>3</x:t>
        </x:is>
      </x:c>
      <x:c r="J190" s="3" t="inlineStr">
        <x:is>
          <x:t>11</x:t>
        </x:is>
      </x:c>
      <x:c r="K190" s="3" t="inlineStr">
        <x:is>
          <x:t>3. Aceite de amla para uso cosmético; aceite de coco para uso cosmético; aceite de lavanda para uso cosmético; aceite de neem para uso cosmético; aceite de ricino para uso cosmético; aceite de rosas para uso cosmético; aceite de veppennai para uso cosmético; aceites bronceadores [cosméticos]; aceites bronceadores de uso cosmético; aceites cosméticos; aceites cosméticos para la piel; aceites de baño para uso cosmético; aceites de cáñamo a base de cbd para uso cosmético; aceites de protección solar [cosméticos]; aceites esenciales para uso cosmético; aceites minerales [cosméticos]; aceites para bronceado [cosméticos]; aceites para después del sol [productos cosméticos]; aceites para después del sol de uso cosmético; aceites para el cuerpo de uso cosmético; aceites para uso cosmético; aceites perfumados para la fabricación de preparados cosméticos; aceites perfumados para la fabricación de productos cosméticos; aceites puros para uso cosmético; aceites solares de uso cosmético; adhesivos [pegamentos] para uso cosmético; aerosoles cosméticos de uso tópico para la piel; agua de azahar para uso cosmético; agua mineral para uso cosmético en forma de pulverizadores de niebla; algodón e hisopos de algodón para uso cosmético; algodón para uso cosmético; algodón y bastoncillos de algodón para uso cosmético; alheña [tinte cosmético]; alheña para uso cosmético; alheña para uso cosmético [henna]; almohadillas de algodón para uso cosmético; almohadillas de limpieza impregnadas con cosméticos; almohadillas de limpieza impregnadas con productos cosméticos; almohadillas de limpieza impregnadas de cosméticos; almohadillas limpiadoras impregnadas de productos cosméticos; almohadillas para uso cosmético; apitoxina [veneno de abeja melífera] con fines cosméticos; astringentes para uso cosmético; autobronceadores [cosméticos]; barras de labios con protección solar [cosméticos]; barras de labios en stick con protección solar [cosméticos]; barros corporales para uso cosmético; basma [tinte para uso cosmético]; basma en cuanto tinte para uso cosmético; basma para uso cosmético; bastoncillos de algodón para uso cosmético; baños de aceite para el cuidado del cabello de uso cosmético; bloqueador solar [cosméticos]; bolas de algodón para uso cosmético; brillos para uso cosmético; calcetines pre-humedecidos con preparaciones cosméticas para uso cosmético; calcomanías decorativas para uso cosmético; cintas de estiramiento facial para uso cosmético; cintas de lifting facial para uso cosmético; cola de maquillaje para uso cosmético; cold creams para uso cosmético; colonias, perfumes y productos cosméticos; colorantes de labios [cosméticos]; colorantes labiales [cosméticos]; colorantes labiales [productos cosméticos]; colorantes para los labios [productos cosméticos]; composiciones para aclarar la piel [cosméticos]; compresas oculares para uso cosmético;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para uso cosmético; cremas acondicionadoras para la piel, de uso cosmético; cremas antiarrugas para uso cosmético; cremas antienvejecimiento para uso cosmético; cremas con filtro solar para uso cosmético; cremas con retinol para uso cosmético; cremas con vitamina a para uso cosmético; cremas contra las pecas [para uso cosmético]; cremas corporales [cosméticos]; cremas de limpieza [cosméticos]; cremas de limpieza [para uso cosmético]; cremas de limpieza [productos cosméticos]; cremas de limpieza para uso cosmético; cremas de protección solar para uso cosmético; cremas exfoliantes para uso cosmético; cremas faciales para uso cosmético; cremas hidratantes para la piel [cosméticos]; cremas limpiadoras [cosméticos]; cremas limpiadoras [productos cosméticos]; cremas limpiadoras para uso cosmético; cremas para atenuar las manchas de la vejez de uso cosmético; cremas para después del sol de uso cosmético; cremas para el cabello de uso cosmético; cremas para el cabello para uso cosmético; cremas para el cuerpo [cosméticos]; cremas para el rostro de uso cosmético; cremas para el rostro y el cuerpo de uso cosmético; cremas para la cara [cosméticos]; cremas para la piel de uso cosmético; cremas para las manos de uso cosmético; cremas para las uñas de uso cosmético; cremas para los labios de uso cosmético; cremas para los ojos de uso cosmético; cremas para reducir la celulitis de uso cosmético; cremas para tez clara de uso cosmético; cremas perfumadas para uso cosmético; cremas reparadoras para la piel [cosméticos]; cremas reparadoras para la piel de uso cosmético; cremas tonificantes [cosméticos]; cremas y geles cosméticos para cara, manos y cuerpo; cremas y geles cosméticos para rostro, manos y cuerpo; cremas, aceites, lociones, aerosoles, lápices y bálsamos para uso cosmético; cremas, leches, lociones, geles y polvos cosméticos para la cara, el cuerpo y las manos; cristales de baño para uso cosmético; decolorantes para uso cosmético; discos de algodón para uso cosmético; emolientes para la piel de uso cosmético; emulsiones faciales para uso cosmético; emulsiones para el cuerpo de uso cosmético; emulsiones térmicas para uso cosmético; endurecedores de uñas [cosméticos]; enjuagues para el cabello de uso cosmético; esmaltes de base para las uñas [productos cosméticos]; esmaltes de uñas para uso cosmético; exfoliantes corporales cosméticos; exfoliantes corporales para uso cosmético; exfoliantes para el cuerpo de uso cosmético; exfoliantes para uso cosmético; extractos de plantas para uso cosmético; fangos corporales para uso cosmético; filtro solar [cosméticos]; geles antienvejecimiento para uso cosmético; geles bronceadores [cosméticos]; geles corporales y faciales [cosméticos]; geles cosméticos; geles de aloe vera para uso cosmético; geles de lavanda para uso cosmético; geles hidratantes [cosméticos]; geles para después del sol [productos cosméticos]; geles para después del sol de uso cosmético; geles para el cuerpo [cosméticos]; geles para el cuerpo y la cara [cosméticos]; geles para la cara [cosméticos]; geles para los ojos de uso cosmético; geles para uso cosmético; grasas para uso cosmético; guantes pre-humedecidos con preparaciones cosméticas para uso cosmético; guata para uso cosmético; guata y bastoncillos de algodón para uso cosmético; henna [tinte cosmético]; henna para uso cosmético; henna para uso cosmético [alheña]; hidratantes [cosméticos]; hidratantes faciales [cosméticos]; hidratantes faciales de uso cosmético; hidratantes para la piel utilizados como cosméticos; hilas para uso cosmético; hisopos de algodón para uso cosmético; hisopos para uso cosmético; jabones cosméticos; jalea de petróleo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 de almendras para uso cosmético; leches bronceadoras [cosméticos]; leches para después de tomar el sol para uso cosmético; leches para después del sol [productos cosméticos]; leches para después del sol de uso cosmético; leches para el cuerpo de uso cosmético; leches para el rostro y el cuerpo de uso cosmético; leches y lociones para el rostro de uso cosmético; leches, geles y aceites bronceadores y para después del sol, de uso cosmético; limpiador cutáneo con propiedades suavizantes [cosmético];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antienvejecimiento para uso cosmético; lociones autobronceadoras [cosméticos]; lociones con filtro solar para uso cosmético; lociones con pantalla solar para uso cosmético; lociones de baño para uso cosmético; lociones de protección solar para uso cosmético; lociones faciales [cosméticos]; lociones hidratantes [cosméticos]; lociones hidratantes para el cuerpo [cosméticos]; lociones hidratantes para la piel [cosméticos]; lociones no medicinales para el cuidado de la piel [cosméticos]; lociones para después del sol de uso cosmético; lociones para el cabello de uso cosmético; lociones para el cuerpo de uso cosmético; lociones para el cuidado de la piel [cosméticos]; lociones para el cuidado del rostro y del cuerpo de uso cosmético; lociones para el rostro y el cuerpo de uso cosmético; lociones para la piel [productos cosméticos]; lociones para las manos de uso cosmético; lociones para los ojos de uso cosmético; lociones para reducir la celulitis de uso cosmético; lociones para uso cosmético; lociones tónicas para el rostro, el cuerpo y las manos de uso cosmético; lociones, cremas y aceites de aplicación tópica para la piel y el cuerpo, de uso cosmético; loción de malagueta para uso cosmético; lodos corporales para uso cosmético; lápices de ojos para uso cosmético; lápices para uso cosmético; manteca a base de vegetales para uso cosmético; manteca corporal para uso cosmético; manteca de almendra para uso cosmético; manteca de aloe vera para uso cosmético; manteca de argán para uso cosmético; manteca de cacao para uso cosmético; manteca de coco para uso cosmético; manteca de karité para uso cosmético; maquillaje [cosméticos]; mascarillas corporales en forma de cremas para uso cosmético; mascarillas corporales en forma de lociones para uso cosmético; mascarillas corporales en polvo para uso cosmético; mascarillas corporales para uso cosmético; mascarillas envasadas para uso cosmético; mascarillas faciales [productos cosméticos]; mascarillas faciales para uso cosmético; mascarillas oculares para uso cosmético; mascarillas para el cutis [cosméticos]; mascarillas para la piel [cosméticos]; mascarillas para la piel de uso cosmético; motivos decorativos para uso cosmético; papel secante anti-brillo [cosméticos]; papel secante anti-brillo para uso cosmético; papel secante facial [cosméticos]; papel secante facial para uso cosmético; papel secante para uso cosmético;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pastas perfumadas para uso cosmético; pañitos cosméticos prehumedecidos; pañitos para bebés para uso cosmético; paños húmedos para bebés de uso cosmético; perfumería para cosméticos; piedras astringentes para después del afeitado para uso cosmético; piedras para el afeitado en cuanto astringentes para uso cosmético; pintura corporal de látex líquido para uso cosmético; pintura corporal para uso cosmético; polvos compactos para polveras [cosméticos]; polvos cosméticos; polvos de baño para uso cosmético; polvos de brillo para uso cosmético; polvos dentales para uso cosmético; polvos faciales [cosméticos]; polvos faciales blancos para uso cosmético; polvos faciales cosméticos; polvos faciales cosméticos de color blanco; polvos faciales para uso cosmético; polvos para el cuerpo de uso cosmético; polvos perfumados para uso cosmético; pomadas en barra para uso cosmético; pomadas para el cabello de uso cosmético; pomadas para uso cosmético; preparaciones autobronceadoras [cosméticos]; preparaciones blanqueadoras para la piel [productos cosméticos]; preparaciones colorantes de uso cosmético; preparaciones de aloe vera para uso cosmético; preparaciones de bloqueadores solares para uso cosmético; preparaciones de colágeno para uso cosmético; preparaciones para baños de espuma para uso cosmético; preparaciones para el cuidado de la piel [productos cosméticos]; preparaciones para quitar las cutículas de uso cosmético; preparados cosméticos para el cuidado del cuerpo; preparados cosméticos para el tratamiento de la piel;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lociones; productos de perfumería, aceites esenciales, cosméticos no medicinales, lociones capilares no medicinales; productos de perfumería, aceites esenciales, cosméticos, lociones capilares; productos de revestimiento para esculpir uñas [productos cosméticos]; productos y preparaciones cosméticos para el cuidado de la piel; protectores solares para los labios [productos cosméticos]; quitaesmaltes de uñas [cosméticos]; revitalizantes cutáneos para uso cosmético; revitalizantes para el cabello de uso cosmético; sales de baño para uso cosmético; serum para calmar la piel [cosmético]; sprays de agua mineral para uso cosmético; sprays para el cuerpo de uso cosmético; suavizantes para el cabello de uso cosmético; sueros faciales para uso cosmético; sueros para uso cosmético; talco para uso cosmético; talco perfumado para uso cosmético; tintas para uso cosmético; tintes cosméticos; tintes de labios [cosméticos]; tintes de labios para uso cosmético; tintes labiales [cosméticos]; tintes labiales [productos cosméticos]; tintes labiales para uso cosmético; tintes para los labios [productos cosméticos]; tonificantes para el cabello para uso cosmético; tónicos cosméticos; tónicos cosméticos para el rostro; tónicos cosméticos para la cara; tónicos faciales [cosméticos]; tónicos para la piel para uso cosmético; tónicos para uso cosmético;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tratamientos para permanentes capilares; aceites destilados para el cuidado de belleza; aceites perfumados para el cuidado de la piel; baños de aceite para el cuidado del cabello; ceras para el cuidado del cabello; ceras para el cuidado del pelo; cremas cosméticas para el cuidado de la piel; cremas emolientes reparadoras para el cuidado diario de la piel; cremas no medicinales para el cuidado de la piel; cremas para el cuidado de la piel que no sean de uso médico; cremas para el cuidado de la piel que no sean para uso médico; cremas para el cuidado de la piel, no medicinales; cremas para el cuidado del cabello; cremas para el cuidado del pelo; cremas y lociones cosméticas para el cuidado de la cara y el cuerpo; cremas y lociones cosméticas para el cuidado del rostro y el cuerpo; emulsiones, geles y lociones para el cuidado de la piel; espumas para el cuidado de la piel; jabones para el cuidado del cuerpo;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kits para el cuidado de las uñas que comprenden principalmente lacas de uñas, quitaesmaltes y uñas postizas; leches limpiadoras para el cuidado de la piel; lociones cosméticas para el cuidado de la piel; lociones lechosas para el cuidado de la piel; lociones lácteas para el cuidado de la piel; lociones para el cuidado de la piel; lociones para el cuidado del rostro y del cuerpo; lociones, cremas y preparaciones para el cuidado de la cara, cuerpo, cuero cabelludo, uñas y cabello; lociones, cremas y preparaciones para el cuidado del rostro, cuerpo, cuero cabelludo, uñas y cabello; mascarillas para el cuidado de la piel de las manos; mascarillas para el cuidado de la piel de los pies; mascarillas para el cuidado del cabello; parches que contienen preparaciones no medicinales para el cuidado de la pie; preparaciones antiarrugas para el cuidado de la piel; preparaciones antienvejecimiento para el cuidado de la piel; preparaciones cosméticas de cuidado facial; preparaciones cosméticas para el cuidado bucal; preparaciones cosméticas para el cuidado de la piel; preparaciones cosméticas para el cuidado de la piel en forma de geles; preparaciones cosméticas para el cuidado de las uñas; preparaciones cosméticas para el cuidado del cabello; preparaciones cosméticas para el cuidado del cuerpo; preparaciones cosméticas para el cuidado y el tratamiento de la piel; preparaciones cosméticas termoactivas para el cuidado de la piel; preparaciones de cuidado corporal no medicamentosas; preparaciones de cuidado corporal no medicinales; preparaciones de cuidado corporal y de belleza para uso cosmético; preparaciones de cuidado facial; preparaciones de cuidado facial [cosméticos]; preparaciones no medicinales para el cuidado bucal; preparaciones no medicinales para el cuidado de la piel; preparaciones no medicinales para el cuidado de la piel, el cabello y el cuero cabelludo; preparaciones no medicinales para el cuidado de los labios; preparaciones no medicinales para el cuidado de los pies; preparaciones no medicinales para el cuidado del cabello; preparaciones no medicinales para el cuidado dental; preparaciones no medicinales para el cuidado dental de los animales; preparaciones para cuidados corporales y de belleza; preparaciones para el cuidado bucal [no medicinales]; preparaciones para el cuidado bucal, no medicinales; preparaciones para el cuidado de la piel a base de cbd; preparaciones para el cuidado de la piel, no medicinales; preparaciones para el cuidado de las uñas; preparaciones para el cuidado de los labios; preparaciones para el cuidado del cabello; preparaciones para el cuidado del cuero cabelludo y del cabello; preparaciones para el cuidado del cuerpo y la belleza; preparaciones para el cuidado y la limpieza del cabello; preparados no medicinales para el cuidado de la piel; productos no medicinales para el cuidado de la piel; productos y preparaciones para el cuidado del cabello; aceite fijador para el cabello; aceites para el cabello; aceites suavizantes para el cabello; acondicionadores en barritas sólidas para el cabello; acondicionadores para el cabello; agua oxigenada para el cabello; champús para el cabello humano; champús para el cabello y el cuerpo; champús y acondicionadores para el cabello; cremas para el cabello; espumas para el cabello; espumas para el cabello [productos de tocador]; espumas para el peinado del cabello [productos de tocador]; geles para dar forma al cabello; geles para el cabello; geles para uso en el cabello; geles y espumas para el cabello; geles, aerosoles, espumas y bálsamos para peinar y cuidar el cabello; geles, espráis, espumas y bálsamos para peinar y cuidar el cabello; hidratantes para el cabello; lacas para el cabello; lacas y geles fijadores para el cabello; lociones colorantes para el cabello; mascarillas para el cabello; preparaciones cosméticas para el cabello y el cuero cabelludo; preparaciones cosméticas para impedir el crecimiento del cabello; preparaciones de permanente para ondular el cabello; preparaciones no medicadas para el cabello; preparaciones para alisar el cabello; preparaciones para atildar el cabello; preparaciones para decolorar el cabello; preparaciones para desrizar el cabello; preparaciones para el peinado del cabello; preparaciones para el teñido de cabellos; preparaciones para el tratamiento de coloración permanente del cabello; preparaciones para la fijación del cabello; preparaciones para la limpieza del cabello; preparaciones para limpiar, teñir, colorear, decolorar, marcar y peinar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productos de enjuague para el cabello; productos de textura para el cabello; productos decolorantes para el cabello; productos para aclarar el cabello; productos para decolorar el cabello; productos para desrizar el cabello; suavizantes para el cabello; sueros para el cuidado del cabello; tintes para el cabello; tintes y decolorantes para el cabello; tinturas para el cabello; tinturas para el cabello [tintes]; tonificantes para el cabello; tratamientos de cera para el cabello; tratamientos de permanente del cabello; tratamientos de queratina para el cabello.
</x:t>
        </x:is>
      </x:c>
      <x:c r="L190" s="3" t="inlineStr">
        <x:is>
          <x:t>Sí</x:t>
        </x:is>
      </x:c>
      <x:c r="M190" s="3" t="inlineStr">
        <x:is>
          <x:t>DAVID SANTIAGO PEÑARANDA GUALTEROS, Barrio España CRA 47 #29-30, CARTAGENA, BOLIVAR, CO</x:t>
        </x:is>
      </x:c>
      <x:c r="N190" s="3" t="inlineStr">
        <x:is>
          <x:t/>
        </x:is>
      </x:c>
      <x:c r="O190" s="3" t="inlineStr">
        <x:is>
          <x:t>10 jun. 2022</x:t>
        </x:is>
      </x:c>
      <x:c r="P190" s="3" t="inlineStr">
        <x:is>
          <x:t/>
        </x:is>
      </x:c>
      <x:c r="Q190" s="3" t="inlineStr">
        <x:is>
          <x:t/>
        </x:is>
      </x:c>
    </x:row>
    <x:row r="191">
      <x:c r="A191" s="10" t="inlineStr">
        <x:f xml:space="preserve">HYPERLINK("http://sipi.sic.gov.co/sipi/View.ashx?4136239","SD2022/0039973")</x:f>
      </x:c>
      <x:c r="B191" s="3" t="inlineStr">
        <x:is>
          <x:t>RELAMUS</x:t>
        </x:is>
      </x:c>
      <x:c r="C191" s="9" t="inlineStr">
        <x:is>
          <x:t/>
        </x:is>
      </x:c>
      <x:c r="D191" s="3" t="inlineStr">
        <x:is>
          <x:t>25 abr. 2022</x:t>
        </x:is>
      </x:c>
      <x:c r="E191" s="3" t="inlineStr">
        <x:is>
          <x:t/>
        </x:is>
      </x:c>
      <x:c r="F191" s="3" t="inlineStr">
        <x:is>
          <x:t>Negada</x:t>
        </x:is>
      </x:c>
      <x:c r="G191" s="3" t="inlineStr">
        <x:is>
          <x:t>F689</x:t>
        </x:is>
      </x:c>
      <x:c r="H191" s="3" t="inlineStr">
        <x:is>
          <x:t> ALEJANDRO  RODRIGUEZ SALOMON, CALLE 11 No 33-16 CONJUNTO PORTALES DE CUMARAL , CUMARAL, META, CO</x:t>
        </x:is>
      </x:c>
      <x:c r="I191" s="3" t="inlineStr">
        <x:is>
          <x:t>3</x:t>
        </x:is>
      </x:c>
      <x:c r="J191" s="3" t="inlineStr">
        <x:is>
          <x:t>11</x:t>
        </x:is>
      </x:c>
      <x:c r="K191" s="3" t="inlineStr">
        <x:is>
          <x:t>3. COSMETICOS, CREMA PARA MANOS Y CUERPO.
</x:t>
        </x:is>
      </x:c>
      <x:c r="L191" s="3" t="inlineStr">
        <x:is>
          <x:t>Sí</x:t>
        </x:is>
      </x:c>
      <x:c r="M191" s="3" t="inlineStr">
        <x:is>
          <x:t>MARTHA AMPARO FONSECA FIERRO, CRA 7 No. 17-01 Oficina 435, BOGOTÁ, D.C., CO</x:t>
        </x:is>
      </x:c>
      <x:c r="N191" s="3" t="inlineStr">
        <x:is>
          <x:t/>
        </x:is>
      </x:c>
      <x:c r="O191" s="3" t="inlineStr">
        <x:is>
          <x:t>08 jul. 2022</x:t>
        </x:is>
      </x:c>
      <x:c r="P191" s="3" t="inlineStr">
        <x:is>
          <x:t/>
        </x:is>
      </x:c>
      <x:c r="Q191" s="3" t="inlineStr">
        <x:is>
          <x:t/>
        </x:is>
      </x:c>
    </x:row>
    <x:row r="192">
      <x:c r="A192" s="10" t="inlineStr">
        <x:f xml:space="preserve">HYPERLINK("http://sipi.sic.gov.co/sipi/View.ashx?4136666","SD2022/0040123")</x:f>
      </x:c>
      <x:c r="B192" s="3" t="inlineStr">
        <x:is>
          <x:t>ANIMA BOTANICA</x:t>
        </x:is>
      </x:c>
      <x:c r="C192" s="9" t="inlineStr">
        <x:is>
          <x:t/>
        </x:is>
      </x:c>
      <x:c r="D192" s="3" t="inlineStr">
        <x:is>
          <x:t>25 abr. 2022</x:t>
        </x:is>
      </x:c>
      <x:c r="E192" s="3" t="inlineStr">
        <x:is>
          <x:t/>
        </x:is>
      </x:c>
      <x:c r="F192" s="3" t="inlineStr">
        <x:is>
          <x:t>Negada</x:t>
        </x:is>
      </x:c>
      <x:c r="G192" s="3" t="inlineStr">
        <x:is>
          <x:t/>
        </x:is>
      </x:c>
      <x:c r="H192" s="3" t="inlineStr">
        <x:is>
          <x:t>ALEJANDRA  PELÁEZ OSSA, CALLE 81 # 7-66 APT. 301 , BOGOTÁ, D.C., CO</x:t>
        </x:is>
      </x:c>
      <x:c r="I192" s="3" t="inlineStr">
        <x:is>
          <x:t>3</x:t>
        </x:is>
      </x:c>
      <x:c r="J192" s="3" t="inlineStr">
        <x:is>
          <x:t>11</x:t>
        </x:is>
      </x:c>
      <x:c r="K192" s="3" t="inlineStr">
        <x:is>
          <x:t>3. Cobertura de productos (detalle) mascarillas faciales de belleza o para uso cosmético.
</x:t>
        </x:is>
      </x:c>
      <x:c r="L192" s="3" t="inlineStr">
        <x:is>
          <x:t>No</x:t>
        </x:is>
      </x:c>
      <x:c r="M192" s="3" t="inlineStr">
        <x:is>
          <x:t>JORGE ARTURO ROMERO PRIETO, Carrera  13 No. 32-51 TORRE 1 OF 501, BOGOTÁ, D.C., CO</x:t>
        </x:is>
      </x:c>
      <x:c r="N192" s="3" t="inlineStr">
        <x:is>
          <x:t/>
        </x:is>
      </x:c>
      <x:c r="O192" s="3" t="inlineStr">
        <x:is>
          <x:t>10 may. 2022</x:t>
        </x:is>
      </x:c>
      <x:c r="P192" s="3" t="inlineStr">
        <x:is>
          <x:t/>
        </x:is>
      </x:c>
      <x:c r="Q192" s="3" t="inlineStr">
        <x:is>
          <x:t/>
        </x:is>
      </x:c>
    </x:row>
    <x:row r="193">
      <x:c r="A193" s="10" t="inlineStr">
        <x:f xml:space="preserve">HYPERLINK("http://sipi.sic.gov.co/sipi/View.ashx?4136742","SD2022/0040090")</x:f>
      </x:c>
      <x:c r="B193" s="3" t="inlineStr">
        <x:is>
          <x:t>Beverly Hills  Beverly Hills Polo Club</x:t>
        </x:is>
      </x:c>
      <x:c r="C193" s="9" t="inlineStr">
        <x:is>
          <x:t/>
        </x:is>
      </x:c>
      <x:c r="D193" s="3" t="inlineStr">
        <x:is>
          <x:t>25 abr. 2022</x:t>
        </x:is>
      </x:c>
      <x:c r="E193" s="3" t="inlineStr">
        <x:is>
          <x:t/>
        </x:is>
      </x:c>
      <x:c r="F193" s="3" t="inlineStr">
        <x:is>
          <x:t>Negada</x:t>
        </x:is>
      </x:c>
      <x:c r="G193" s="3" t="inlineStr">
        <x:is>
          <x:t/>
        </x:is>
      </x:c>
      <x:c r="H193" s="3" t="inlineStr">
        <x:is>
          <x:t> LIFESTYLE EQUITIES C.V, 200  Prins Bernhardplein ,Amsterdam, Netherlands, CZ SCHIPHOL, PAISES BAJOS, ND</x:t>
        </x:is>
      </x:c>
      <x:c r="I193" s="3" t="inlineStr">
        <x:is>
          <x:t>3, 14, 18, 24, 25, 35</x:t>
        </x:is>
      </x:c>
      <x:c r="J193" s="3" t="inlineStr">
        <x:is>
          <x:t>11</x:t>
        </x:is>
      </x:c>
      <x:c r="K193" s="3" t="inlineStr">
        <x:is>
          <x:t>3. Jabones, perfumería, aceites esenciales, cosméticos, lociones, cremas, geles polvos labiales, desodorantes y antitranspirantes.
14. Relojes.
18. Cuero y cuero de imitación; artículos de equipaje y bolsas de transporte.
24. Tejidos y productos textiles no comprendidos en otras clases; accesorios textiles para baños; ropa de cama y de mesa; toallas, tejidos de lino, manteles de lino, fundas para las tapas de inodoros.
25. Abrigos, ajuares de bebé, prendas de vestir, ajustadores de ropa interior, albornoces, alpargatas, antideslizantes para calzado, antifaces para dormir, antideslizantes para calzado, artículos de sombrerería, armaduras de sombreros, ropa para automovilistas, babadores que no sean de papel, baberos que no sean de papel, banda as de pañuelos para el cuello, bandas, bandas para la cabeza, prendas de vestir, bañadores, calzones de baño, gorros de baño, pantuflas de baño, sandalias de baño. zapatillas de baño, batas de guardapolvos, batas de saltos de cama, botines, birretes, boas y bufandas, bodis de ropa interior, boinas, bolsas para calentar los pies que no sean eléctricas, bolsillos de prendas de vestir, bombachas borceguíes, botas, botas de cañas, botas con cordones, botas de esquí, botas de fútbol, botines, botines de fútbol, botines de fútbol para tapones, bragas, bragas para bebés, bufandas, calcetines, calentadores de piernas, calzado, calzado de deporte, calzado de playa, prendas para calcetería, ligas para calcetines, punteras de calzado, viras de calzado, calzas leggings, calzoncillos, camisas, camisas de manga corta, camisetas de deporte, camisetas de manga corta, camisolas, canesúes de camisa, capuchas, casullas, chalecos, chales, chanclos, chaquetas, chaquetas de pescador, chaquetones, chubasqueros. ropa para ciclistas, cinturones monedero, cinturones, cofias, combinaciones ropa interior. ropa de confección, conjuntos de vestir, contrafuertes para calzado, corbatas, corpiños ropa interior, corceles, corsés ropa interior, cubrecorsés. cuellos, protectores para cuellos de prendas de vestir, cuellos postizos, delantales, calzado de deporte, zapatillas deportivas, disfraces, empeines de calzado. enaguas, escarpines, esclavinas, trajes de esquí acuático, estolas de pieles, fajas. faldas. faldas short, forros confeccionados partes de prendas de vestir, fulares, tacos para botas de fútbol, gabanes, gabardinas, galochas, zapatillas de gimnasia, gorras, gorros. corros de baño, corros de ducha, guantes de esquí, guantes, guardapolvos, herrajes metálicos para calzado, impermeables, jerseys prendas de vestir, pantalones leggings. lencería, libreas, ligas para calcetines, ligas ropa intenor, ligueros. mallas leggings. bañadores de mallas manguitos pre das" de vestir, mantillas, medias, medias absorbentes del sudor, refuerzos de talón para medias, pre das de mediería, mitones, orejeras prendas de vestir, palas de calzado, paletós, pantaletas. pantalones largos, pantis. pantuflas, pañuelos de bolsillo. pañuelos de cuello, pareos, parkas. patucos, pecheras de camisa, pelerinas, pellizas, chaquetas de pescador, pichis, pieles prendas de vestir, pijamas, plantillas, calzado de playa, ropa de playa polainas, polleras, ponchos, portaligas, prendas de punto, prendas de vestir, bolsillos de prendas de vestir, prendas de vestir impermeables, prolectores para cuellos de prendas de vestir, puloveres, punteras de calzado, puños prendas de vestir, ropa de cuero, ropa de cuero de imitación, ropa de gimnasta, ropa de papel, ropa exterior, ropa interior, ropa interior absorbente del sudor, salidas de baño, saltos de cama, sandalias, saris, shorts de baño, slips, sobaqueras, sobretodos, solideos, sombreros, sombreros de copa, sombreros de papel, soquetes calcetines, sostenes, suelas para calzado, suéteres, sujetadores ropa interior, trabillas de pie para pantalones, tacones, tapados, tapones para botines de fútbol, tiradores prendas de vestir, tirantes, tocados para artículos de sombrerería, tocas prenda s de vestir, togas, trajes, trajes de baño, trajes de esquí acuático, turbantes, uniformes, velos, vestidos, vestimenta, vestuario, viras de calzado, viseras, zapatillas de interior, zapatos, zuecos.
35. Gestión y administración de negocios, servicios de comercialización de productos al por mayor y al de tal; importación y exportación de productos; venta de productos y artículos por medio de establecimientos comerciales, ventas por internet; gestión y administración de negocios en general; administración, asesoramiento y asistencia de asuntos de negocios de franquicias: administración comercial; asesoría, administración, asistencia y dirección empresarial; publicidad comercial, difusión de anuncios comerciales, distribución de material publicitario: servicios de mercadeo (marketing).
</x:t>
        </x:is>
      </x:c>
      <x:c r="L193" s="3" t="inlineStr">
        <x:is>
          <x:t>Sí</x:t>
        </x:is>
      </x:c>
      <x:c r="M193" s="3" t="inlineStr">
        <x:is>
          <x:t>JUAN PABLO CONCHA DELGADO, AVENIDA 82 No. 10-62 PISO 5, BOGOTÁ, D.C., CO</x:t>
        </x:is>
      </x:c>
      <x:c r="N193" s="3" t="inlineStr">
        <x:is>
          <x:t/>
        </x:is>
      </x:c>
      <x:c r="O193" s="3" t="inlineStr">
        <x:is>
          <x:t>10 may. 2022</x:t>
        </x:is>
      </x:c>
      <x:c r="P193" s="3" t="inlineStr">
        <x:is>
          <x:t/>
        </x:is>
      </x:c>
      <x:c r="Q193" s="3" t="inlineStr">
        <x:is>
          <x:t/>
        </x:is>
      </x:c>
    </x:row>
    <x:row r="194">
      <x:c r="A194" s="10" t="inlineStr">
        <x:f xml:space="preserve">HYPERLINK("http://sipi.sic.gov.co/sipi/View.ashx?4137138","SD2022/0040184")</x:f>
      </x:c>
      <x:c r="B194" s="3" t="inlineStr">
        <x:is>
          <x:t>VDR CHARLOTTE COSMETICS </x:t>
        </x:is>
      </x:c>
      <x:c r="C194" s="9" t="inlineStr">
        <x:is>
          <x:t/>
        </x:is>
      </x:c>
      <x:c r="D194" s="3" t="inlineStr">
        <x:is>
          <x:t>25 abr. 2022</x:t>
        </x:is>
      </x:c>
      <x:c r="E194" s="3" t="inlineStr">
        <x:is>
          <x:t/>
        </x:is>
      </x:c>
      <x:c r="F194" s="3" t="inlineStr">
        <x:is>
          <x:t>Negada</x:t>
        </x:is>
      </x:c>
      <x:c r="G194" s="3" t="inlineStr">
        <x:is>
          <x:t>S - SD - VDR CHARLOTTE COSMETICS </x:t>
        </x:is>
      </x:c>
      <x:c r="H194" s="3" t="inlineStr">
        <x:is>
          <x:t> CHARLOTTE COSMETICS S.A.S., CALLE 22 I No. 100 - 84, BOGOTA, CUNDINAMARCA, CO</x:t>
        </x:is>
      </x:c>
      <x:c r="I194" s="3" t="inlineStr">
        <x:is>
          <x:t>3</x:t>
        </x:is>
      </x:c>
      <x:c r="J194" s="3" t="inlineStr">
        <x:is>
          <x:t>11</x:t>
        </x:is>
      </x:c>
      <x:c r="K194" s="3" t="inlineStr">
        <x:is>
          <x:t>3. Esmaltes y delineadores de uñas, quitaesmalte, endurecedores de uñas, removedores de cutícula, disolventes de esmalte, brillos, pegantes de uñas postizas, secantes de esmaltes, humectantes de cutícula, aceite de uñas y aceite de cutícula, toallas quitaesmalte.
</x:t>
        </x:is>
      </x:c>
      <x:c r="L194" s="3" t="inlineStr">
        <x:is>
          <x:t>Sí</x:t>
        </x:is>
      </x:c>
      <x:c r="M194" s="3" t="inlineStr">
        <x:is>
          <x:t>WILLIAM ORLANDO  QUIROGA, Carrera 13 No. 32-93. Torre 3, Oficina 708. Parque Central Baviera., BOGOTA, CUNDINAMARCA, CO</x:t>
        </x:is>
      </x:c>
      <x:c r="N194" s="3" t="inlineStr">
        <x:is>
          <x:t/>
        </x:is>
      </x:c>
      <x:c r="O194" s="3" t="inlineStr">
        <x:is>
          <x:t>08 jul. 2022</x:t>
        </x:is>
      </x:c>
      <x:c r="P194" s="3" t="inlineStr">
        <x:is>
          <x:t/>
        </x:is>
      </x:c>
      <x:c r="Q194" s="3" t="inlineStr">
        <x:is>
          <x:t/>
        </x:is>
      </x:c>
    </x:row>
    <x:row r="195">
      <x:c r="A195" s="10" t="inlineStr">
        <x:f xml:space="preserve">HYPERLINK("http://sipi.sic.gov.co/sipi/View.ashx?4137664","SD2022/0040318")</x:f>
      </x:c>
      <x:c r="B195" s="3" t="inlineStr">
        <x:is>
          <x:t>Evaclean Bio Su aliado en la limpieza</x:t>
        </x:is>
      </x:c>
      <x:c r="C195" s="9" t="inlineStr">
        <x:is>
          <x:t/>
        </x:is>
      </x:c>
      <x:c r="D195" s="3" t="inlineStr">
        <x:is>
          <x:t>25 abr. 2022</x:t>
        </x:is>
      </x:c>
      <x:c r="E195" s="3" t="inlineStr">
        <x:is>
          <x:t/>
        </x:is>
      </x:c>
      <x:c r="F195" s="3" t="inlineStr">
        <x:is>
          <x:t>Negada</x:t>
        </x:is>
      </x:c>
      <x:c r="G195" s="3" t="inlineStr">
        <x:is>
          <x:t>EVACLEAN BIO SU ALIADO EN LA LIMPIEZA</x:t>
        </x:is>
      </x:c>
      <x:c r="H195" s="3" t="inlineStr">
        <x:is>
          <x:t> EVACLEAN S.A.S., Calle 15 # 16 A 45 Barrio Valher , DOSQUEBRADAS, RISARALDA, CO</x:t>
        </x:is>
      </x:c>
      <x:c r="I195" s="3" t="inlineStr">
        <x:is>
          <x:t>3, 5, 21, 35, 39</x:t>
        </x:is>
      </x:c>
      <x:c r="J195" s="3" t="inlineStr">
        <x:is>
          <x:t>11</x:t>
        </x:is>
      </x:c>
      <x:c r="K19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21. Utensilios y recipientes para uso doméstico y culinario; peines y esponjas; cepillos; materiales para fabricar cepillos; material de limpieza; vidrio en bruto o semielaborado, excepto el vidrio de construcción; artículos de cristalería, porcelana y loza.
35. Publicidad; gestión de negocios comerciales; administración comercial; trabajos de oficina.
39. Transporte; embalaje y almacenamiento de mercancías; organización de viajes.
</x:t>
        </x:is>
      </x:c>
      <x:c r="L195" s="3" t="inlineStr">
        <x:is>
          <x:t>No</x:t>
        </x:is>
      </x:c>
      <x:c r="M195" s="3" t="inlineStr">
        <x:is>
          <x:t>MICHAEL ANDRES  ANGARITA PEDROZA, Calle 15 # 16 A 45 barrio Valher, DOSQUEBRADAS, RISARALDA, CO</x:t>
        </x:is>
      </x:c>
      <x:c r="N195" s="3" t="inlineStr">
        <x:is>
          <x:t/>
        </x:is>
      </x:c>
      <x:c r="O195" s="3" t="inlineStr">
        <x:is>
          <x:t>31 may. 2022</x:t>
        </x:is>
      </x:c>
      <x:c r="P195" s="3" t="inlineStr">
        <x:is>
          <x:t/>
        </x:is>
      </x:c>
      <x:c r="Q195" s="3" t="inlineStr">
        <x:is>
          <x:t/>
        </x:is>
      </x:c>
    </x:row>
    <x:row r="196">
      <x:c r="A196" s="10" t="inlineStr">
        <x:f xml:space="preserve">HYPERLINK("http://sipi.sic.gov.co/sipi/View.ashx?4139154","SD2022/0040658")</x:f>
      </x:c>
      <x:c r="B196" s="3" t="inlineStr">
        <x:is>
          <x:t>Sanciara</x:t>
        </x:is>
      </x:c>
      <x:c r="C196" s="9" t="inlineStr">
        <x:is>
          <x:t/>
        </x:is>
      </x:c>
      <x:c r="D196" s="3" t="inlineStr">
        <x:is>
          <x:t>26 abr. 2022</x:t>
        </x:is>
      </x:c>
      <x:c r="E196" s="3" t="inlineStr">
        <x:is>
          <x:t/>
        </x:is>
      </x:c>
      <x:c r="F196" s="3" t="inlineStr">
        <x:is>
          <x:t>Negada</x:t>
        </x:is>
      </x:c>
      <x:c r="G196" s="3" t="inlineStr">
        <x:is>
          <x:t/>
        </x:is>
      </x:c>
      <x:c r="H196" s="3" t="inlineStr">
        <x:is>
          <x:t>Mariana Gonzalez Correa, Manzana K 279A, ARMENIA, QUINDIO, CO</x:t>
        </x:is>
      </x:c>
      <x:c r="I196" s="3" t="inlineStr">
        <x:is>
          <x:t>3</x:t>
        </x:is>
      </x:c>
      <x:c r="J196" s="3" t="inlineStr">
        <x:is>
          <x:t>11</x:t>
        </x:is>
      </x:c>
      <x:c r="K196" s="3" t="inlineStr">
        <x:is>
          <x:t>3. Productos cosméticos para el cabello y el cuero cabelludo; productos cosméticos para el cuidado corporal; productos cosméticos para el cuidado de la piel; productos cosméticos para la piel; productos cosméticos para proteger la piel contra los rayos del sol; productos cosméticos para uso personal; productos cosméticos y de belleza; quitaesmalte para uñas [cosméticos].
</x:t>
        </x:is>
      </x:c>
      <x:c r="L196" s="3" t="inlineStr">
        <x:is>
          <x:t>Sí</x:t>
        </x:is>
      </x:c>
      <x:c r="M196" s="3" t="inlineStr">
        <x:is>
          <x:t/>
        </x:is>
      </x:c>
      <x:c r="N196" s="3" t="inlineStr">
        <x:is>
          <x:t/>
        </x:is>
      </x:c>
      <x:c r="O196" s="3" t="inlineStr">
        <x:is>
          <x:t>19 jul. 2022</x:t>
        </x:is>
      </x:c>
      <x:c r="P196" s="3" t="inlineStr">
        <x:is>
          <x:t/>
        </x:is>
      </x:c>
      <x:c r="Q196" s="3" t="inlineStr">
        <x:is>
          <x:t/>
        </x:is>
      </x:c>
    </x:row>
    <x:row r="197">
      <x:c r="A197" s="10" t="inlineStr">
        <x:f xml:space="preserve">HYPERLINK("http://sipi.sic.gov.co/sipi/View.ashx?4139456","SD2022/0040982")</x:f>
      </x:c>
      <x:c r="B197" s="3" t="inlineStr">
        <x:is>
          <x:t>CHICAMA</x:t>
        </x:is>
      </x:c>
      <x:c r="C197" s="3" t="inlineStr">
        <x:is>
          <x:t/>
        </x:is>
      </x:c>
      <x:c r="D197" s="3" t="inlineStr">
        <x:is>
          <x:t>27 abr. 2022</x:t>
        </x:is>
      </x:c>
      <x:c r="E197" s="3" t="inlineStr">
        <x:is>
          <x:t/>
        </x:is>
      </x:c>
      <x:c r="F197" s="3" t="inlineStr">
        <x:is>
          <x:t>Negada</x:t>
        </x:is>
      </x:c>
      <x:c r="G197" s="3" t="inlineStr">
        <x:is>
          <x:t>COLO-25686-701-002-5 CSP</x:t>
        </x:is>
      </x:c>
      <x:c r="H197" s="3" t="inlineStr">
        <x:is>
          <x:t> COSMETIKA SAS, CARRERA 7 No. 180 - 75 MOD. 4 LOCAL 14, BOGOTÁ, D.C., CO</x:t>
        </x:is>
      </x:c>
      <x:c r="I197" s="3" t="inlineStr">
        <x:is>
          <x:t>3</x:t>
        </x:is>
      </x:c>
      <x:c r="J197" s="3" t="inlineStr">
        <x:is>
          <x:t>11</x:t>
        </x:is>
      </x:c>
      <x:c r="K197" s="3" t="inlineStr">
        <x:is>
          <x:t>3. Productos cosméticos y preparaciones de tocador no medicinales; dentífricos no medicinales; productos de perfumería, aceites esenciales; preparaciones para blanquear y otras sustancias para lavar la ropa; preparaciones para limpiar, pulir, desengrasar y raspar; Fragancias de uso personal; Agua de Colonia; Agua de Perfume; Agua de tocador; Agua perfumada; Perfumes; Extractos de perfumes; Productos no medicinales para la higiene bucal; Preparaciones no medicinales para la higiene dental; Preparaciones no medicinales para el cuidado bucal; Preparaciones no medicinales para el cuidado dental; Enjuagues bucales no medicinales; Enjuagues dentales no medicinales; Productos cosméticos para el cuidado bucal; Productos cosméticos para el cuidado dental; Preparados dentales blanqueadores no medicinales; Preparaciones no medicinales para la limpieza y cuidado del cuerpo; Lociones, leches y cremas corporales no medicinales; Desodorantes de uso personal; Antitranspirantes de uso personal; Jabones no medicinales; Jabones no medicinales de uso personal; Jabones no medicinales de uso personal en forma líquida, sólida y en forma de gel; Gel de baño no medicinal; Gel de ducha no medicinal; Preparaciones no medicinales para el baño; Sales de baño no medicinales; Preparaciones no medicinales para el cuidado de la piel; Exfoliantes; Talco de tocador; Polvos perfumados; Toallitas, algodones y paños impregnados de lociones cosméticas no medicinales y para perfumar; Cosméticos no medicinales, artículos de tocador no medicinales y productos de perfumería para cuidar y embellecer las pestañas, las cejas, los ojos, los labios y las uñas; Bálsamo labial no medicinal; Esmalte de uñas; Quitaesmaltes de uñas; Adhesivos para uso cosmético; Preparaciones cosméticas adelgazantes no medicinales; Preparaciones y tratamientos no medicinales para el cabello; Champús no medicinales; Productos de maquillaje; Productos para desmaquillar; Preparaciones no medicinales para el depilado; Preparaciones no medicinales para el afeitado; Preparaciones no medicinales para antes del afeitado; Preparaciones no medicinales para después del afeitado; Preparados de belleza no medicinales; Preparaciones cosméticas bronceadoras y autobronceadoras, no medicinales; Neceseres de cosmética; Fragancias para el hogar; Incienso; Popurrís aromáticos; Maderas aromáticas; Productos para perfumar la ropa; Extractos aromáticos; Productos no medicinales para el cuidado y limpieza de animales; Cera para zapateros y sastres; Preparaciones para limpiar y dar brillo al cuero y calzado.
</x:t>
        </x:is>
      </x:c>
      <x:c r="L197" s="3" t="inlineStr">
        <x:is>
          <x:t>No</x:t>
        </x:is>
      </x:c>
      <x:c r="M197" s="3" t="inlineStr">
        <x:is>
          <x:t>EDUARDO VARELA PEZZANO, CARRERA 4 NO. 72 - 35, BOGOTÁ, D.C., CO</x:t>
        </x:is>
      </x:c>
      <x:c r="N197" s="3" t="inlineStr">
        <x:is>
          <x:t/>
        </x:is>
      </x:c>
      <x:c r="O197" s="3" t="inlineStr">
        <x:is>
          <x:t>10 jun. 2022</x:t>
        </x:is>
      </x:c>
      <x:c r="P197" s="3" t="inlineStr">
        <x:is>
          <x:t/>
        </x:is>
      </x:c>
      <x:c r="Q197" s="3" t="inlineStr">
        <x:is>
          <x:t/>
        </x:is>
      </x:c>
    </x:row>
    <x:row r="198">
      <x:c r="A198" s="10" t="inlineStr">
        <x:f xml:space="preserve">HYPERLINK("http://sipi.sic.gov.co/sipi/View.ashx?4140175","SD2022/0040934")</x:f>
      </x:c>
      <x:c r="B198" s="3" t="inlineStr">
        <x:is>
          <x:t>MARCA QUE CONSISTE EN EL COLOR PANTONE 802C DELIMITADO POR LA FORMA QUE SE ILUSTRA.</x:t>
        </x:is>
      </x:c>
      <x:c r="C198" s="9" t="inlineStr">
        <x:is>
          <x:t/>
        </x:is>
      </x:c>
      <x:c r="D198" s="3" t="inlineStr">
        <x:is>
          <x:t>27 abr. 2022</x:t>
        </x:is>
      </x:c>
      <x:c r="E198" s="3" t="inlineStr">
        <x:is>
          <x:t/>
        </x:is>
      </x:c>
      <x:c r="F198" s="3" t="inlineStr">
        <x:is>
          <x:t>Negada</x:t>
        </x:is>
      </x:c>
      <x:c r="G198" s="3" t="inlineStr">
        <x:is>
          <x:t/>
        </x:is>
      </x:c>
      <x:c r="H198" s="3" t="inlineStr">
        <x:is>
          <x:t> SM MARKEN GMBH, Baarerstrasse 8, 6300 Zug, ZUG, ZUG, CH</x:t>
        </x:is>
      </x:c>
      <x:c r="I198" s="3" t="inlineStr">
        <x:is>
          <x:t>3</x:t>
        </x:is>
      </x:c>
      <x:c r="J198" s="3" t="inlineStr">
        <x:is>
          <x:t>11</x:t>
        </x:is>
      </x:c>
      <x:c r="K198" s="3" t="inlineStr">
        <x:is>
          <x:t>3. Shampoo para vehículos, cera para pulir.
</x:t>
        </x:is>
      </x:c>
      <x:c r="L198" s="3" t="inlineStr">
        <x:is>
          <x:t>No</x:t>
        </x:is>
      </x:c>
      <x:c r="M198" s="3" t="inlineStr">
        <x:is>
          <x:t>CAMILO JAVIER GOMEZ RIVEROS, Carrera 11 No. 86-32 OFC. 603, BOGOTÁ, D.C., CO</x:t>
        </x:is>
      </x:c>
      <x:c r="N198" s="3" t="inlineStr">
        <x:is>
          <x:t/>
        </x:is>
      </x:c>
      <x:c r="O198" s="3" t="inlineStr">
        <x:is>
          <x:t>30 sept. 2022</x:t>
        </x:is>
      </x:c>
      <x:c r="P198" s="3" t="inlineStr">
        <x:is>
          <x:t/>
        </x:is>
      </x:c>
      <x:c r="Q198" s="3" t="inlineStr">
        <x:is>
          <x:t/>
        </x:is>
      </x:c>
    </x:row>
    <x:row r="199">
      <x:c r="A199" s="10" t="inlineStr">
        <x:f xml:space="preserve">HYPERLINK("http://sipi.sic.gov.co/sipi/View.ashx?4143690","SD2022/0041919")</x:f>
      </x:c>
      <x:c r="B199" s="3" t="inlineStr">
        <x:is>
          <x:t>NUBE MAX EXTRA</x:t>
        </x:is>
      </x:c>
      <x:c r="C199" s="9" t="inlineStr">
        <x:is>
          <x:t/>
        </x:is>
      </x:c>
      <x:c r="D199" s="3" t="inlineStr">
        <x:is>
          <x:t>28 abr. 2022</x:t>
        </x:is>
      </x:c>
      <x:c r="E199" s="3" t="inlineStr">
        <x:is>
          <x:t/>
        </x:is>
      </x:c>
      <x:c r="F199" s="3" t="inlineStr">
        <x:is>
          <x:t>Negada</x:t>
        </x:is>
      </x:c>
      <x:c r="G199" s="3" t="inlineStr">
        <x:is>
          <x:t>4-863</x:t>
        </x:is>
      </x:c>
      <x:c r="H199" s="3" t="inlineStr">
        <x:is>
          <x:t> FABRICA DE BOLSAS DE PAPEL UNIBOL S.A.S., AUTOPISTA AEROPUERTO KM 7, SOLEDAD, ATLÁNTICO, CO</x:t>
        </x:is>
      </x:c>
      <x:c r="I199" s="3" t="inlineStr">
        <x:is>
          <x:t>3</x:t>
        </x:is>
      </x:c>
      <x:c r="J199" s="3" t="inlineStr">
        <x:is>
          <x:t>11</x:t>
        </x:is>
      </x:c>
      <x:c r="K199" s="3" t="inlineStr">
        <x:is>
          <x:t>3. Cosméticos, crema para aclarar la piel, cremas cosméticas, decolorantes para uso cosmético, desmaquilladores, extractos de flores [productos de perfumería], henna [tinte cosmético], lacas de uñas, lacas para el cabello, lociones capilares, lociones para después del afeitado, lociones para uso cosmético, maquillaje, mascarillas de belleza, menta para perfumería, perfumes, preparaciones con filtro solar, preparaciones cosméticas para el baño, preparaciones cosméticas para el bronceado de la piel, preparaciones de áloe vera para uso cosmético, productos cosméticos para el cuidado de la piel, toallitas impregnadas con preparados para el cuidado de la piel, toallas de papel para las manos impregnadas de productos cosméticos, pañitos cosméticos prehumedecidos, productos de perfumería, productos depilatorios, tintes cosméticos, tintes para la barba, toallitas impregnadas de lociones cosméticas, aceite de almendras, aceites de perfumería, aceites para uso cosmético, acondicionadores para el cabello, astringentes para uso cosmético, bases para perfumes de flores, brillos de labios, champús, colorantes para el cabello.
</x:t>
        </x:is>
      </x:c>
      <x:c r="L199" s="3" t="inlineStr">
        <x:is>
          <x:t>No</x:t>
        </x:is>
      </x:c>
      <x:c r="M199" s="3" t="inlineStr">
        <x:is>
          <x:t>GUSTAVO ADOLFO ORTEGA HERNANDEZ, Carrera 25 #1 A SUR 155 OFC. 1355, Edificio Platinum Superior, MEDELLIN, ANTIOQUIA, CO</x:t>
        </x:is>
      </x:c>
      <x:c r="N199" s="3" t="inlineStr">
        <x:is>
          <x:t/>
        </x:is>
      </x:c>
      <x:c r="O199" s="3" t="inlineStr">
        <x:is>
          <x:t>10 jun. 2022</x:t>
        </x:is>
      </x:c>
      <x:c r="P199" s="3" t="inlineStr">
        <x:is>
          <x:t/>
        </x:is>
      </x:c>
      <x:c r="Q199" s="3" t="inlineStr">
        <x:is>
          <x:t/>
        </x:is>
      </x:c>
    </x:row>
    <x:row r="200">
      <x:c r="A200" s="10" t="inlineStr">
        <x:f xml:space="preserve">HYPERLINK("http://sipi.sic.gov.co/sipi/View.ashx?4144902","SD2022/0042270")</x:f>
      </x:c>
      <x:c r="B200" s="3" t="inlineStr">
        <x:is>
          <x:t>By ABí </x:t>
        </x:is>
      </x:c>
      <x:c r="C200" s="9" t="inlineStr">
        <x:is>
          <x:t/>
        </x:is>
      </x:c>
      <x:c r="D200" s="3" t="inlineStr">
        <x:is>
          <x:t>29 abr. 2022</x:t>
        </x:is>
      </x:c>
      <x:c r="E200" s="3" t="inlineStr">
        <x:is>
          <x:t/>
        </x:is>
      </x:c>
      <x:c r="F200" s="3" t="inlineStr">
        <x:is>
          <x:t>Negada</x:t>
        </x:is>
      </x:c>
      <x:c r="G200" s="3" t="inlineStr">
        <x:is>
          <x:t/>
        </x:is>
      </x:c>
      <x:c r="H200" s="3" t="inlineStr">
        <x:is>
          <x:t>Diana Marcela Taborda Arteaga , Carrera 73 BIS numero 49 A - 29 , BOGOTÁ, D.C., CO</x:t>
        </x:is>
      </x:c>
      <x:c r="I200" s="3" t="inlineStr">
        <x:is>
          <x:t>3</x:t>
        </x:is>
      </x:c>
      <x:c r="J200" s="3" t="inlineStr">
        <x:is>
          <x:t>11</x:t>
        </x:is>
      </x:c>
      <x:c r="K200" s="3" t="inlineStr">
        <x:is>
          <x:t>3. Cosméticos en forma de cremas; crema corporal; crema corporal para uso cosmético; crema en gel para matificar la piel; crema para aclarar la piel; cremas antiarrugas; cremas antiarrugas para uso cosmético; cremas antienvejecimiento; cremas antienvejecimiento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detoxificantes fitoactivas; cremas cosméticas nutritivas; cremas cosméticas para el cuidado de la piel; cremas cosméticas para el rostro; cremas cosméticas para el tratamiento de los labios; cremas de bálsamo para disimular las imperfecciones de la piel; cremas de hidratación intensiva; cremas de limpieza [cosméticos]; cremas de limpieza [para uso cosmético]; cremas de limpieza [productos cosméticos]; cremas de limpieza para uso cosmético; cremas de mano a base de cáñamo; cremas de masaje cosméticas; cremas exfoliantes; cremas exfoliantes para uso cosmético; cremas faciales; cremas faciales para uso cosmético; cremas hidratantes para después del sol; cremas limpiadoras para uso cosmético; cremas líquidas y sólidas para la piel; cremas multiactivas para el contorno de los ojos; cremas no medicadas para suavizar la piel; cremas para después del sol; cremas para después del sol de uso cosmético; cremas para el rostro; cremas para el rostro de uso cosmético; cremas para los labios; cremas para los labios de uso cosmético; cremas para los ojos; cremas para los ojos de uso cosmético; cremas para manos a base de cáñamo; cremas para tez clara; cremas perfumadas para el cuerpo; cremas perfumadas para uso cosmético; cremas reafirmantes corporales; cremas reafirmantes para el cuerpo; cremas regeneradoras; cremas regenerantes; cremas reparadoras para contornos de ojos; cremas reparadoras para la piel [cosméticos]; cremas solares para bebés; cremas tonificantes [cosméticos]; cremas tópicas a base de hierbas para reafirmar y realzar el busto;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gel crema matificante; geles, cremas y aceites de ducha; hidrocremas intensiva; jabones en crema; jabones en crema para el cuerpo; leches, geles, lociones y cremas desmaquillantes;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maquillajes de base en crema; mascarillas corporales en forma de cremas; mascarillas corporales en forma de cremas para uso cosmético; polvos faciales en crema; productos cosméticos en forma de cremas; lociones de aromaterapia; lociones de baño; lociones de baño para uso cosmético; lociones de belleza; lociones de limpieza dental; lociones depilatorias; lociones desmaquillantes; lociones estimulantes no medicinales para la piel; lociones lácteas; lociones lácteas para el cuidado de la piel; lociones no medicadas para el rostro; lociones no medicinales para aclarar la piel; lociones no medicinales para el cuidado de la piel [cosméticos]; lociones para bebés; lociones para bebés [productos de tocador]; lociones para el cabello; lociones para el cabello de uso cosmético; lociones para el cuerpo; lociones para la barba; lociones para la piel; lociones para reducir la celulitis; lociones para reducir la celulitis de uso cosmético; lociones para rizar el cabello; lociones para uso cosmético; mascarillas corporales en forma de lociones; mascarillas corporales en forma de lociones para uso cosmético; pomadas y lociones no medicinales contra la dermatitis del pañal; productos cosméticos, a saber, lociones; productos de perfumería, aceites esenciales, cosméticos, lociones capilares; toallitas impregnadas de lociones cosméticas.
</x:t>
        </x:is>
      </x:c>
      <x:c r="L200" s="3" t="inlineStr">
        <x:is>
          <x:t>No</x:t>
        </x:is>
      </x:c>
      <x:c r="M200" s="3" t="inlineStr">
        <x:is>
          <x:t>Juan Pablo Tavera Luengas, Av Pradilla 1b 33 int 16 , CHIA, CUNDINAMARCA, CO</x:t>
        </x:is>
      </x:c>
      <x:c r="N200" s="3" t="inlineStr">
        <x:is>
          <x:t/>
        </x:is>
      </x:c>
      <x:c r="O200" s="3" t="inlineStr">
        <x:is>
          <x:t>30 sept. 2022</x:t>
        </x:is>
      </x:c>
      <x:c r="P200" s="3" t="inlineStr">
        <x:is>
          <x:t/>
        </x:is>
      </x:c>
      <x:c r="Q200" s="3" t="inlineStr">
        <x:is>
          <x:t/>
        </x:is>
      </x:c>
    </x:row>
    <x:row r="201">
      <x:c r="A201" s="10" t="inlineStr">
        <x:f xml:space="preserve">HYPERLINK("http://sipi.sic.gov.co/sipi/View.ashx?4145286","SD2022/0042320")</x:f>
      </x:c>
      <x:c r="B201" s="3" t="inlineStr">
        <x:is>
          <x:t>SUN SOL</x:t>
        </x:is>
      </x:c>
      <x:c r="C201" s="9" t="inlineStr">
        <x:is>
          <x:t/>
        </x:is>
      </x:c>
      <x:c r="D201" s="3" t="inlineStr">
        <x:is>
          <x:t>29 abr. 2022</x:t>
        </x:is>
      </x:c>
      <x:c r="E201" s="3" t="inlineStr">
        <x:is>
          <x:t/>
        </x:is>
      </x:c>
      <x:c r="F201" s="3" t="inlineStr">
        <x:is>
          <x:t>Negada</x:t>
        </x:is>
      </x:c>
      <x:c r="G201" s="3" t="inlineStr">
        <x:is>
          <x:t/>
        </x:is>
      </x:c>
      <x:c r="H201" s="3" t="inlineStr">
        <x:is>
          <x:t> TRIDEX FARMACEUTICA S.A.S., CARRERA 46 NO. 12 - 30, BOGOTÁ, D.C., CO</x:t>
        </x:is>
      </x:c>
      <x:c r="I201" s="3" t="inlineStr">
        <x:is>
          <x:t>3</x:t>
        </x:is>
      </x:c>
      <x:c r="J201" s="3" t="inlineStr">
        <x:is>
          <x:t>11</x:t>
        </x:is>
      </x:c>
      <x:c r="K201" s="3" t="inlineStr">
        <x:is>
          <x:t>3.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perfumería, inciensos y fragancias; jabones cosméticos; jabones de baño; jabones de papel para uso personal; jabones de tocador no medicinales; jabones de tocador perfumados; jabones desodorantes; jabones en crema; jabones líquidos; jabones líquidos no medicinales; jabones líquidos para baños de pies; jabones líquidos para las manos y el rostro; jabones líquidos para las manos, el rostro y el cuerpo; jabones no medicados para el cuerpo; jabones no medicados para la cara; jabones no medicados para las manos; jabones para la piel; jabones para las manos; jabones para uso personal; jabones vegetales; productos cosméticos para el cuidado de la piel de los perros; productos para lavar perros [champús].
</x:t>
        </x:is>
      </x:c>
      <x:c r="L201" s="3" t="inlineStr">
        <x:is>
          <x:t>Sí</x:t>
        </x:is>
      </x:c>
      <x:c r="M201" s="3" t="inlineStr">
        <x:is>
          <x:t>CARLOS FERNANDO MORENO GARCIA, ​Calle 64 No 09 - 05 ofc 302 y 303, BOGOTÁ, D.C., CO</x:t>
        </x:is>
      </x:c>
      <x:c r="N201" s="3" t="inlineStr">
        <x:is>
          <x:t/>
        </x:is>
      </x:c>
      <x:c r="O201" s="3" t="inlineStr">
        <x:is>
          <x:t>10 may. 2022</x:t>
        </x:is>
      </x:c>
      <x:c r="P201" s="3" t="inlineStr">
        <x:is>
          <x:t/>
        </x:is>
      </x:c>
      <x:c r="Q201" s="3" t="inlineStr">
        <x:is>
          <x:t/>
        </x:is>
      </x:c>
    </x:row>
    <x:row r="202">
      <x:c r="A202" s="10" t="inlineStr">
        <x:f xml:space="preserve">HYPERLINK("http://sipi.sic.gov.co/sipi/View.ashx?4147972","SD2022/0044714")</x:f>
      </x:c>
      <x:c r="B202" s="3" t="inlineStr">
        <x:is>
          <x:t>Ques tropical curly's</x:t>
        </x:is>
      </x:c>
      <x:c r="C202" s="3" t="inlineStr">
        <x:is>
          <x:t/>
        </x:is>
      </x:c>
      <x:c r="D202" s="3" t="inlineStr">
        <x:is>
          <x:t>05 may. 2022</x:t>
        </x:is>
      </x:c>
      <x:c r="E202" s="3" t="inlineStr">
        <x:is>
          <x:t/>
        </x:is>
      </x:c>
      <x:c r="F202" s="3" t="inlineStr">
        <x:is>
          <x:t>Negada</x:t>
        </x:is>
      </x:c>
      <x:c r="G202" s="3" t="inlineStr">
        <x:is>
          <x:t>Ques tropical curly´s</x:t>
        </x:is>
      </x:c>
      <x:c r="H202" s="3" t="inlineStr">
        <x:is>
          <x:t> GRUPO ASOCIADO DE BELLEZA S.A.S., Calle 45 No. 53 – 50 Piso 9- BD 905 , MEDELLIN, ANTIOQUIA, CO</x:t>
        </x:is>
      </x:c>
      <x:c r="I202" s="3" t="inlineStr">
        <x:is>
          <x:t>3</x:t>
        </x:is>
      </x:c>
      <x:c r="J202" s="3" t="inlineStr">
        <x:is>
          <x:t>11</x:t>
        </x:is>
      </x:c>
      <x:c r="K202" s="3" t="inlineStr">
        <x:is>
          <x:t>3. Bálsamos para el cabello; champúes para el cabello; champús y acondicionadores para el cabello; crema para peinar el cabello; geles de belleza; leches de belleza; lociones de belleza; mascarillas de belleza; preparaciones para cuidados corporales y de belleza; preparaciones para el cuidado del cuerpo y la belleza; aceite fijador para el cabello; aceite japonés para fijar el cabello; aceites para el cabello; acondicionadores para el cabello; acondicionadores para el cabello para bebés; acondicionadores para uso en el cabello; brillantina para el cabello; cera para el cabello; ceras para el cabello; champús para el cabello humano; champús para el cabello y el cuerpo; colorantes para el cabello.
</x:t>
        </x:is>
      </x:c>
      <x:c r="L202" s="3" t="inlineStr">
        <x:is>
          <x:t>No</x:t>
        </x:is>
      </x:c>
      <x:c r="M202" s="3" t="inlineStr">
        <x:is>
          <x:t>JUAN CAMILO VILLA BETANCOURT, Calle 1 #29-110 - Medellín, MEDELLIN, ANTIOQUIA, CO</x:t>
        </x:is>
      </x:c>
      <x:c r="N202" s="3" t="inlineStr">
        <x:is>
          <x:t/>
        </x:is>
      </x:c>
      <x:c r="O202" s="3" t="inlineStr">
        <x:is>
          <x:t>10 may. 2022</x:t>
        </x:is>
      </x:c>
      <x:c r="P202" s="3" t="inlineStr">
        <x:is>
          <x:t/>
        </x:is>
      </x:c>
      <x:c r="Q202" s="3" t="inlineStr">
        <x:is>
          <x:t/>
        </x:is>
      </x:c>
    </x:row>
    <x:row r="203">
      <x:c r="A203" s="10" t="inlineStr">
        <x:f xml:space="preserve">HYPERLINK("http://sipi.sic.gov.co/sipi/View.ashx?4148172","SD2022/0042971")</x:f>
      </x:c>
      <x:c r="B203" s="3" t="inlineStr">
        <x:is>
          <x:t>Karité</x:t>
        </x:is>
      </x:c>
      <x:c r="C203" s="9" t="inlineStr">
        <x:is>
          <x:t/>
        </x:is>
      </x:c>
      <x:c r="D203" s="3" t="inlineStr">
        <x:is>
          <x:t>02 may. 2022</x:t>
        </x:is>
      </x:c>
      <x:c r="E203" s="3" t="inlineStr">
        <x:is>
          <x:t/>
        </x:is>
      </x:c>
      <x:c r="F203" s="3" t="inlineStr">
        <x:is>
          <x:t>Negada</x:t>
        </x:is>
      </x:c>
      <x:c r="G203" s="3" t="inlineStr">
        <x:is>
          <x:t>Karité (Mixta) CL. 3</x:t>
        </x:is>
      </x:c>
      <x:c r="H203" s="3" t="inlineStr">
        <x:is>
          <x:t> MUNDIAL SHOP S.A.S, Calle 46 No. 51 - 17 L 208, MEDELLIN,, ANTIOQUIA, CO</x:t>
        </x:is>
      </x:c>
      <x:c r="I203" s="3" t="inlineStr">
        <x:is>
          <x:t>3</x:t>
        </x:is>
      </x:c>
      <x:c r="J203" s="3" t="inlineStr">
        <x:is>
          <x:t>11</x:t>
        </x:is>
      </x:c>
      <x:c r="K203" s="3" t="inlineStr">
        <x:is>
          <x:t>3. Jabones, perfumería, aceites esenciales, cosméticos, lociones, preparaciones cosméticas para el baño, desodorantes para uso personal, preparaciones depilatorias, preparaciones para remover el maquillaje, preparaciones para remover el barniz.
</x:t>
        </x:is>
      </x:c>
      <x:c r="L203" s="3" t="inlineStr">
        <x:is>
          <x:t>Sí</x:t>
        </x:is>
      </x:c>
      <x:c r="M203" s="3" t="inlineStr">
        <x:is>
          <x:t>JESUS ABELARDO CARDENAS ALFARO, CARRERA 7 NO. 74-56 OFICINA 804, BOGOTÁ, D.C., CO</x:t>
        </x:is>
      </x:c>
      <x:c r="N203" s="3" t="inlineStr">
        <x:is>
          <x:t/>
        </x:is>
      </x:c>
      <x:c r="O203" s="3" t="inlineStr">
        <x:is>
          <x:t>10 may. 2022</x:t>
        </x:is>
      </x:c>
      <x:c r="P203" s="3" t="inlineStr">
        <x:is>
          <x:t/>
        </x:is>
      </x:c>
      <x:c r="Q203" s="3" t="inlineStr">
        <x:is>
          <x:t/>
        </x:is>
      </x:c>
    </x:row>
    <x:row r="204">
      <x:c r="A204" s="10" t="inlineStr">
        <x:f xml:space="preserve">HYPERLINK("http://sipi.sic.gov.co/sipi/View.ashx?4151021","SD2022/0043794")</x:f>
      </x:c>
      <x:c r="B204" s="3" t="inlineStr">
        <x:is>
          <x:t>BRIZZENCE BLISSFUL BEAUTY</x:t>
        </x:is>
      </x:c>
      <x:c r="C204" s="3" t="inlineStr">
        <x:is>
          <x:t/>
        </x:is>
      </x:c>
      <x:c r="D204" s="3" t="inlineStr">
        <x:is>
          <x:t>03 may. 2022</x:t>
        </x:is>
      </x:c>
      <x:c r="E204" s="3" t="inlineStr">
        <x:is>
          <x:t/>
        </x:is>
      </x:c>
      <x:c r="F204" s="3" t="inlineStr">
        <x:is>
          <x:t>Negada</x:t>
        </x:is>
      </x:c>
      <x:c r="G204" s="3" t="inlineStr">
        <x:is>
          <x:t/>
        </x:is>
      </x:c>
      <x:c r="H204" s="3" t="inlineStr">
        <x:is>
          <x:t> GLOBAL COSMETICS LLC, 250 CATALONIA AVE - SUITE 702, CORAL GABLES, FLORIDA, US</x:t>
        </x:is>
      </x:c>
      <x:c r="I204" s="3" t="inlineStr">
        <x:is>
          <x:t>3</x:t>
        </x:is>
      </x:c>
      <x:c r="J204" s="3" t="inlineStr">
        <x:is>
          <x:t>11</x:t>
        </x:is>
      </x:c>
      <x:c r="K204" s="3" t="inlineStr">
        <x:is>
          <x:t>3. ACEITES ESENCIALES; COSMÉTICOS; DENTÍFRICOS; JABONES; LOCIONES CAPILARES.
</x:t>
        </x:is>
      </x:c>
      <x:c r="L204" s="3" t="inlineStr">
        <x:is>
          <x:t>No</x:t>
        </x:is>
      </x:c>
      <x:c r="M204" s="3" t="inlineStr">
        <x:is>
          <x:t>DIEGO FERNANDO HERNANDEZ QUINTERO , CALLE+13+NO.8-23+OF.+318, BOGOTÁ, D.C., CO</x:t>
        </x:is>
      </x:c>
      <x:c r="N204" s="3" t="inlineStr">
        <x:is>
          <x:t/>
        </x:is>
      </x:c>
      <x:c r="O204" s="3" t="inlineStr">
        <x:is>
          <x:t>30 ago. 2022</x:t>
        </x:is>
      </x:c>
      <x:c r="P204" s="3" t="inlineStr">
        <x:is>
          <x:t/>
        </x:is>
      </x:c>
      <x:c r="Q204" s="3" t="inlineStr">
        <x:is>
          <x:t/>
        </x:is>
      </x:c>
    </x:row>
    <x:row r="205">
      <x:c r="A205" s="10" t="inlineStr">
        <x:f xml:space="preserve">HYPERLINK("http://sipi.sic.gov.co/sipi/View.ashx?4151663","SD2022/0043904")</x:f>
      </x:c>
      <x:c r="B205" s="3" t="inlineStr">
        <x:is>
          <x:t>AHLI</x:t>
        </x:is>
      </x:c>
      <x:c r="C205" s="9" t="inlineStr">
        <x:is>
          <x:t/>
        </x:is>
      </x:c>
      <x:c r="D205" s="3" t="inlineStr">
        <x:is>
          <x:t>04 may. 2022</x:t>
        </x:is>
      </x:c>
      <x:c r="E205" s="3" t="inlineStr">
        <x:is>
          <x:t/>
        </x:is>
      </x:c>
      <x:c r="F205" s="3" t="inlineStr">
        <x:is>
          <x:t>Negada</x:t>
        </x:is>
      </x:c>
      <x:c r="G205" s="3" t="inlineStr">
        <x:is>
          <x:t>S - SD - AHLI</x:t>
        </x:is>
      </x:c>
      <x:c r="H205" s="3" t="inlineStr">
        <x:is>
          <x:t> ILMIN S.A.S, Centro Comercial Mall Carabanchel Las Palmas sec la Fe Local 12, EL RETIRO, ANTIOQUIA, CO</x:t>
        </x:is>
      </x:c>
      <x:c r="I205" s="3" t="inlineStr">
        <x:is>
          <x:t>3</x:t>
        </x:is>
      </x:c>
      <x:c r="J205" s="3" t="inlineStr">
        <x:is>
          <x:t>11</x:t>
        </x:is>
      </x:c>
      <x:c r="K205" s="3" t="inlineStr">
        <x:is>
          <x:t>3. Productos de perfumería, aceites esenciales, cosméticos, lociones capilares.
</x:t>
        </x:is>
      </x:c>
      <x:c r="L205" s="3" t="inlineStr">
        <x:is>
          <x:t>No</x:t>
        </x:is>
      </x:c>
      <x:c r="M205" s="3" t="inlineStr">
        <x:is>
          <x:t>WILLIAM ORLANDO  QUIROGA, Carrera 13 No. 32-93. Torre 3, Oficina 708. Parque Central Baviera., BOGOTA, CUNDINAMARCA, CO</x:t>
        </x:is>
      </x:c>
      <x:c r="N205" s="3" t="inlineStr">
        <x:is>
          <x:t/>
        </x:is>
      </x:c>
      <x:c r="O205" s="3" t="inlineStr">
        <x:is>
          <x:t>30 jun. 2022</x:t>
        </x:is>
      </x:c>
      <x:c r="P205" s="3" t="inlineStr">
        <x:is>
          <x:t/>
        </x:is>
      </x:c>
      <x:c r="Q205" s="3" t="inlineStr">
        <x:is>
          <x:t/>
        </x:is>
      </x:c>
    </x:row>
    <x:row r="206">
      <x:c r="A206" s="10" t="inlineStr">
        <x:f xml:space="preserve">HYPERLINK("http://sipi.sic.gov.co/sipi/View.ashx?4151908","SD2022/0045902")</x:f>
      </x:c>
      <x:c r="B206" s="3" t="inlineStr">
        <x:is>
          <x:t>TRAPER</x:t>
        </x:is>
      </x:c>
      <x:c r="C206" s="3" t="inlineStr">
        <x:is>
          <x:t/>
        </x:is>
      </x:c>
      <x:c r="D206" s="3" t="inlineStr">
        <x:is>
          <x:t>10 may. 2022</x:t>
        </x:is>
      </x:c>
      <x:c r="E206" s="3" t="inlineStr">
        <x:is>
          <x:t/>
        </x:is>
      </x:c>
      <x:c r="F206" s="3" t="inlineStr">
        <x:is>
          <x:t>Negada</x:t>
        </x:is>
      </x:c>
      <x:c r="G206" s="3" t="inlineStr">
        <x:is>
          <x:t>TRAPER</x:t>
        </x:is>
      </x:c>
      <x:c r="H206" s="3" t="inlineStr">
        <x:is>
          <x:t> ANASAC COLOMBIA LTDA., Km 1.5 via funza siberia parque industrial san diego bodega c 14, FACATATIVA, CUNDINAMARCA, CO</x:t>
        </x:is>
      </x:c>
      <x:c r="I206" s="3" t="inlineStr">
        <x:is>
          <x:t>3</x:t>
        </x:is>
      </x:c>
      <x:c r="J206" s="3" t="inlineStr">
        <x:is>
          <x:t>11</x:t>
        </x:is>
      </x:c>
      <x:c r="K206" s="3" t="inlineStr">
        <x:is>
          <x:t>3. Cosméticos para animales; champús para animales [preparaciones de higiene no medicamentosas]; champús para animales [preparaciones higiénicas no medicinales]; desodorantes para animales; enjuagues bucales no medicinales para animales de compañía; preparaciones de protección solar para animales; preparaciones para el baño de los animales; preparaciones para el cuidado dental de los animales.
</x:t>
        </x:is>
      </x:c>
      <x:c r="L206" s="3" t="inlineStr">
        <x:is>
          <x:t>No</x:t>
        </x:is>
      </x:c>
      <x:c r="M206" s="3" t="inlineStr">
        <x:is>
          <x:t>DANIEL ANDRES MAURICIO HERNÁNDEZ DÁVILA, CARRERA 7B N 123-46, BOGOTÁ, D.C., CO</x:t>
        </x:is>
      </x:c>
      <x:c r="N206" s="3" t="inlineStr">
        <x:is>
          <x:t/>
        </x:is>
      </x:c>
      <x:c r="O206" s="3" t="inlineStr">
        <x:is>
          <x:t>20 may. 2022</x:t>
        </x:is>
      </x:c>
      <x:c r="P206" s="3" t="inlineStr">
        <x:is>
          <x:t/>
        </x:is>
      </x:c>
      <x:c r="Q206" s="3" t="inlineStr">
        <x:is>
          <x:t/>
        </x:is>
      </x:c>
    </x:row>
    <x:row r="207">
      <x:c r="A207" s="10" t="inlineStr">
        <x:f xml:space="preserve">HYPERLINK("http://sipi.sic.gov.co/sipi/View.ashx?4153918","SD2022/0045462")</x:f>
      </x:c>
      <x:c r="B207" s="3" t="inlineStr">
        <x:is>
          <x:t>MI PIEL BY KELLY GUERRA</x:t>
        </x:is>
      </x:c>
      <x:c r="C207" s="9" t="inlineStr">
        <x:is>
          <x:t/>
        </x:is>
      </x:c>
      <x:c r="D207" s="3" t="inlineStr">
        <x:is>
          <x:t>07 may. 2022</x:t>
        </x:is>
      </x:c>
      <x:c r="E207" s="3" t="inlineStr">
        <x:is>
          <x:t/>
        </x:is>
      </x:c>
      <x:c r="F207" s="3" t="inlineStr">
        <x:is>
          <x:t>Negada</x:t>
        </x:is>
      </x:c>
      <x:c r="G207" s="3" t="inlineStr">
        <x:is>
          <x:t>Solicitud - Kelly Guerra</x:t>
        </x:is>
      </x:c>
      <x:c r="H207" s="3" t="inlineStr">
        <x:is>
          <x:t>Kelly de Jesús Guerra Romero, Calle 47A Cr. 31 - 48 Barrio Santa Cruz, SANTA MARTA, MAGDALENA, CO</x:t>
        </x:is>
      </x:c>
      <x:c r="I207" s="3" t="inlineStr">
        <x:is>
          <x:t>3</x:t>
        </x:is>
      </x:c>
      <x:c r="J207" s="3" t="inlineStr">
        <x:is>
          <x:t>11</x:t>
        </x:is>
      </x:c>
      <x:c r="K207" s="3" t="inlineStr">
        <x:is>
          <x:t>3. Aceites cosméticos; colonias, perfumes y productos cosméticos; colorantes labiales [cosméticos]; cosméticos; cosméticos de belleza; cosméticos en forma de cremas; cosméticos en forma de polvos; cosméticos naturales; cosméticos orgánicos; cosméticos para el cabello; cosméticos para el cuidado del cuerpo; cremas para el cuerpo [cosméticos]; cremas para la cara [cosméticos]; jabones cosméticos; limpiadores cosméticos faciales; lociones faciales [cosméticos]; lociones hidratantes [cosméticos]; lociones para el cuidado de la piel [cosméticos]; lociones para la piel [productos cosméticos]; sueros faciales; sueros faciales para uso cosmético; sueros no medicinales para la piel; serum para calmar la piel [cosmético]; serum calmante para la piel; lociones capilares*; preparaciones para tratamientos capilares; aceites de protección solar [cosméticos]; aceites y lociones de protección solar; barras de labios con protección solar [cosméticos]; lociones de protección solar para uso cosmético; preparaciones para suavizar y eliminar las manchas; productos para suavizar y eliminar las manchas; quitamanchas; aceites esenciales de origen vegetal; aceites vegetales esenciales; jabones vegetales.
</x:t>
        </x:is>
      </x:c>
      <x:c r="L207" s="3" t="inlineStr">
        <x:is>
          <x:t>Sí</x:t>
        </x:is>
      </x:c>
      <x:c r="M207" s="3" t="inlineStr">
        <x:is>
          <x:t>María Fernanda Duarte Correa, cra 72A no. 30A - 13, MEDELLIN, ANTIOQUIA, CO</x:t>
        </x:is>
      </x:c>
      <x:c r="N207" s="3" t="inlineStr">
        <x:is>
          <x:t/>
        </x:is>
      </x:c>
      <x:c r="O207" s="3" t="inlineStr">
        <x:is>
          <x:t>19 jul. 2022</x:t>
        </x:is>
      </x:c>
      <x:c r="P207" s="3" t="inlineStr">
        <x:is>
          <x:t/>
        </x:is>
      </x:c>
      <x:c r="Q207" s="3" t="inlineStr">
        <x:is>
          <x:t/>
        </x:is>
      </x:c>
    </x:row>
    <x:row r="208">
      <x:c r="A208" s="10" t="inlineStr">
        <x:f xml:space="preserve">HYPERLINK("http://sipi.sic.gov.co/sipi/View.ashx?4155196","SD2022/0044901")</x:f>
      </x:c>
      <x:c r="B208" s="3" t="inlineStr">
        <x:is>
          <x:t>DERMACLINIC</x:t>
        </x:is>
      </x:c>
      <x:c r="C208" s="3" t="inlineStr">
        <x:is>
          <x:t/>
        </x:is>
      </x:c>
      <x:c r="D208" s="3" t="inlineStr">
        <x:is>
          <x:t>05 may. 2022</x:t>
        </x:is>
      </x:c>
      <x:c r="E208" s="3" t="inlineStr">
        <x:is>
          <x:t/>
        </x:is>
      </x:c>
      <x:c r="F208" s="3" t="inlineStr">
        <x:is>
          <x:t>Negada</x:t>
        </x:is>
      </x:c>
      <x:c r="G208" s="3" t="inlineStr">
        <x:is>
          <x:t/>
        </x:is>
      </x:c>
      <x:c r="H208" s="3" t="inlineStr">
        <x:is>
          <x:t>MARIA ISABEL PALMA ROJAS, carrera 25#73-26, BOGOTÁ, D.C., CO</x:t>
        </x:is>
      </x:c>
      <x:c r="I208" s="3" t="inlineStr">
        <x:is>
          <x:t>3</x:t>
        </x:is>
      </x:c>
      <x:c r="J208" s="3" t="inlineStr">
        <x:is>
          <x:t>11</x:t>
        </x:is>
      </x:c>
      <x:c r="K208" s="3" t="inlineStr">
        <x:is>
          <x:t>3. Astringentes para uso cosmético; cosméticos para cuidados corporales y estéticos; cosméticos y preparaciones cosméticas; cosméticos y preparaciones de cuidado personal; cosméticos; cremas, aceites, lociones, aerosoles, lápices y bálsamos para uso cosmético; cremas acondicionadoras para la piel, de uso cosmético; cremas, leches, lociones, geles y polvos cosméticos para la cara, el cuerpo y las manos; cremas de limpieza [para uso cosmético]; cremas para la piel de uso cosmético; cremas y geles cosméticos para cara, manos y cuerpo; emolientes para la piel de uso cosmético; emulsiones para el cuerpo de uso cosmético; hidratantes [cosméticos]; pomadas en barra para uso cosmético; pomadas para uso cosmético; preparaciones cosméticas para bebé; preparaciones hidratantes [cosméticos].
</x:t>
        </x:is>
      </x:c>
      <x:c r="L208" s="3" t="inlineStr">
        <x:is>
          <x:t>No</x:t>
        </x:is>
      </x:c>
      <x:c r="M208" s="3" t="inlineStr">
        <x:is>
          <x:t>INGRID JOANA GIL GRANADOS , Carrera 91 No. 139 06, Oficina 235, BOGOTÁ, D.C., CO</x:t>
        </x:is>
      </x:c>
      <x:c r="N208" s="3" t="inlineStr">
        <x:is>
          <x:t/>
        </x:is>
      </x:c>
      <x:c r="O208" s="3" t="inlineStr">
        <x:is>
          <x:t>08 jul. 2022</x:t>
        </x:is>
      </x:c>
      <x:c r="P208" s="3" t="inlineStr">
        <x:is>
          <x:t/>
        </x:is>
      </x:c>
      <x:c r="Q208" s="3" t="inlineStr">
        <x:is>
          <x:t/>
        </x:is>
      </x:c>
    </x:row>
    <x:row r="209">
      <x:c r="A209" s="10" t="inlineStr">
        <x:f xml:space="preserve">HYPERLINK("http://sipi.sic.gov.co/sipi/View.ashx?4155910","SD2022/0045062")</x:f>
      </x:c>
      <x:c r="B209" s="3" t="inlineStr">
        <x:is>
          <x:t>GEVILLFRANCE</x:t>
        </x:is>
      </x:c>
      <x:c r="C209" s="9" t="inlineStr">
        <x:is>
          <x:t/>
        </x:is>
      </x:c>
      <x:c r="D209" s="3" t="inlineStr">
        <x:is>
          <x:t>06 may. 2022</x:t>
        </x:is>
      </x:c>
      <x:c r="E209" s="3" t="inlineStr">
        <x:is>
          <x:t/>
        </x:is>
      </x:c>
      <x:c r="F209" s="3" t="inlineStr">
        <x:is>
          <x:t>Negada</x:t>
        </x:is>
      </x:c>
      <x:c r="G209" s="3" t="inlineStr">
        <x:is>
          <x:t>GEVILLFRANCE</x:t>
        </x:is>
      </x:c>
      <x:c r="H209" s="3" t="inlineStr">
        <x:is>
          <x:t>CESAR AUGUSTO GONZALEZ GIRALDO , Calle 49  No. 48 -  63 -LC 131, RIONEGRO, ANTIOQUIA, CO</x:t>
        </x:is>
      </x:c>
      <x:c r="I209" s="3" t="inlineStr">
        <x:is>
          <x:t>3</x:t>
        </x:is>
      </x:c>
      <x:c r="J209" s="3" t="inlineStr">
        <x:is>
          <x:t>11</x:t>
        </x:is>
      </x:c>
      <x:c r="K20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209" s="3" t="inlineStr">
        <x:is>
          <x:t>Sí</x:t>
        </x:is>
      </x:c>
      <x:c r="M209" s="3" t="inlineStr">
        <x:is>
          <x:t>LIBARDO CARDENAS GIRALDO, CARRERA 7 No. 17-51 OFICINA 1009., BOGOTÁ, D.C., CO</x:t>
        </x:is>
      </x:c>
      <x:c r="N209" s="3" t="inlineStr">
        <x:is>
          <x:t/>
        </x:is>
      </x:c>
      <x:c r="O209" s="3" t="inlineStr">
        <x:is>
          <x:t>21 jun. 2022</x:t>
        </x:is>
      </x:c>
      <x:c r="P209" s="3" t="inlineStr">
        <x:is>
          <x:t/>
        </x:is>
      </x:c>
      <x:c r="Q209" s="3" t="inlineStr">
        <x:is>
          <x:t/>
        </x:is>
      </x:c>
    </x:row>
    <x:row r="210">
      <x:c r="A210" s="10" t="inlineStr">
        <x:f xml:space="preserve">HYPERLINK("http://sipi.sic.gov.co/sipi/View.ashx?4155954","SD2022/0046602")</x:f>
      </x:c>
      <x:c r="B210" s="3" t="inlineStr">
        <x:is>
          <x:t>APiTZ</x:t>
        </x:is>
      </x:c>
      <x:c r="C210" s="9" t="inlineStr">
        <x:is>
          <x:t/>
        </x:is>
      </x:c>
      <x:c r="D210" s="3" t="inlineStr">
        <x:is>
          <x:t>11 may. 2022</x:t>
        </x:is>
      </x:c>
      <x:c r="E210" s="3" t="inlineStr">
        <x:is>
          <x:t/>
        </x:is>
      </x:c>
      <x:c r="F210" s="3" t="inlineStr">
        <x:is>
          <x:t>Negada</x:t>
        </x:is>
      </x:c>
      <x:c r="G210" s="3" t="inlineStr">
        <x:is>
          <x:t>REGISTRO DE MARCA APITZ</x:t>
        </x:is>
      </x:c>
      <x:c r="H210" s="3" t="inlineStr">
        <x:is>
          <x:t>PAOLA ANDREA  APITZ MORA, Calle 2AN casa 7E-58 barrio los pinos, CUCUTA, NORTE DE SANTANDER, CO</x:t>
        </x:is>
      </x:c>
      <x:c r="I210" s="3" t="inlineStr">
        <x:is>
          <x:t>3, 25, 35, 44</x:t>
        </x:is>
      </x:c>
      <x:c r="J210" s="3" t="inlineStr">
        <x:is>
          <x:t>11</x:t>
        </x:is>
      </x:c>
      <x:c r="K210" s="3" t="inlineStr">
        <x:is>
          <x:t>3. Maquillaje; maquillaje [cosméticos]; maquillaje para el rostro y el cuerpo; kits de maquillaje; cosméticos; cosméticos de belleza; cosméticos para cuidados corporales y estéticos.
25. Prendas de vestir para mujeres, hombres y niños; prendas de vestir, calzado, artículos de sombrerería; ropa*.
35. Servicios de compra de prendas de vestir para terceros; servicios de venta minorista en línea de productos cosméticos y de belleza, así como de prendas de vestir y complementos; servicios de venta minorista por correspondencia de prendas de vestir y accesorios; comercialización de productos; comercialización de productos para terceros; comercialización por internet; servicios de venta al por mayor y al por menor; servicios de distribución comercial al por mayor de prendas de vestir; servicios de distribución comercial al por mayor de productos cosméticos; servicios de venta al por mayor y al por menor en línea.
44. Servicios de tratamientos de belleza; servicios de salones de belleza; servicios de peluquería; servicios de peluquerías y salones de belleza; servicios de consulta en línea o en persona sobre maquillaje; servicios de consulta y aplicación de maquillaje.
</x:t>
        </x:is>
      </x:c>
      <x:c r="L210" s="3" t="inlineStr">
        <x:is>
          <x:t>No</x:t>
        </x:is>
      </x:c>
      <x:c r="M210" s="3" t="inlineStr">
        <x:is>
          <x:t>JOHANA VERGEL BERMUDEZ, Avenida 5 No. 11-63 local 212 Centro Comercial LECS, CUCUTA, NORTE DE SANTANDER, CO</x:t>
        </x:is>
      </x:c>
      <x:c r="N210" s="3" t="inlineStr">
        <x:is>
          <x:t/>
        </x:is>
      </x:c>
      <x:c r="O210" s="3" t="inlineStr">
        <x:is>
          <x:t>31 may. 2022</x:t>
        </x:is>
      </x:c>
      <x:c r="P210" s="3" t="inlineStr">
        <x:is>
          <x:t/>
        </x:is>
      </x:c>
      <x:c r="Q210" s="3" t="inlineStr">
        <x:is>
          <x:t/>
        </x:is>
      </x:c>
    </x:row>
    <x:row r="211">
      <x:c r="A211" s="10" t="inlineStr">
        <x:f xml:space="preserve">HYPERLINK("http://sipi.sic.gov.co/sipi/View.ashx?4158113","SD2022/0048186")</x:f>
      </x:c>
      <x:c r="B211" s="3" t="inlineStr">
        <x:is>
          <x:t>Suly skincare</x:t>
        </x:is>
      </x:c>
      <x:c r="C211" s="9" t="inlineStr">
        <x:is>
          <x:t/>
        </x:is>
      </x:c>
      <x:c r="D211" s="3" t="inlineStr">
        <x:is>
          <x:t>16 may. 2022</x:t>
        </x:is>
      </x:c>
      <x:c r="E211" s="3" t="inlineStr">
        <x:is>
          <x:t/>
        </x:is>
      </x:c>
      <x:c r="F211" s="3" t="inlineStr">
        <x:is>
          <x:t>Negada</x:t>
        </x:is>
      </x:c>
      <x:c r="G211" s="3" t="inlineStr">
        <x:is>
          <x:t/>
        </x:is>
      </x:c>
      <x:c r="H211" s="3" t="inlineStr">
        <x:is>
          <x:t>SULAY  DUQUE CORREA, CALLE 77 # 50 - 68, ITAGUI, ANTIOQUIA 055410, CO</x:t>
        </x:is>
      </x:c>
      <x:c r="I211" s="3" t="inlineStr">
        <x:is>
          <x:t>3</x:t>
        </x:is>
      </x:c>
      <x:c r="J211" s="3" t="inlineStr">
        <x:is>
          <x:t>11</x:t>
        </x:is>
      </x:c>
      <x:c r="K211" s="3" t="inlineStr">
        <x:is>
          <x:t>3. Cremas corporales; cremas cosmética para el cuerpo; cremas cosméticas; cremas cosméticas para reafirmar la piel; cremas cosméticas para tonificar la piel; cremas de hidratación intensiva; cremas de limpieza; champús para el cabello; champús para el cuerpo; champús y acondicionadores; lociones bronceadoras; lociones corporales; lociones cosméticas para el rostro; jabones líquidos; jabones líquidos para las manos y el rostro; perfumes y aguas de tocador.
</x:t>
        </x:is>
      </x:c>
      <x:c r="L211" s="3" t="inlineStr">
        <x:is>
          <x:t>No</x:t>
        </x:is>
      </x:c>
      <x:c r="M211" s="3" t="inlineStr">
        <x:is>
          <x:t>JAIME ANDRÉS  PÉREZ BRAVO, CALLE 45 B SUR # 40 - 53, ENVIGADO, ANTIOQUIA, CO</x:t>
        </x:is>
      </x:c>
      <x:c r="N211" s="3" t="inlineStr">
        <x:is>
          <x:t/>
        </x:is>
      </x:c>
      <x:c r="O211" s="3" t="inlineStr">
        <x:is>
          <x:t>09 ago. 2022</x:t>
        </x:is>
      </x:c>
      <x:c r="P211" s="3" t="inlineStr">
        <x:is>
          <x:t/>
        </x:is>
      </x:c>
      <x:c r="Q211" s="3" t="inlineStr">
        <x:is>
          <x:t/>
        </x:is>
      </x:c>
    </x:row>
    <x:row r="212">
      <x:c r="A212" s="10" t="inlineStr">
        <x:f xml:space="preserve">HYPERLINK("http://sipi.sic.gov.co/sipi/View.ashx?4158551","SD2022/0045621")</x:f>
      </x:c>
      <x:c r="B212" s="3" t="inlineStr">
        <x:is>
          <x:t>YAFIT IMAGE</x:t>
        </x:is>
      </x:c>
      <x:c r="C212" s="9" t="inlineStr">
        <x:is>
          <x:t/>
        </x:is>
      </x:c>
      <x:c r="D212" s="3" t="inlineStr">
        <x:is>
          <x:t>29 jun. 2022</x:t>
        </x:is>
      </x:c>
      <x:c r="E212" s="3" t="inlineStr">
        <x:is>
          <x:t/>
        </x:is>
      </x:c>
      <x:c r="F212" s="3" t="inlineStr">
        <x:is>
          <x:t>Negada</x:t>
        </x:is>
      </x:c>
      <x:c r="G212" s="3" t="inlineStr">
        <x:is>
          <x:t>YAFIT IMAGE</x:t>
        </x:is>
      </x:c>
      <x:c r="H212" s="3" t="inlineStr">
        <x:is>
          <x:t> YAFIT IMAGE S.A.S, Carrera 69P #64H 06, BOGOTÁ, D.C., CO</x:t>
        </x:is>
      </x:c>
      <x:c r="I212" s="3" t="inlineStr">
        <x:is>
          <x:t>2, 3, 5, 9, 18, 21, 35, 41, 44</x:t>
        </x:is>
      </x:c>
      <x:c r="J212" s="3" t="inlineStr">
        <x:is>
          <x:t>11</x:t>
        </x:is>
      </x:c>
      <x:c r="K212" s="3" t="inlineStr">
        <x:is>
          <x:t>2. Colorantes para la fabricación de cosméticos; colorantes para la industria de productos cosméticos; pigmentos orgánicos; extractos de campeche; colorantes para tatuajes; pigmentos para tatuajes; tinta de tatuajes; tinta para tatuajes; tintas para tatuajes; tintes; pigmentos; espesantes para pigmentos; secantes de pigmentos; pinturas al esmalte.
3. Aclaradores de uñas; blanqueadores para las uñas; brillantina para las uñas; calcomanías para las uñas; cremas para las uñas; endurecedores de uñas; escarcha para las uñas; esmaltes de uñas; fortalecedores de uñas; lacas para las uñas; puntas de uñas; purpurina para las uñas; reparadores de uñas; uñas postizas; adhesivos para fijar uñas postizas; adhesivos para pegar las uñas postizas; adhesivos para uñas postizas; apósitos para la reparación de uñas; bases para esmaltes de uñas; brillos de uñas para aplicar sobre el esmalte; calcomanías decorativas para uñas; cremas para las uñas de uso cosmético; endurecedores de uñas [cosméticos]; esmaltes de uñas en gel; esmaltes de uñas para uso cosmético; esmaltes de uñas y quitaesmaltes; lápices para aplicar el esmalte de uñas; lápices quitaesmaltes de uñas; lociones para fortalecer las uñas; pegatinas decorativas para uñas; plumas de esmalte de uñas; preparaciones cosméticas para el cuidado de las uñas; preparaciones cosméticas para las uñas; preparaciones para el cuidado de las uñas; preparaciones para pulir las uñas; preparaciones para retirar uñas de gel; productos de revestimiento para esculpir uñas; productos para ablandar las uñas; productos para el cuidado de las uñas; quitaesmalte para uñas [cosméticos]; quitaesmaltes de uñas [cosméticos]; uñas postizas de metales preciosos; uñas postizas para los dedos de los pies; kits para el cuidado de las uñas que comprenden esmaltes de uñas y quitaesmaltes; kits para el cuidado de las uñas que comprenden lacas de uñas y quitaesmaltes; kits para el cuidado de las uñas que comprenden principalmente esmaltes de uñas y quitaesmaltes; kits para el cuidado de las uñas que comprenden principalmente lacas de uñas y quitaesmaltes; esmaltes de base para las uñas [productos cosméticos]; preparaciones cosméticas para secar esmaltes de uñas; preparaciones y productos para el cuidado de las uñas; kits para el cuidado de las uñas que comprenden esmaltes de uñas, quitaesmaltes y uñas postizas; kits para el cuidado de las uñas que comprenden lacas de uñas, quitaesmaltes y uñas postizas; kits para el cuidado de las uñas que comprenden principalmente esmaltes de uñas, quitaesmaltes y uñas postizas; kits para el cuidado de las uñas que comprenden principalmente lacas de uñas, quitaesmaltes y uñas postizas; adhesivos para fijar uñas y pestañas postizas; adhesivos para pestañas, cabello y uñas postizos; productos de revestimiento para esculpir uñas [productos cosméticos]; lociones, cremas y preparaciones para el cuidado de la cara, cuerpo, cuero cabelludo, uñas y cabello; lociones, cremas y preparaciones para el cuidado del rostro, cuerpo, cuero cabelludo, uñas y cabello; aceites para el cabello; acondicionadores de cabello; acondicionadores para el cabello; acondicionadores para uso en el cabello; bálsamos para el cabello; brillantina para el cabello; cera para el cabello; ceras para el cabello; champúes para el cabello; champús para el cabello; colorantes para el cabello; cosméticos para el cabello; cremas para el cabello; enjuagues para el cabello; espumas para el cabello; fijadores para el cabello; geles para el cabello; geles para uso en el cabello; hidratantes para el cabello; lacas para el cabello; máscaras para el cabello; mascarillas para el cabello; polvo para el cabello; pomadas para el cabello; revitalizantes para el cabello; suavizantes para el cabello; tintes para el cabello; tinturas para el cabello; tonificantes para el cabello; aceite fijador para el cabello; aceite japonés para fijar el cabello; aceite para el peinado del cabello; aceites suavizantes para el cabello; acondicionadores en barritas sólidas para el cabello; acondicionadores para el cabello para bebés; agua oxigenada para el cabello; ceras para el cuidado del cabello; ceras para el peinado del cabello; champús para el cabello humano; champús para el cabello y el cuerpo; champús y acondicionadores para el cabello; crema para peinar el cabello; cremas de protección para el cabello; cremas para el cabello de uso cosmético; cremas para el cabello para uso cosmético; cremas para el cuidado del cabello; enjuagues de color para el cabello; enjuagues para el cabello de uso cosmético; espuma de protección para el cabello; espuma moldeadora para el cabello; espumas para el cabello [productos de tocador]; geles de protección para el cabello; geles para el peinado del cabello; geles y espumas para el cabello; lociones colorantes para el cabello; lociones de protección para el cabello; lociones fijadoras para ondular el cabello; lociones para el cabello de uso cosmético; lociones para fortalecer el cabello; lociones para ondular el cabello; lociones para rizar el cabello; mascarillas de belleza para el cabello; mascarillas para el cuidado del cabello; mascarillas para el peinado del cabello; polvos para lavar el cabello; pomadas para el cabello de uso cosmético; preparaciones de permanente para ondular el cabello; preparaciones de permanente para rizar el cabello; preparaciones no medicadas para el cabello; preparaciónes nutritiva para el cabello; preparaciones para alisar el cabello; preparaciones para atildar el cabello; preparaciones para decolorar el cabello; preparaciones para desrizar el cabello; preparaciones para el cuidado del cabello; preparaciones para el peinado del cabello; preparaciones para el teñido de cabellos; preparaciones para la fijación del cabello; preparaciones para la limpieza del cabello; preparaciones para lavar el cabello; preparaciones para marcar el cabello; preparaciones para ondular el cabello; preparaciones para ondular permanente el cabello; preparaciones para rizar el cabello; preparaciones para rizar permanente el cabello; preparaciones para teñir el cabello; preparación nutritiva para el cabello; productos decolorantes para el cabello; productos de enjuague para el cabello; productos de textura para el cabello; productos hidratantes para el cabello; productos para aclarar el cabello; productos para decolorar el cabello; productos para desrizar el cabello; revitalizantes para el cabello de uso cosmético; suavizantes para el cabello de uso cosmético; sueros para el cuidado del cabello; sueros para el peinado del cabello; tintes y decolorantes para el cabello; tinturas para el cabello [tintes]; tonificantes para el cabello para uso cosmético; tratamientos de alisado para el cabello; tratamientos de cera para el cabello; tratamientos de permanente del cabello; tratamientos de permanente para el cabello; tratamientos de queratina para el cabello; acondicionadores de cabello a base de cáñamo; baños de aceite para el cuidado del cabello; champúes para el cabello a base de cáñamo; cremas de protección para el cabello, no medicinales; espumas y geles para peinar el cabello; geles para dar forma al cabello; jabones líquidos para el cabello y el cuerpo; jabones líquidos para la limpieza del cabello; lacas y geles fijadores para el cabello; lociones para ondular el cabello de forma permanente; máscaras para el cabello y el cuero cabelludo; mascarillas para el cabello y el cuero cabelludo; preparaciones cosméticas para el cuidado del cabello; preparaciones para ondular y amoldar el cabello; preparaciones para ondular y marcar el cabello; preparaciones para teñir y decolorar el cabello; productos de enjuague para el cabello [champús acondicionadores]; baños de aceite para el cuidado del cabello de uso cosmético; bintsuke-abura [aceite japonés para fijar el cabello]; espumas para el peinado del cabello [productos de tocador]; mechas y reflejos [preparaciones para iluminar el cabello]; preparaciones cosméticas para el cabello y el cuero cabelludo; preparaciones cosméticas para impedir el crecimiento del cabello; preparaciones de permanente para ondular y rizar el cabello; preparaciones no medicinales para el cuidado del cabello; preparaciones para el cuidado y la limpieza del cabello; preparaciones para el tratamiento de coloración permanente del cabello; preparaciones para el tratamiento de permanente de coloración del cabello; preparaciones para limpiar, cuidar y arreglar el cabello; preparaciones para ondular permanentemente y marcar el cabello; preparaciones para ondular y rizar permanentes del cabello; preparados para el tratamiento de coloración permanente del cabello; preparados para el tratamiento de permanente de coloración del cabello; productos cosméticos para el cabello y el cuero cabelludo; productos y preparaciones para el cuidado del cabello; geles, aerosoles, espumas y bálsamos para peinar y cuidar el cabello; geles, espráis, espumas y bálsamos para peinar y cuidar el cabello; preparaciones no medicinales para el cuidado de la piel, el cabello y el cuero cabelludo; preparaciones para el cuidado del cuero cabelludo y del cabello; preparaciones para limpiar, colorear, teñir, decolorar, amoldar o para ondular permanentemente el cabello; preparaciones para limpiar, colorear, teñir, decolorar, marcar o para ondular permanentemente el cabello; preparaciones para limpiar, teñir, colorear, decolorar, marcar y peinar el cabello; acondicionadores para la piel; bronceadores para la piel; cremas para la piel; emolientes para la piel; exfoliantes para la piel; hidratante para la piel; hidratantes para la piel; jabones para la piel; limpiadores de la piel; lociones para la piel; maquillaje para la piel; mascarillas para la piel; revitalizantes para la piel; aceites cosméticos para la piel; aceites para el bronceado de la piel; aceites perfumados para el cuidado de la piel; aerosoles cosméticos de uso tópico para la piel; bálsamos para disimular las imperfecciones de la piel; bases de maquillaje para la piel; composiciones para aclarar la piel [cosméticos]; cosméticos para broncear la piel; crema en gel para matificar la piel; crema para aclarar la piel; cremas acondicionadoras para la piel, de uso cosmético; cremas bronceadoras para la piel; cremas cosméticas para el cuidado de la piel; cremas cosméticas para la piel; cremas cosméticas para pieles secas; cremas cosméticas para reafirmar la piel; cremas cosméticas para tonificar la piel; cremas hidratantes para la piel [cosméticos]; cremas limpiadoras para la piel; cremas no medicinales para la piel; cremas para aclarar la piel; cremas para broncear la piel; cremas para la piel de uso cosmético; cremas reparadoras para la piel [cosméticos]; cremas reparadoras para la piel de uso cosmético; cremas revitalizantes para la piel; emolientes para la piel de uso cosmético; espumas limpiadoras para la piel; espumas para el cuidado de la piel; geles para el bronceado de la piel; hidratantes para la piel utilizados como cosméticos; joyas de piel autoadhesivas para uso cosmético; joyas de piel para uso cosmético; joyería de piel autoadhesivas para uso cosmético; joyería de piel para uso cosmético; leches limpiadoras para el cuidado de la piel; limpiadores cosméticos para la piel; limpiadores de la piel [cosméticos]; limpiadores de la piel no medicinales; limpiadores de la piel [productos cosméticos]; limpiadores líquidos para la piel; limpiadores no medicinales para la piel; lociones cosméticas para el bronceado de la piel; lociones cosméticas para el cuidado de la piel; lociones cosméticas para la piel; lociones hidratantes para la piel; lociones hidratantes para la piel [cosméticos]; lociones lácteas para el cuidado de la piel; lociones lechosas para el cuidado de la piel; lociones limpiadoras para la piel; lociones no medicinales para la piel; lociones para el bronceado de la piel; lociones para el cuidado de la piel; lociones para el cuidado de la piel [cosméticos]; lociones para la piel no medicadas; lociones para la piel [productos cosméticos]; mascarillas faciales para tonificar la piel; mascarillas hidratantes para la piel; mascarillas para el cuidado de la piel de las manos; mascarillas para el cuidado de la piel de los pies; mascarillas para hidratar la piel; mascarillas para la piel [cosméticos]; mascarillas para la piel de uso cosmético; mascarillas para pieles grasas; papel secante para pieles grasas; preparaciones antiarrugas para el cuidado de la piel; preparaciones antienvejecimiento para el cuidado de la piel; preparaciones cosméticas para el bronceado de la piel; preparaciones cosméticas para el cuidado de la piel; preparaciones cosméticas para el tratamiento de la piel; preparaciones cosméticas para la regeneración de la piel; preparaciones desengrasantes para uso en la piel; preparaciones limpiadoras para pieles curtidas; preparaciones para aclarar la piel [cosméticos]; preparaciones para blanquear la piel; preparaciones para blanquear la piel [cosméticos]; preparaciones para el bronceado de la piel; preparados cosméticos para el tratamiento de la piel; productos cosméticos para el cuidado de la piel; productos cosméticos para la piel; productos para aclarar la piel; productos para afinar el grano de la piel; productos para lustrar pieles curtidas; productos para mejorar la textura de la piel; productos para refrescar la piel; serum calmante para la piel; serum para calmar la piel [cosmético]; sueros no medicinales para la piel; toallitas impregnadas con un limpiador de la piel; tónicos no medicinales para la piel; tónicos para la piel para uso cosmético; bálsamos [cremas] para disimular las imperfecciones de la piel; cremas de bálsamo para disimular las imperfecciones de la piel; cremas líquidas y sólidas para la piel; cremas no medicadas para aliviar la piel; cremas no medicadas para hidratar la piel; cremas no medicadas para la hidratación de la piel; cremas no medicadas para la protección de la piel; cremas no medicadas para suavizar la piel; cremas no medicinales para aclarar la piel; cremas no medicinales para blanquear la piel; cremas no medicinales para el cuidado de la piel; cremas para el cuidado de la piel, no medicinales; cremas para limpiar la piel [no medicinales]; limpiadores de la piel a base de cáñamo; lociones estimulantes no medicinales para la piel; lociones no medicinales para aclarar la piel; paños impregnados de productos de limpieza para la piel; paños impregnados de productos limpiadores para la piel; preparaciones blanqueadoras para la piel [productos cosméticos]; preparaciones cosméticas termoactivas para el cuidado de la piel; preparaciones exfoliantes y de limpieza para la piel; preparaciones limpiadoras no medicamentosas para la piel; preparaciones limpiadoras no medicinales para la piel; preparaciones no medicinales para el cuidado de la piel; preparaciones para el cuidado de la piel, no medicinales; preparaciones para el cuidado de la piel [productos cosméticos]; preparados no medicinales para el cuidado de la piel; productos cosméticos en aerosol para el cuidado de la piel; productos cosméticos para el cuidado de la piel de los perros; productos no medicinales para el cuidado de la piel; productos para el cuidado de la piel, no medicinales; sueros no medicados para la piel de la cara; sueros para la piel a base de cáñamo; toallitas impregnadas con preparados para el cuidado de la piel; toallitas impregnadas de productos limpiadores para la piel; correctores para disimular manchas e imperfecciones de la piel; cosméticos funcionales en cuanto preparaciones para blanquear la piel; cremas emolientes reparadoras para el cuidado diario de la piel; cremas para el cuidado de la piel que no sean de uso médico; cremas para el cuidado de la piel que no sean para uso médico; emulsiones, geles y lociones para el cuidado de la piel; geles para acelerar, realzar y prolongar el bronceado de la piel; lociones no medicinales para el cuidado de la piel [cosméticos]; máscaras faciales de hoja para aliviar las pieles secas; máscaras faciales de hoja para la limpieza de las pieles grasas; máscaras faciales de hoja para hidratar las pieles secas; mascarillas faciales de hoja para aliviar las pieles secas; mascarillas faciales de hoja para hidratar las pieles secas; mascarillas faciales de hoja para la limpieza de las pieles grasas; paños o toallitas impregnados de productos limpiadores para la piel; preparaciones cosméticas contra la sequedad de la piel durante el embarazo; preparaciones cosméticas para el cuidado de la piel en forma de geles; preparaciones cosméticas para el cuidado y el tratamiento de la piel; preparaciones cosméticas para proteger la piel de los rayos del sol; preparaciones para el cuidado de la piel a base de CBD; preparados para el cuidado de la piel a base de CBD; productos y preparaciones cosméticos para el cuidado de la piel; productos y preparaciones no medicinales para el cuidado de la piel; toallitas o paños impregnados de productos limpiadores para la piel; cremas para la piel no medicinales a base de aceites esenciales para uso en aromaterapia; lociones, cremas y aceites de aplicación tópica para la piel y el cuerpo, de uso cosmético; parches cosméticos con filtro y pantalla solar para aplicar sobre la piel; productos cosméticos para proteger la piel contra los rayos del sol; cosméticos de belleza; cremas de belleza; geles de belleza; leches de belleza; lociones de belleza; mascarillas de belleza; sueros de belleza; cosméticos para tratamiento de belleza cosméticos para el cuidado de belleza; aceites destilados para el cuidado de belleza; cremas bálsamos de belleza; cremas de belleza para el cuerpo; mascarillas de belleza para el contorno de los ojos; mascarillas de belleza para las manos; mascarillas faciales de belleza; productos cosméticos y de belleza; cremas de belleza para el rostro y el cuerpo; preparaciones para cuidados corporales y de belleza; preparaciones para el cuidado y la belleza personal; preparaciones de cuidado corporal y de belleza para uso cosmético; preparaciones para el cuidado del cuerpo y la belleza; exfoliantes para la cara; limpiadores para la cara; maquillaje para la cara; mascarillas para la cara; cremas para la cara [cosméticos]; geles para la cara [cosméticos]; hidratantes cosméticas para la cara; jabones no medicados para la cara; lociones cosméticas para la cara; maquillaje para la cara y el cuerpo; pastas cosméticas matificantes para la cara; pintura para la cara y el cuerpo; preparaciones cosméticas para la cara; preparaciones para lavar la cara; tónicos cosméticos para la cara; geles para el cuerpo y la cara [cosméticos]; preparaciones de maquillaje para la cara y el cuerpo; mascarillas faciales para eliminar el exceso de sebo de la cara; soluciones para el lavado de la cara sin aclarado, no medicinales; agua mineral para el cuerpo y la cara en forma de pulverizadores de niebla; cremas y geles cosméticos para cara, manos y cuerpo; cremas y lociones cosméticas para el cuidado de la cara y el cuerpo; soluciones para el lavado de la cara a base de gel, no medicinales; soluciones para el lavado de la cara a base de jabón, no medicinales; cremas, leches, lociones, geles y polvos cosméticos para la cara, el cuerpo y las manos; cremas para el rostro; maquillaje para el rostro; toallitas para el rostro; cremas cosméticas para el rostro; cremas para el rostro de uso cosmético; cremas para el rostro y el cuerpo; hidratantes cosméticas para el rostro; leches para el rostro y el cuerpo; leches y lociones para el rostro; lociones cosméticas para el rostro; lociones no medicadas para el rostro; lociones para el rostro y el cuerpo; maquillaje para el rostro y el cuerpo; papel secante para rostros oleosos; preparaciones cosméticas para el rostro; toallitas limpiadoras para el rostro; tónicos cosméticos para el rostro; cremas para el rostro y el cuerpo de uso cosmético; jabones líquidos para las manos y el rostro; leches para el rostro y el cuerpo de uso cosmético; leches y lociones para el rostro de uso cosmético; lociones para el rostro y el cuerpo de uso cosmético; preparaciones cosméticas para el rostro y el cuerpo; preparaciones de maquillaje para el rostro y el cuerpo; jabones líquidos para las manos, el rostro y el cuerpo; lociones para el cuidado del rostro y del cuerpo; lociones tónicas para el rostro, el cuerpo y las manos de uso cosmético; cremas y geles cosméticos para rostro, manos y cuerpo; cremas y lociones cosméticas para el cuidado del rostro y el cuerpo; lociones para el cuidado del rostro y del cuerpo de uso cosmético; aceites faciales; brillos faciales; corrector facial; cremas faciales; emulsiones faciales; exfoliantes faciales; hidratantes faciales; jabones faciales; limpiadores faciales; lociones faciales; maquillajes faciales; mascarillas faciales; pintura facial; polvos faciales; preparaciones faciales; sueros faciales; tónicos faciales; polvos faciales, a saber, papel revestido con polvo facial; brillos faciales y corporales; cintas de estiramiento facial para uso cosmético; cintas de lifting facial para uso cosmético; cremas faciales para uso cosmético; cremas orgánicas de estiramiento facial; emulsiones faciales de vitalidad; emulsiones faciales para uso cosmético; granulados de limpieza facial; hidratantes faciales [cosméticos]; hidratantes faciales de uso cosmético; leches de limpieza facial; limpiadores cosméticos faciales; limpiadores faciales [cosméticos]; limpiadores faciales [productos cosméticos]; lociones faciales [cosméticos]; lociones faciales no medicadas; máscaras faciales de hoja de hidrogel; mascarillas faciales cosméticas; mascarillas faciales de hoja de hidrogel; mascarillas faciales de limpieza profunda; mascarillas faciales limpiadoras; mascarillas faciales para limpiar los poros; mascarillas faciales para uso cosmético; mascarillas faciales [productos cosméticos]; mascarillas limpiadoras para faciales; papel secante facial [cosméticos]; papel secante facial para uso cosmético; parches de estiramiento facial para uso cosmético; parches de lifting facial para uso cosmético; polvos faciales blancos para uso cosmético; polvos faciales compactos; polvos faciales cosméticos; polvos faciales [cosméticos]; polvos faciales en crema; polvos faciales en papel; polvos faciales para uso cosmético; polvos faciales sueltos; preparaciones cosméticas de cuidado facial; preparaciones de cuidado facial; preparaciones de cuidado facial [cosméticos]; preparaciones exfoliantes faciales para uso cosmético; preparaciones faciales [cosméticos]; sueros para el lifting facial; sueros faciales para uso cosmético; tónicos clarificadores faciales; tónicos faciales clarificantes; tónicos faciales [cosméticos]; tónicos faciales revitalizantes; tónicos revitalizantes faciales; correctores de líneas y arrugas faciales; cremas no medicadas para exfoliantes faciales; geles corporales y faciales [cosméticos]; máscaras faciales de hoja con fórmula infundida; máscaras faciales de hoja de carbón de bambú; mascarillas faciales de hoja con fórmula infundida; mascarillas faciales de hoja de carbón de bambú; polvos faciales cosméticos de color blanco; exfoliantes faciales y corporales no medicamentosos; exfoliantes faciales y corporales no medicinales; paños desechables impregnados de compuestos limpiadores para uso facial; preparaciones cosméticas de uso tópico para atenuar las arrugas faciales; maquillaje; bases de maquillaje; fondo de maquillaje; fundación de maquillaje; kits de maquillaje; lápices de maquillaje; maquillaje [cosméticos]; maquillaje para el cuerpo; maquillaje para los ojos; maquillaje para polveras; maquillajes de base; maquillajes de ojos; maquillajes para el teatro; polvos de maquillaje; productos de maquillaje; tiza para maquillaje; bases de maquillaje en crema; bases de maquillaje cremosas; bases de maquillaje líquidas; cola de maquillaje para uso cosmético; maquillajes de base en crema; maquillaje vendido en polveras; productos cosméticos y de maquillaje; sangre falsa [maquillaje de teatro]; sprays para fijar el maquillaje; maquillaje de teatro, a saber, sangre falsa; mizu-oshiroi [bases de maquillaje líquidas];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que consisten principalmente en bases de maquillaje, rímeles, coloretes, brillos de labios y lápices de labios [sin incluir pinceles ni esponjas];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hidratantes; cremas hidratantes; geles hidratantes; hidratantes [cosméticos]; leches hidratantes; lociones hidratantes; pintalabios hidratantes; preparaciones hidratantes; aceites hidratantes intensivos; barras de labios hidratantes; geles hidratantes [cosméticos]; hidratantes a base de cáñamo; lápices de labios hidratantes; lápices de labios [pintalabios] hidratantes; lápices labiales hidratantes; leche hidratante para después de afeitar; leches hidratantes corporales; lociones hidratantes [cosméticos]; lociones hidratantes para el cuerpo; lociones hidratantes para el cuerpo [cosméticos]; preparaciones hidratantes [cosméticos]; preparaciones hidratantes para después de afeitar; productos hidratantes antienvejecimiento; calcetines impregnados con crema hidratante cosmética; calcetines impregnados con preparaciones hidratantes para los pies; cremas hidratantes para después del afeitado; cremas hidratantes para después del sol; cremas, lociones y geles hidratantes; hidratantes corporales a base de cáñamo; leche hidratante para después del afeitado; preparaciones hidratantes para después del afeitado; productos hidratantes para después del sol; cremas, aceites, lociones y preparaciones limpiadoras e hidratantes; aceite de almendras; aceite de gaulteria; aceite de jazmín; aceite de lavanda; aceite de menta; aceite de rosas; aceites aromáticos; aceites bronceadores; aceites cosméticos; aceites de aromaterapia; aceites de baño; aceites de limpieza; aceites de perfumería; aceites de tocador; aceites esenciales; aceites etéreos; aceites para bebés; aceites para cutículas; aceites para el cuerpo; aceites para uso cosmético; aceites perfumados; aceite de amla para uso cosmético; aceite de árbol de té; aceite de coco para uso cosmético; aceite de lavanda para uso cosmético; aceite de masaje, no medicinal; aceite de menta [perfumería]; aceite de neem para uso cosmético; aceite de ricino para uso cosmético; aceite de rosas para uso cosmético; aceite de trementina para desengrasar; aceite de veppennai para uso cosmético; aceite esencial de citronela de aromaterapia; aceite esencial de coco; aceite esencial de eucalipto de aromaterapia; aceite esencial de lavanda de aromaterapia; aceite esencial de limoncillo de aromaterapia; aceite esencial de neem; aceite esencial de romero de aromaterapia; aceite esencial de veppennai; aceites aromáticos para el baño; aceites brillantes para el cuerpo; aceites bronceadores [cosméticos]; aceites bronceadores de uso cosmético; aceites de baño no medicados; aceites de baño no medicinales; aceites de baño para uso cosmético; aceites de masaje, no medicinales; aceites de pino para la limpieza de suelos; aceites de protección solar; aceites de protección solar [cosméticos]; aceites esenciales aromáticos; aceites esenciales de aromaterapia; aceites esenciales de cedro; aceites esenciales de limón; aceites esenciales de cidra; aceites esenciales de origen vegetal; aceites esenciales de pino; aceites esenciales naturales; aceites esenciales para ambientadores de interior; aceites esenciales para aromaterapia; aceites esenciales para aromatizar bebidas; aceites esenciales para uso cosmético; aceites esenciales para uso doméstico; aceites esenciales para uso en aromaterapia; aceites esenciales para uso industrial; aceites esenciales para uso personal; aceites minerales [cosméticos]; aceites no medicados; aceites no medicinales para masajes; aceites para bebés [productos de tocador]; aceites para bronceado [cosméticos]; aceites para después del sol; aceites para el cuerpo de uso cosmético; aceites para perfumes y fragancias; aceites puros para uso cosmético; aceites solares de uso cosmético; aceites vegetales esenciales; aceites y lociones bronceadoras; aceites y lociones de masaje; aceites y sales de baño; aromas [aceites esenciales]; aromatizantes alimentarios [aceites esenciales]; aromatizantes de pastelería [aceites esenciales]; aromatizantes para bebidas [aceites esenciales]; esencia de cáñamo [aceite esencial]; esencia de citronela [aceite esencial]; esencia de eucalipto [aceite esencial]; esencia de gaulteria [aceite esencial]; esencia de helicriso [aceite esencial]; esencia de hierbabuena [aceite esencial]; esencia de lavanda [aceite esencial]; esencia de limoncillo [aceite esencial]; esencia de menta [aceite esencial]; esencia de neroli [aceite esencial]; esencia de neroli [aceites esenciales]; esencia de niaouli [aceite esencial]; esencia de petitgrain [aceite esencial]; esencia de romero [aceite esencial]; esencias y aceites etéreos; productos de perfumería, aceites esenciales; terpenos [aceites esenciales]; terpenos en cuanto aceites esenciales; aceite esencial de árbol de té de aromaterapia; aceite esencial de eucalipto en forma de bola; aceite esencial de hierbabuena en forma de bola; aceite esencial de hierba limón de aromaterapia; aceite esencial de lavanda en forma de bola; aceite esencial de menta en forma de bola; aceite esencial de yerbabuena en forma de bola; aceites de ducha a base de cáñamo; aceites esenciales a base de cáñamo; aceites esenciales en cuanto aromatizantes alimentarios; aceites esenciales en cuanto fragancias de lavandería; aceites esenciales en cuanto perfumes de lavandería; aceites esenciales para aparatos ambientadores de interior; aceites esenciales para la fabricación de productos perfumados; aceites esenciales utilizados en procesos de fabricación; aceites para después del sol de uso cosmético; aceites perfumados para fabricar preparaciones cosméticas; aceites perfumados para la fabricación de preparaciones cosméticas; aceites perfumados para la fabricación de preparados cosméticos; aceites perfumados para la fabricación de productos cosméticos; aceites y lociones con filtro solar; aceites y lociones de protección solar; esencia de árbol de té [aceite esencial]; esencia de hierba limón [aceite esencial]; esencia de menta en cuanto aceites esenciales; esencia de ylang ylang [aceite esencial]; esencias comestibles para alimentos [aceites esenciales]; geles, cremas y aceites de ducha; aceite esencial de árbol de té en forma de roll-on; aceite esencial de eucalipto en forma de roll-on; aceite esencial de hierbabuena en forma de roll-on; aceite esencial de lavanda en forma de roll-on; aceite esencial de menta en forma de roll-on; aceite esencial de yerbabuena en forma de roll-on; aceites de baño que no sean medicinales; aceites de baño, que no sean para uso médico; aceites de cáñamo a base de CBD para uso cosmético; aceites de masaje que no sean para uso médico; aceites de masaje, que no sean para uso médico; aceites esenciales industriales para uso en la fabricación de productos de tabaco; aceites esenciales para uso en la fabricación de productos neutralizadores de olores; aceites esenciales para uso industrial para uso en la fabricación de productos de tabaco; aceites para después del sol [productos cosméticos]; aceites perfumados que difunden aromas al ser calentados; agua de tocador que contiene aceite de serpiente; botellas tipo rollo llenas de aceites esenciales; botellas tipo roll-on llenas de aceites esenciales; cremas a base de aceites esenciales para aromaterapia; productos de perfumería, aceites esenciales, cosméticos, lociones capilares; recambios de fragancias para ambientadores de aceites esenciales enchufables; recambios de fragancias para ambientadores electrónicos de aceites esenciales; preparaciones capilares a base de aceite de coco virgen ecológico y de aceite de coco virgen; aceite esencial del árbol del té en forma de bola; aceites esenciales que no sean para uso médico o terapéutico; aceites y sales de baño que no sean para uso médico; cremas, aceites, lociones, aerosoles, lápices y bálsamos para uso cosmético; difusores de caña compuestos por aceites perfumados en recipientes y cañas; leches, geles y aceites bronceadores y para después del sol, de uso cosmético; líquidos para cigarrillos electrónicos [e-liquid] que contienen aceites esenciales; productos de perfumería, aceites esenciales, cosméticos no medicinales, lociones capilares no medicinales; aguas de tocador; aguas de tocador y aguas de Colonia; aguas de tocador perfumadas; aguas de tocador y colonias; perfumes y aguas de tocador; jabones; jabón de afeitar; jabón de almendras; jabón de baño; jabón en polvo; jabón en seco; jabones antitranspirantes; jabones cosméticos; jabones de baño; jabones desodorantes; jabones desodorizantes; jabones de lufa; jabones detergentes; jabones de tocador; jabones en crema; jabones industriales; jabones líquidos; jabones para alfombras; jabones para el cuerpo; jabones para la colada; jabones para la ducha; jabones para guarnicionería; jabones para las manos; jabones para uso personal; jabones perfumados; jabones vegetales; jabón granulado; jabón líquido; pastillas de jabón; productos de jabón; detergentes jabonosos para uso doméstico; esponjas impregnadas con jabón; esponjas impregnadas con jabones; esponjas impregnadas con jabones para uso doméstico; jabón de aloe vera; jabón en polvo para la colada; jabón en polvo para lavar; jabones antitranspirantes para los pies; jabones corporales no medicados; jabones de acero inoxidable; jabones de papel para uso personal; jabones de tocador no medicinales; jabones de tocador perfumados; jabones en crema para el cuerpo; jabones en forma líquida; jabones en polvo no medicinales; jabones líquidos no medicinales; jabones líquidos para baños de pies; jabones no medicados para el cuerpo; jabones líquidos para el baño; jabones no medicados para las manos; jabones no medicinales; jabones para el cuidado del cuerpo; jabones para lavar la ropa; jabones y detergentes; jabón líquido para baños de pies; jabón líquido para el cuerpo; jabón líquido para la colada; jabón líquido para lavar la loza; jabón líquido para lavar la ropa; jabón líquido para lavar la vajilla; papel de jabón para uso personal; pastillas de jabón para el cuerpo; preparaciones de jabón no medicinales; productos de jabón no medicinales; jabones desodorantes a base de cáñamo; jabones de baño en forma líquida, sólida o de gel; líquidos para lavarse las manos no medicinales a base de jabón; soluciones para el lavado de manos a base de jabón, no medicinales; exfoliantes; cremas exfoliantes; exfoliante corporal; exfoliantes corporales; exfoliantes iluminadores; exfoliantes para el cuerpo; exfoliantes para labios; exfoliantes para las manos; exfoliantes para los pies; exfoliantes para uso cosmético; cremas exfoliantes para uso cosmético; exfoliantes corporales cosméticos; exfoliantes corporales para uso cosmético; exfoliantes para el cuerpo de uso cosmético; geles exfoliantes, no medicinales; gel exfoliante, no medicinal; preparaciones depilatorias y exfoliantes; crema para las manos; cremas para las manos; detergentes para las manos; crema para lavarse las manos; cremas cosméticas para las manos; cremas para las manos de uso cosmético; lociones para las manos de uso cosmético; preparaciones de limpieza para las manos; preparaciones para limpiarse las manos; cremas de mano a base de cáñamo; cremas para manos a base de cáñamo; productos no medicinales para lavarse las manos; toallas de papel para las manos impregnadas de cosméticos; preparaciones líquidas no medicinales para limpiar las manos; soluciones para el lavado de manos sin aclarado, no medicinales; toallas de papel para las manos impregnadas de productos cosméticos; correctores de ojos; cremas para los ojos; desmaquilladores de ojos; desmaquillantes de ojos; geles para los ojos; lápices de ojos; lociones para los ojos; perfiladores de ojos; sombras de ojos; cremas multiactivas para el contorno de los ojos; cremas para los ojos de uso cosmético; cremas reparadoras para contornos de ojos; geles para los ojos de uso cosmético; lápices de ojos para uso cosmético; lápices perfiladores de ojos; lociones para los ojos de uso cosmético; máscaras calentadoras en gel para los ojos; máscaras refrigerantes en gel para los ojos; máscaras refrigerantes para los ojos; parches de gel para los ojos de uso cosmético; parches refrigerantes en gel para los ojos; serum de corrección para el contorno de los ojos; serum para el contorno de ojos; sueros para el contorno de los ojos; cremas cosméticas reafirmantes para el contorno de ojos; parches de gel para los ojos con fines cosméticos; sombras de ojos en polvo o en lápiz; cosméticos para pestañas; extensiones de pestañas; máscara de pestañas; pestañas postizas; tintes de pestañas; tintes para pestañas; adhesivos para falsas pestañas; adhesivos para pegar las pestañas postizas; adhesivos para pestañas postizas; máscara para pestañas largas; máscaras para pestañas largas; pestañas artificiales magnéticas; pestañas postizas magnéticas; preparaciones cosméticas para pestañas; productos cosméticos para las pestañas; productos de limpieza para las pestañas; cejas postizas; cosméticos para las cejas; lápices de cejas; polvo de cejas; tintes de cejas; tintes para cejas; adhesivos para fijar cejas postizas; adhesivos para la fijación de cejas postizas; cejas postizas autoadhesivas; geles para el peinado de las cejas; geles para el teñido de las cejas; champús para el cuerpo; desodorantes para el cuerpo; emulsiones para el cuerpo; leches para el cuerpo; lociones para el cuerpo; polvos para el cuerpo; sprays para el cuerpo; aerosoles perfumados para el cuerpo; baños no medicinales para el cuerpo; cosméticos para el cuidado del cuerpo; cremas para el cuerpo [cosméticos]; cremas perfumadas para el cuerpo; cremas reafirmantes para el cuerpo; emulsiones para el cuerpo de uso cosmético; geles para el cuerpo [cosméticos]; leches para el cuerpo de uso cosmético; lociones brillantes para el cuerpo; lociones para el cuerpo de uso cosmético; lociones perfumadas para el cuerpo; lociones tónicas para el cuerpo; lociones tonificantes para el cuerpo; pegatinas decorativas para el cuerpo; polvos brillantes para el cuerpo; polvos para el cuerpo de uso cosmético; reafirmantes en gel para el cuerpo para uso cosmético; cremas para dar firmeza al cuerpo; preparaciones cosméticas para el cuidado del cuerpo; preparaciones de limpieza no medicadas para el cuerpo; preparaciones perfumadas para el cuidado del cuerpo; preparados cosméticos para el cuidado del cuerpo; souflés corporal [preparaciones perfumadas para el cuidado del cuerpo]; souflés corporal en cuanto preparaciones perfumadas para el cuidado del cuerpo; lociones antienvejecimiento; lociones bronceadoras; lociones capilares; lociones corporales; lociones de aromaterapia; lociones de baño; lociones depilatorias; lociones desmaquillantes; lociones lácteas; lociones lechosas; lociones para bebés; lociones para el afeitado; lociones para el cabello; lociones para el peinado; lociones para la barba; lociones para uso cosmético; cremas y lociones bronceadoras; cremas y lociones cosméticas; loción de malagueta para uso cosmético; lociones antienvejecimiento para uso cosmético; lociones autobronceadoras [cosméticos]; lociones capilares cosméticas; lociones capilares no medicinales; lociones con filtro solar; lociones con filtro solar para uso cosmético; lociones con pantalla solar para uso cosmético; lociones de baño para uso cosmético; lociones de limpieza dental; lociones de protección solar; lociones de protección solar para uso cosmético; lociones limpiadoras no medicadas; lociones no medicinales para los pies; lociones para bebés [productos de tocador]; lociones para después de afeitar; lociones para después del afeitado; lociones para después del sol; lociones para reducir la celulitis; lociones para reducir la celulitis de uso cosmético; lociones perfumadas [preparaciones de tocador]; mascarillas corporales en forma de lociones; productos cosméticos, a saber, lociones; toallitas impregnadas de lociones cosméticas; lociones capilares reparadoras no medicamentosas; lociones capilares reparadoras no medicinales; lociones para después del sol de uso cosmético; lociones y cremas corporales perfumadas; mascarillas corporales en forma de lociones para uso cosmético; cremas, lociones y otras preparaciones cosméticas bronceadoras; leches, geles, lociones y cremas desmaquillantes; productos cosméticos, a saber, leches, lociones y emulsiones; lociones cosméticas para reducir la aparición de manchas de envejecimiento y pecas; pomadas y lociones no medicinales contra la dermatitis del pañal; mascarillas corporales; mascarillas cosméticas; mascarillas para el cutis; mascarillas corporales en forma de cremas; mascarillas corporales en polvo; mascarillas corporales en polvo para uso cosmético; mascarillas corporales para uso cosmético; mascarillas cosméticas para el cutis; mascarillas de hoja para uso cosmético; mascarillas envasadas para uso cosmético; mascarillas faciales de carboncillo; mascarillas limpiadoras para corporales; mascarillas oculares para uso cosmético; mascarillas para el cuero cabelludo; mascarillas para el cuidado capilar; mascarillas para el cutis [cosméticos]; mascarillas para eliminar los comedones; mascarillas para eliminar los puntos negros; mascarillas desechables calentadas con vapor para uso cosmético; mascarillas desechables calentadas al vapor no para uso terapéutico; mascarillas desechables calentadas al vapor que no sean para uso médico; mascarillas desechables calentadas al vapor, que no sean para uso médico; mascarillas desechables calentadas con vapor que no sean para uso médico o terapéutico; mascarillas desechables calentadas con vapor que no sean para uso terapéutico; revitalizantes cutáneos para uso cosmético; tónicos cosméticos; tónicos para uso cosmético; agua de rosas [destilados de hierbas]; agua de lavanda; agua de perfume; agua micelar; aguas perfumadas; agua de azahar para uso cosmético; agua micelar de limpieza; aguas perfumadas para la ropa; eau de parfum [agua de perfume]; perfumes y aguas de Colonia; sprays de agua mineral para uso cosmético; agua de flor de azahar [destilados herbales]; aguas de colonia para después del afeitado; toallitas desechables impregnadas de agua de Colonia; agua mineral para uso cosmético en forma de pulverizadores de niebla; productos con filtro solar resistentes al agua; champús; champús acondicionadores; champús anticaspa; champús capilares; champús corporales; champús en seco; champús para bebés; champús 3 en 1; champús de pH neutro; champús en barritas sólidas; champús equilibrados de pH; champús no medicinales; champús y acondicionadores; champús no medicinales contra la caspa; acondicionadores de cutícula; acondicionadores labiales; bálsamo acondicionador; cremas acondicionadoras; cremas para cutículas; preparaciones para ablandar las cutículas; preparaciones para quitar las cutículas; preparaciones para quitar las cutículas de uso cosmético; bálsamos labiales; colorantes labiales; lápices labiales; pomadas labiales; tintes labiales; bálsamos labiales no medicinales; colorantes labiales [cosméticos]; colorantes labiales [productos cosméticos]; paletas de brillos labiales; protectores labiales no medicinales; tintes labiales [cosméticos]; tintes labiales para uso cosmético; tintes labiales [productos cosméticos]; bálsamos labiales a base de cáñamo; bálsamos capilares; bálsamos para el afeitado; bálsamos capilares no medicinales; bálsamos para después del afeitado; bálsamos que no sean para uso médico; bálsamo de guritania en cuanto aceites esenciales para uso en la fabricación de barnices; bálsamos no medicinales para después del afeitado; gel de baño; gel de lavanda; geles antienvejecimiento; geles bronceadores; geles capilares; geles cosméticos; geles de baño; geles de lavanda; geles dentífricos; geles depilatorios; geles desmaquillantes; geles para el afeitado; geles para el peinado; geles para la ducha; geles para uso cosmético; detergentes en gel para lavavajillas; gel crema matificante; geles antienvejecimiento para uso cosmético; geles bronceadores [cosméticos]; geles de aloe vera para uso cosmético; geles de baño no medicinales; geles de baño y de ducha; geles de ducha no para uso médico; geles de ducha y de baño; geles de lavanda para uso cosmético; geles de limpieza de inodoros; geles para antes del afeitado; geles para después del sol; geles para el baño [no medicinales]; geles para la ducha no para uso médico; geles para la limpieza de los dientes; geles de ducha a base de cáñamo; geles para después del sol de uso cosmético; geles de baño y de ducha no medicinales; geles de masaje que no sean para uso médico; geles no medicinales para después del afeitado; geles para después del sol [productos cosméticos]; geles y sales de baño y de ducha no medicinales; cremas desmaquillantes; leches desmaquillantes; algodón impregnado de preparaciones desmaquillantes; almohadillas desmaquillantes de algodón hidrófilo; discos desmaquillantes de algodón hidrófilo; hisopos impregnados de preparaciones desmaquillantes; toallitas impregnadas de preparaciones desmaquillantes; bastoncillos de algodón impregnados de preparaciones desmaquillantes; bolas de algodón impregnadas de preparaciones desmaquillantes; hisopos de algodón impregnados de preparaciones desmaquillantes; espumas para el peinado; preparaciones para el peinado; espumas en cuanto productos para el peinado; cosméticos; cosméticos y preparaciones cosméticas; algodón para uso cosmético; alheña para uso cosmético; almohadillas para uso cosmético; astringentes para uso cosmético; autobronceadores [cosméticos]; basma para uso cosmético; brillos para uso cosmético; cosméticos biológicos; cosméticos ecológicos; cosméticos naturales; cosméticos orgánicos; cosméticos para los labios; cosméticos para polveras; cremas cosméticas; decolorantes para uso cosmético; espumas [cosméticas]; grasas para uso cosmético; guata para uso cosmético; henna para uso cosmético; hilas para uso cosmético; hisopos para uso cosmético; lápices para uso cosmético; neceseres de cosmética; perfumería para cosméticos; polvos cosméticos; pomadas para uso cosmético; preparaciones cosméticas; sueros para uso cosmético; talco para uso cosmético; tintas para uso cosmético; tintes cosméticos; tiza para uso cosmético; calcetines pre-humedecidos con preparaciones cosméticas para uso cosmético; guantes pre-humedecidos con preparaciones cosméticas para uso cosmético; adhesivos [pegamentos] para uso cosmético; aerosoles refrigerantes para uso cosmético; alheña para uso cosmético [henna]; alheña [tinte cosmético]; almohadillas de algodón para uso cosmético; almohadillas de limpieza impregnadas con cosméticos; almohadillas de limpieza impregnadas de cosméticos; barros corporales para uso cosmético; basma en cuanto tinte para uso cosmético; basma [tinte para uso cosmético]; bastoncillos de algodón para uso cosmético; bloqueador solar [cosméticos]; bolas de algodón para uso cosmético; calcomanías decorativas para uso cosmético; cold creams para uso cosmético; colorantes de labios [cosméticos]; colorantes para los labios [productos cosméticos]; compresas oculares para uso cosmético; correctores de imperfecciones [productos cosméticos]; cosméticos a base de cáñamo; cosméticos a base de cannabis; cosméticos a base de hierbas; cosméticos en forma de cremas; cosméticos en forma de polvos; cosméticos no medicinales; cosméticos para el cuero cabelludo; cotonetes de algodón para uso cosmético; cotonitos de algodón para uso cosmético; crema corporal para uso cosmético; cremas antiarrugas para uso cosmético; cremas antienvejecimiento para uso cosmético; cremas con filtro solar para uso cosmético; cremas con retinol para uso cosmético; cremas contra las pecas [para uso cosmético]; cremas con vitamina A para uso cosmético; cremas corporales [cosméticos]; cremas cosmética para el cuerpo; cremas cosméticas de masaje; cremas cosméticas detoxificantes fitoactivas; cremas cosméticas nutritivas; cremas cosméticas para el tratamiento de los labios; cremas de limpieza [cosméticos]; cremas de limpieza para uso cosmético; cremas de limpieza [para uso cosmético]; cremas de limpieza [productos cosméticos]; cremas de masaje cosméticas; cremas de protección solar para uso cosmético; cremas limpiadoras [cosméticos]; cremas limpiadoras para uso cosmético; cremas limpiadoras [productos cosméticos]; cremas para el cuerpo cosméticas; cremas para los labios de uso cosmético; cremas para reducir la celulitis de uso cosmético; cremas para tez clara de uso cosmético; cremas perfumadas para uso cosmético; cremas tonificantes [cosméticos]; cristales de baño para uso cosmético; discos de algodón para uso cosmético; disolventes de pegamento para uso cosmético; disolventes para quitar adhesivos para uso cosmético; emulsiones térmicas para uso cosmético; espumas cosméticas con filtro solar; exfoliantes [preparaciones cosméticas]; extractos de plantas para uso cosmético; fangos corporales para uso cosmético; filtro solar [cosméticos]; henna para uso cosmético [alheña]; henna [tinte cosmético]; hisopos de algodón para uso cosmético; jalea de petróleo para uso cosmético; leche de almendras para uso cosmético; leches bronceadoras [cosméticos]; limpiadores cosméticos cutáneos; limpiadores cutáneos [cosméticos]; limpiadores cutáneos [productos cosméticos]; limpiadores para pinceles cosméticos; manteca corporal para uso cosmético; manteca de almendra para uso cosmético; manteca de aloe vera para uso cosmético; manteca de argán para uso cosmético; manteca de cacao para uso cosmético; manteca de coco para uso cosmético; manteca de karité para uso cosmético; máscaras cosméticas de barro; motivos decorativos para uso cosmético; pañitos cosméticos prehumedecidos; pañitos para bebés para uso cosmético; paños húmedos para bebés de uso cosmético; paños impregnados con sustancias cosméticas; papel secante para uso cosmético; pastas perfumadas para uso cosmético; perlas de baño para uso cosmético; perlitas de baño para uso cosmético; peróxido de hidrógeno para uso cosmético; pintura corporal para uso cosmético; polvos compactos para polveras cosméticas; polvos compactos para polveras [cosméticos]; polvos de baño para uso cosmético; polvos de brillo para uso cosmético; polvos dentales para uso cosmético; pomadas en barra para uso cosmético; preparaciones autobronceadoras [cosméticos]; preparaciones colorantes de uso cosmético; preparaciones cosméticas antienvejecimiento; preparaciones cosméticas adelgazantes; preparaciones cosméticas colorantes; preparaciones cosméticas de peluquería; preparaciones cosméticas de protección solar; preparaciones cosméticas no espumantes; preparaciones cosméticas no medicadas; preparaciones cosméticas para el baño; preparaciones cosméticas para el cuidado bucal; preparaciones cosméticas para la ducha; preparaciones cosméticas para reafirmar el busto; preparaciones de aloe vera para uso cosmético; preparaciones de bloqueadores solares para uso cosmético; preparaciones de colágeno para uso cosmético; preparaciones de protección solar para uso cosmético; preparaciones fito-cosméticas; productos con filtro solar para uso cosmético; productos cosméticos de CBD; productos cosméticos decorativos; productos cosméticos en forma de cremas; productos cosméticos en forma de polvos; productos cosméticos no medicinales; productos cosméticos para el cuidado corporal; productos cosméticos para niños; productos cosméticos para uso personal; productos cosméticos y de tocador; removedores de pegamento para uso cosmético; sales de baño cosméticas; sales de baño para uso cosmético; sellos cosméticos, llenos; sprays para el cuerpo de uso cosmético; talco perfumado para uso cosmético; tatuajes temporales con fines cosméticos; tatuajes temporales para uso cosmético; té de baño para uso cosmético; tintes de labios [cosméticos]; tintes de labios para uso cosmético; tintes para los labios [productos cosméticos]; toallitas cosméticas impregnadas; toallitas cosméticas prehumedecidas; toallitas impregnadas con preparados cosméticos; toallitas impregnadas con sustancias cosméticas; toallitas impregnadas de productos cosméticos; velas de masaje para uso cosmético; veneno de abeja con fines cosméticos; algodón e hisopos de algodón para uso cosmético; algodón y bastoncillos de algodón para uso cosmético; almohadillas de limpieza impregnadas con productos cosméticos; almohadillas limpiadoras impregnadas de productos cosméticos; barras de labios con protección solar [cosméticos]; colonias, perfumes y productos cosméticos; cosméticos para cuidados corporales y estéticos; cosméticos que no sean para uso médico; cosméticos y preparaciones de cuidado personal; cremas para atenuar las manchas de la vejez de uso cosmético; cremas para después del sol de uso cosmético; guata y bastoncillos de algodón para uso cosmético; leches para después del sol de uso cosmético; leches para después de tomar el sol para uso cosmético; limpiador cutáneo con propiedades suavizantes [cosmético]; limpiadores cutáneos con propiedades suavizantes [cosméticos]; manteca a base de vegetales para uso cosmético; mascarillas corporales en forma de cremas para uso cosmético; papel secante anti-brillo [cosméticos]; papel secante anti-brillo para uso cosmético; parches desechables calentados con vapor para uso cosmético; piedras para el afeitado en cuanto astringentes para uso cosmético; pintura corporal de látex líquido para uso cosmético; preparaciones cosméticas contra las quemaduras solares; preparaciones cosméticas para el baño y la ducha; preparaciones de protección solar [productos cosméticos]; productos cosméticos a base de hierbas; productos cosméticos de baño y ducha; productos cosméticos para el baño y la ducha; protectores solares para los labios [productos cosméticos]; toallitas húmedas para uso higiénico y cosmético; toallitas impregnadas de aceites esenciales, para uso cosmético; apitoxina [veneno de abeja melífera] con fines cosméticos; barras de labios en stick con protección solar [cosméticos]; cremas cosméticas a base de extractos de plantas; leches para después del sol [productos cosméticos]; parches desechables calentados al vapor para uso cosmético; piedras astringentes para después del afeitado para uso cosmético; preparaciones cosméticas no medicamentosas para tratamientos capilares; preparaciones cosméticas no medicinales para tratamientos capilares; productos cosméticos que no sean para uso médico; productos cosméticos y preparaciones de tocador no medicinales; tiras blanqueadoras de dientes impregnadas con preparaciones blanqueadoras [cosméticos]; toallitas desechables impregnadas con preparados cosméticos para bebés; limpiadores cutáneos; limpiadores cutáneos no medicinales; almizcle natural; abrillantadores capilares; cremas capilares; decolorantes capilares; fijadores capilares; preparaciones capilares de protección solar; preparaciones capilares no medicamentosas; preparaciones capilares no medicinales; preparaciones de tintes capilares; preparaciones para tratamientos capilares; tratamientos para permanentes capilares; cremas de protección capilar, no medicinales; cremas con filtro solar; preparaciones con filtro solar; productos con filtro solar; productos con filtro solar a prueba de agua; extractos de flores [productos de perfumería]; extractos de flores en cuanto perfumes; extractos de flores en cuanto productos de perfumería; perfumes; bolsitas perfumadas; cremas perfumadas; perfumes sólidos; polvos perfumados; saquitos perfumados; talco perfumado; aerosoles perfumados para habitaciones; aerosoles perfumados para interiores; aerosoles perfumados para la ropa; ambientadores de interior [preparaciones perfumadas]; ambientadores perfumados en aerosol; bolsitas para perfumar la ropa; bolsitas perfumadas para almohadillas oculares; ceras perfumadas fundidas; difusores de perfumes de ambiente con varillas; perfumes y colonias; polvos perfumados para uso cosmético; preparaciones de fragancias para perfumar el ambiente; preparaciones para perfumar el ambiente; productos para perfumar el ambiente; productos para perfumar la ropa; sales de baño perfumadas; sprays perfumados refrescantes para tejidos; mechas impregnadas de fragancias para perfumar el ambiente; ambientadores de interior en cuanto productos para perfumar el aire; ambientadores de interior en cuanto productos para perfumar el ambiente; espráis utilizados como desodorantes y perfumes corporales; recambios de perfumes para difusores de aceites esenciales enchufables; recambios de perfumes para difusores electrónicos de aceites esenciales; perfumes, aguas de Colonia y productos para después del afeitado; productos de perfumería, fragancias e incienso que no sean perfumes para uso personal; joyas de tatuaje para uso cosmético; transferencias de tatuajes removibles; transferencias temporal de tatuajes; tintes de labios; tintes de tocador; tintes para la barba; tintes para los labios; tintes temporales para hacer mechas; polvos de henna; cera depilatoria; cera para el bigote; cera para el pelo; ceras para el pelo; ceras perfumadas; ceras para el cuidado del pelo; productos de cera aromatizadas para derretir; tiras de cera para la depilación; productos de cera para derretir [preparaciones aromáticas]; sales de baño; sales para el baño; sales de baño no medicinales; sales de baño que no sean para uso médico; sprays depilatorios; sprays para afeitar; productos de limpieza en spray; productos de limpieza en sprays para uso doméstico; removedores de adhesivo para uso cosmético; sombras de párpados; paletas de sombras de párpados; lápices de párpados; cintas adhesivas de doble párpado; cintas de doble párpado; almohadillas de algodón para desmaquillar; bastoncillos de algodón multiusos para uso personal; bastoncillos de algodón impregnados de preparados desmaquilladores; bastoncillos de algodón multiuso para utilización personal; bolas de algodón impregnadas de preparados desmaquilladores; bolsitas aromáticas para almohadas de aromaterapia; bases neutralizantes para labios; toallitas desechables impregnadas con preparados de limpieza para bebés; estuches para pintalabios; desodorantes roll-on [artículos de aseo]; preparaciones cosméticas que contienen colágeno; correctores antiojeras; correctores de ojeras; espuma de limpieza; espumas de afeitar; espuma limpiadora; espuma de baño; baños de espuma; espumas de ducha; espumas de limpieza; espumas depilatorias; espumas limpiadoras; espumas para el baño; espumas para la ducha; baños de espuma para bebés; detergentes de espuma para uso doméstico; espumas limpiadoras para uso personal; preparaciones para baños de espuma; preparaciones de espuma para el baño.
5. Aceites para el tratamiento de hongos en las uñas; aceites para el tratamiento de micosis en las uñas; aceites para el tratamiento las micosis de las uñas; aceites para el tratamiento los hongos de las uñas; aceites para tratar las micosis de las uñas; aceites para tratar los hongos de las uñas; preparaciones de uso médico para el cuidado de las uñas; preparaciones medicinales para el cuidado de las uñas; preparaciones para desinfectar las uñas; preparaciones para el tratamiento de los hongos de las uñas; preparaciones para evitar morderse las uñas; preparaciones para prevenir de morderse las uñas; preparaciones para prevenir el mordisco de las uñas; preparaciones para la prevención de la costumbre de comerse las uñas; preparaciones farmacéuticas para el tratamiento y profilaxis de enfermedades de la piel y las uñas; champú para el crecimiento del cabello; estimulantes para el crecimiento del cabello; preparaciones medicinales para el crecimiento del cabello; preparaciones para eliminar los piojos del cabello; preparaciones para eliminar piojos del cabello; aceites para el cuidado de la piel [medicinales]; aceites para el cuidado de la piel, medicinales; cremas medicamentosas para hidratar la piel; cremas medicamentosas para la hidratación de la piel; cremas medicamentosas para la piel; cremas medicamentosas para la protección de la piel; cremas medicinales para el cuidado de la piel; cremas medicinales para la piel; cremas medicinales para la protección de la piel; cremas para el cuidado de la piel, medicinales; cremas para la piel con hidrocortisona para uso dermatológico; jabones antibacterianos para la piel; lociones farmacéuticas para la piel; preparaciones de uso médico para limpiar la piel; preparaciones farmacéuticas para cuidar la piel; preparaciones farmacológicas para cuidar la piel; preparaciones farmacológicas para el cuidado de la piel; preparaciones medicinales para el cuidado de la piel; preparaciones para el cuidado de la piel de uso médico; productos medicinales para el cuidado de la piel; productos para el cuidado de la piel, medicinales; repelentes de mosquitos para aplicar sobre la piel; serum calmante para la piel [medicinales]; serum calmante para la piel, medicinales; serum de alivio para la piel [medicinales]; serum de alivio para la piel, medicinales; tónicos medicinales para la piel; preparaciones farmacéuticas para el cuidado de la piel de animales; preparaciones farmacéuticas para el cuidado de la piel de los animales; sprays antisépticos en forma de aerosol para uso en la piel; parches de prueba de diagnóstico para aplicar en la piel para comprobar las alergias; preparaciones farmacéuticas para hidratar la piel durante el embarazo; preparaciones farmacéuticas para tratar la sequedad de la piel durante el embarazo; preparaciones médicas para el cuidado de la piel en forma de geles; preparaciones medicinales para el cuidado de la piel en forma de geles; preparaciones medicinales para limpiar la piel y las heridas; productos y preparaciones medicinales para el cuidado de la piel; lociones y cremas medicamentosas para el cuerpo, piel, cara y manos; lociones y cremas medicamentosas para el cuerpo, piel, rostro y manos; lociones y cremas medicinales para el cuerpo, piel, cara y manos; parches de prueba de diagnóstico para aplicar en la piel para detectar las reacciones alérgicas; limpiadores faciales antibacterianos medicinales; lociones faciales medicinales; aceite de almendras para uso farmacéutico; aceite de hígado de bacalao; aceite de masaje no medicinal; aceite de mostaza para uso médico; aceite de onagra para uso médico; aceite de ricino para uso médico; aceite de trementina para uso farmacéutico; aceite medicinal para masajes; aceites de coco para uso médico; aceites de masaje no medicinales; aceites de qingliang [bálsamos para uso médico]; aceites medicinales para bebés; aceites medicinales para masajes; aceites para el tratamiento de la micosis; aceites para el tratamiento de resfriados; aceites para el tratamiento de reumatismo; aceites para el tratamiento de reumatosis; soluciones de aceites medicinales; jabones antibacterianos; jabones carbólicos; jabones desinfectantes; jabones medicinales; jabones desinfectantes perfumados; jabones y detergentes medicinales y desinfectantes; lavados desinfectantes que no sean jabones; geles exfoliantes, medicinales; gel exfoliante, medicinal; lociones antibacterianas para las manos; preparaciones para desinfectar las manos; productos antibacterianos para lavar las manos; productos antibióticos para lavarse las manos; productos antimicrobianos para lavarse las manos; productos desinfectantes para lavarse las manos; productos medicinales para lavarse las manos; geles medicinales para el cuerpo; geles para el cuerpo para uso farmacéutico; lociones medicinales para el cuerpo; polvos medicinales para el cuerpo; preparaciones antisépticas para el cuidado del cuerpo; preparados antisépticos para el cuidado del cuerpo; productos antisépticos para el cuidado del cuerpo; lociones de calamina; lociones dermatológicas; lociones medicinales; lociones para uso farmacéutico; antibióticos en forma de lociones; gasas impregnadas de lociones antibacterianas; lociones capilares medicinales; toallitas impregnadas de lociones antibacterianas; toallitas impregnadas de lociones farmacéuticas; lociones medicinales contra las quemaduras solares; lociones medicinales para después del afeitado; lociones medicinales para tratar afecciones dermatológicas; lociones para el tratamiento del pie de atleta; lociones medicinales contra la dermatitis del pañal; toallitas desechables impregnadas con lociones repelentes de insectos para uso humano; toallitas o gasas impregnadas de lociones antibacterianas; toallitas y pañitos impregnados de lociones y cremas farmacéuticas; tónicos medicinales; tónicos para uso médico; tónicos capilares para uso médico; agua de mar para baños medicinales; agua de melisa para uso farmacéutico; agua oxigenada para uso médico; aguas enriquecidas con vitaminas para uso médico; aguas minerales para uso médico; sales de aguas minerales; sales para baños de aguas minerales; aguas enriquecidas con elementos nutricionales para uso médico; champús medicinales; champús medicinales anticaspa; cremas labiales medicamentosas; cremas labiales medicinales; pomadas labiales medicamentosas; pomadas labiales medicinales; preparaciones para el tratamiento del herpes labial; bálsamos analgésicos; bálsamos antiinflamatorios; bálsamos para uso farmacéutico; bálsamos para uso médico; bálsamos para uso veterinario; bálsamo de gurjun para uso médico; bálsamos analgésicos medicinales polivalentes; bálsamos medicinales para los labios; bálsamos medicinales para los pies; preparaciones balsámicas para uso médico; bálsamos para las nalgas del bebé para uso médico; geles antibacterianos; geles antiinflamatorios; geles corporales para uso farmacéutico; geles de aloe vera para uso terapéutico; geles de limpieza dental medicinales; geles de masaje para uso médico; geles desodorantes de ambiente; geles desodorizantes de ambiente; geles medicinales para el cuidado bucal; geles, cremas y soluciones para uso dermatológico; geles dermatológicos a base de cortisona; geles tópicos para uso médico y terapéutico; apósitos líquidos para heridas cutáneas; cremas de caléndula para erupciones cutáneas; cremas de hidrocortisona para erupciones cutáneas; preparaciones medicinales para tratamientos cutáneos; preparados farmacéuticas para heridas cutáneas; vendas adhesivas para heridas cutáneas; vendas para heridas cutáneas; lociones medicinales para el tratamiento de afecciones cutáneas; preparaciones farmacéuticas para el tratamiento de afecciones cutáneas; ungüentos medicinales para el tratamiento de afecciones cutáneas; biomarcadores de diagnóstico para la evaluación química de sensibilizantes cutáneos para uso médico; parches cutáneos transdérmicos para el suministro de productos farmacéuticos; preparaciones de diagnóstico para la evaluación química de sensibilizantes cutáneos para uso médico; tejidos cutáneos tratados provenientes de donantes humanos para la sustitución de tejidos blandos; agentes estabilizadores capilares para uso médico; preparaciones medicinales para el cuidado capilar; preparaciones con filtro solar, medicinales; extractos de hierbas medicinales; extractos de hierbas medicinales para uso médico; extractos de hierbas para uso medicinal; extractos de plantas medicinales; extractos de plantas para uso farmacéutico; extractos de plantas para uso médico; extractos vegetales para uso farmacéutico; extractos vegetales y herbarios para uso medicinal; medicamentos de venta libre; sales minerales de baño; sales y preparaciones medicinales para el baño; sprays antisépticos; desodorantes de ambiente en sprays; desodorantes de aire en sprays; apósitos líquidos en sprays; desodorizantes de aire en sprays; desodorizantes de ambiente en sprays; sprays antisépticos en forma de aerosol para uso en superficies duras; botiquines de primeros auxilios que comprenden principalmente esparadrapos, cremas o pastillas antihistamínicas, apósitos de gasa esterilizados y cremas o sprays antisépticos; botiquines de primeros auxilios que contienen principalmente esparadrapos, cremas o pastillas antihistamínicas, apósitos de gasa esterilizados y cremas o sprays antisépticos; kiits de primeros auxilios que contienen principalmente esparadrapos, cremas o pastillas antihistamínicas, apósitos de gasa esterilizados y cremas o sprays antisépticos; kits de primeros auxilios que comprenden principalmente esparadrapos, cremas o pastillas antihistamínicas, apósitos de gasa esterilizados y cremas o sprays antisépticos; parches adhesivos que contienen preparaciones farmacéuticas; parches adhesivos que contienen preparados farmacéuticos; parches adhesivos que contienen productos farmacéuticos; parches adhesivos que incorporan preparados farmacéuticos; parches adhesivos que incorporan productos farmacéuticos; algodón antiséptico; algodón aséptico; algodón para uso médico; algodón hidrófilo para uso médico; bastoncillos de algodón para uso médico; cotonetes de algodón para uso médico; cotonitos de algodón para uso médico; hisopos de algodón para uso médico; preparaciones de aloe vera para uso farmacéutico; preparaciones de aloe vera para uso terapéutico; preparados de aloe vera para uso terapéutico; parches transdérmicos que facilitan el suministro de anestesia; antibióticos; jeringas prellenadas con sodio y ácido hialurónico para uso estético; colágeno para uso médico; jeringas prellenadas con sodio y ácido hialurónico para uso médico.
9. Analizadores de humedad de la piel que no sean para uso médico; aparatos de identificación facial; aparatos de reconocimiento facial; equipos de reconocimiento facial; software de análisis facial; software de análisis faciales; software de reconocimiento facial; analizadores cutáneos hidrométricos que no sean para uso médico; software; plataformas de software; aplicaciones de software descargables [apps]; aplicaciones de software descargables para smartphones; aplicaciones de software para dispositivos móviles; aplicaciones [software] descargables para smartphones; dosificadores para la distribución de perfumes en cantidades determinadas; programas informáticos para la gestión de las ventas; aparatos de alta frecuencia; aros de luz para autofotos, para smartphones; aros de luz para autofotos, para teléfonos inteligentes; aros de luz para autofotos, para teléfonos inteligentes [smartphones]; guantes de plástico desechables para laboratorios; guantes de látex desechables para laboratorios; calibradores; centrífugas para uso clínico.
18. Bolsas para maquillaje; maletines de maquillaje, vacíos; maletines de maquillaje vendidos vacíos; bolsitas para guardar maquillaje, llaves y otros objetos personales; maletas de mano; cajas compartimentadas para lápices labiales y cremas vendidas vacías; fundas para cosméticos; bolsas vacías para cosméticos; estuches para cosméticos vacíos; estuches para productos cosméticos vacíos; estuches vacíos para cosméticos; neceseres vacíos para cosméticos.
21. Cepillos de uñas; bandejas utilizadas para pintar las uñas; cepillos para el cabello; peines para el cabello; botellas aplicadoras de tinte para el cabello; cepillos de aire caliente para el cabello; cepillos electrotérmicos para el cabello; cepillos giratorios eléctricos para el cabello; cepillos para el teñido del cabello; cepillos para teñir el cabello; cuencos para el teñido del cabello; peines eléctricos para el cabello; peines para cardar el cabello; cepillos para el cabello con vibración por ondas sonoras; aplicadores de lociones cosméticas para la piel; esponjas exfoliantes para la piel; guantes exfoliantes para la piel; manoplas exfoliantes para la piel; distribudores de crema para el cuidado de la piel, fijos, no metálicos; distribudores de cremas para el cuidado de la piel, fijos, metálicos; distribuidores metálicos fijos crema de cuidado de la piel; distribuidores no metálicos fijos de crema de cuidado de la piel; almohadillas exfoliantes para la cara; aplicadores de lociones cosméticas para la cara; cepillos de limpieza facial; dispensadores para toallitas faciales; dispositivos cosméticos de limpieza facial; esponjas limpiadoras faciales; esponjitas faciales para aplicar maquillaje; aplicadores de maquillaje; portaesponjas de maquillaje; aplicadores de maquillaje para ojos; bastoncillos aplicadores de maquillaje; brochas y pinceles de maquillaje; esponjas de maquillaje biodegradables; esponjas para aplicar maquillaje; polveras de maquillaje vacías; soportes para esponjas de maquillaje; contenedores domésticos para almacenar y organizar el maquillaje; difusores a velas de aceites esenciales; difusores de aceites aromáticos, que no sean con varillas, eléctricos; difusores de aceites aromáticos, que no sean con varillas, no eléctricos; difusores de aceites aromáticos que no sean difusores con varillas; difusores de aceites aromáticos, que no sean con varillas, eléctricos y no eléctricos; distribuidores de jabón; recipientes para jabón; cepillos para platos con dosificador de jabón; dispensadores de jabón líquido; distribudores de jabón, fijos, metálicos; distribuidores automáticos de jabón; distribuidores de jabón líquido para uso doméstico; distribuidores de jabón para el cuerpo; distribuidores metálicos fijos de jabón; máquinas dispensadoras de jabón; moldes de plástico de uso doméstico para hacer jabón; cepillos para fregar platos con dispensador de jabón; cepillos para fregar platos con dosificador de jabón; distribudores de jabón, fijos, no metálicos; distribuidores no metálicos fijos de jabón; borlas exfoliantes; cepillos exfoliantes; esponjitas exfoliantes; guantes exfoliantes; almohadillas exfoliantes para los pies; cepillos exfoliantes eléctricos; esponjas exfoliantes para el cuerpo; guantes exfoliantes para el cuerpo; manoplas exfoliantes para el cuerpo; cepillos exfoliantes que funcionan con baterías; distribuidores de desinfectantes de manos para uso doméstico; distribuidores de desinfectantes de manos; distribuidores de desinfectantes de manos para uso personal; dispensadores de desinfectante para manos, fijos, de metal; dispensadores de desinfectante para manos, fijos, metálicos; distribuidores de desinfectantes de manos, no fijos; distribuidores fijos de desinfectantes de manos metálicos; distribuidores metálicos fijos de desinfectantes de manos; distribuidores de desinfectantes de manos, no fijos, para uso doméstico; cepillos para pestañas, peines para pestañas y separadores de pestañas; cepillos para pestañas; peines para pestañas; separadores de pestañas; cepillos y peines para pestañas, y separadores de pestañas; cepillos para las cejas; esponjas para el cuerpo; distribuidores de limpiadores para el cuerpo; recipientes vacíos de uso doméstico para lociones; atomizadores para uso doméstico; atomizadores de perfume vacíos; atomizadores accionados manualmente para uso doméstico; cepillos; cepillos de dientes; cepillos para mejillas; cepillos para párpados; cepillos y materiales para fabricar cepillos; cepillos y materiales para la fabricación de cepillos; distribuidores de champú; distribuidores de acondicionadores; peines; estuches para peines; peines desenredantes; peines eléctricos; peines de dientes anchos para el pelo; peines de dientes finos; peines de púas anchas; peines no eléctricos; peines para desenredar el cabello; peines y esponjas; cuentagotas para uso cosmético; espátulas para uso cosmético; esponjas para uso cosmético; goteros para uso cosmético; pinceles para uso cosmético; utensilios cosméticos; cuentagotas vacíos para uso cosmético; esponjas para microdermabrasión de uso cosmético; goteros vacíos para uso cosmético; sellos cosméticos, vacíos; espátulas cosméticas para utilizar con productos depilatorios; frascos de perfume; pulverizadores de perfume; vaporizadores de perfume; frascos de perfume (vacíos); quemadores de perfume [pebeteros]; vaporizadores de perfume (vacíos); calentadores eléctricos para fundir de la cera perfumada; difusores de caña, en cuanto dispositivos difusores de perfumes (vendidos vacíos); calentadores eléctricos para fundir de la cera aromatizada; espátulas para la aplicación de cera caliente para la depilación; espátulas para la aplicación de cera caliente [preparaciones depilatorias]; algodón de limpieza; recipientes para uso doméstico; esponjas para aplicar polvos corporales; guantes de plástico desechables para uso doméstico; guantes de nitrilo desechables para uso doméstico; guantes de látex desechables para uso doméstico; guantes de polietileno desechables para uso doméstico; guantes desechables de plástico para uso doméstico; guantes desechables de polietileno para uso doméstico; guantes desechables para uso doméstico.
35. Comercialización de productos; comercialización; comercialización por Internet; servicios de comercialización.; Servicios de tiendas mayoristas de aparatos para el bronceado de la piel; servicios de tiendas mayoristas en línea de aparatos para el bronceado de la piel; servicios de tiendas minoristas de aparatos para el bronceado de la piel; servicios de tiendas minoristas en línea de aparatos para el bronceado de la piel; servicios de venta mayorista de aparatos para el bronceado de la piel; servicios de venta mayorista en relación con aparatos para el bronceado de la piel; servicios de venta mayorista en relación con pieles artificiales; servicios de venta minorista de aparatos para el bronceado de la piel; servicios de venta minorista en relación con aparatos para el bronceado de la piel; servicios de venta minorista en relación con pieles artificiales; servicios de tiendas mayoristas de instrumentos de belleza para personas; servicios de tiendas mayoristas en línea de instrumentos de belleza para personas; servicios de tiendas minoristas de instrumentos de belleza para personas; servicios de tiendas minoristas en línea de instrumentos de belleza para personas; servicios de venta mayorista de instrumentos de belleza para personas; servicios de venta mayorista en relación con instrumentos de belleza para personas; servicios de venta minorista de instrumentos de belleza para personas; servicios de venta minorista en relación con instrumentos de belleza para personas; servicios de venta de tienda al por menor en línea de productos cosméticos y de belleza; servicios de venta de tienda minorista en línea de productos cosméticos y de belleza; servicios de venta de tienda minorista en línea en relación con productos cosméticos y de belleza; servicios de venta de tienda al por menor en línea que incluyen productos cosméticos y de belleza; servicios de venta de tienda minorista en línea que incluyen productos cosméticos y de belleza; servicios de venta minorista en línea de productos cosméticos y de belleza, así como de prendas de vestir y complementos; servicios de agencia de ventas de productos de maquillaje; servicios de tiendas mayoristas de preparaciones de maquillaje; servicios de agencia de ventas de aceites esenciales para la perfumería; servicios de venta minorista o mayorista de jabones; servicios de venta minorista o mayorista de productos cosméticos, productos de tocador, dentífricos, jabones y detergentes; servicios de venta minorista en línea en relación con bolsos de mano; servicios de revendedores en el ámbito de los cosméticos; servicio de distribución comercial en el ámbito de los cosméticos; servicios de agencia de ventas de productos cosméticos; servicios de agencia de ventas de utensilios cosméticos; servicios de publicidad en relación con productos cosméticos; servicios de venta minorista en línea de cosméticos; servicios de venta minorista por correspondencia de cosméticos; asesoramiento sobre productos de consumo en relación con productos cosméticos; servicios de distribución comercial al por mayor de productos cosméticos; servicios de información sobre productos de consumo relacionados con productos cosméticos; servicios de venta minorista en línea de productos cosméticos; servicios de venta minorista en línea en relación con productos cosméticos; servicios de venta minorista o mayorista de productos cosméticos; servicios de venta minorista por correspondencia de productos cosméticos; investigación de marketing en el ámbito de los productos cosméticos, la perfumería y los productos de belleza; servicios de tiendas mayoristas de preparaciones perfumadas; servicios de tiendas minoristas de preparaciones perfumadas; servicios de venta mayorista de preparaciones perfumadas; servicios de venta minorista de preparaciones perfumadas; servicios de tiendas mayoristas en línea de preparaciones perfumadas; servicios de venta mayorista en relación con preparaciones perfumadas; servicios de venta minorista en relación con preparaciones perfumadas; gestión de ventas; promoción de ventas; facilitación de leads de venta para la industria de la venta mayorista; promoción de ventas en puntos de compra o de venta, para terceros; servicios de venta minorista por catálogos de venta por correspondencia; servicios de tiendas mayoristas; servicios de tiendas mayoristas de productos de tocador; servicios de venta al por mayor de mercancías; servicios de venta al por mayor en línea; servicios de venta al por mayor por correspondencia; servicios de tiendas de venta mayorista y minorista; servicios de tiendas de venta mayorista o minorista; servicios de tiendas mayoristas en línea de instrumentos higiénicos para personas; servicios de tiendas mayoristas en línea de preparaciones de limpieza; servicios de tiendas mayoristas en línea de productos de tocador; servicios de tiendas mayoristas de productos de papel desechables; servicios de tiendas mayoristas en línea de productos de papel desechables; servicios de tiendas minoristas en línea de productos de papel desechables; servicios de tiendas minoristas de productos de papel desechables; servicios de venta mayorista de productos de papel desechables; servicios de venta mayorista en relación con productos de papel desechables; servicios de venta minorista de productos de papel desechables; servicios de venta minorista en relación con productos de papel desechables.
41. Pintura de la cara; servicios de pintura facial; aplicación de maquillajes escénicos; aplicación de maquillajes para actores de cine; aplicación de maquillajes para actores de televisión; cursos de estética; cursos de esteticista; cursos de aprendizaje a distancia; cursos de educación a distancia; realización de cursos de aprendizaje a distancia; suministro de cursos de educación en el campo de la botánica; suministro de cursos de enseñanza en el campo de la botánica; suministro de cursos de educación en el campo de la horticultura; suministro de cursos de instrucción en el campo de la botánica; suministro de cursos de instrucción en el campo de la horticultura; organización y coordinación de seminarios, conferencias, cursos de formación y formación complementaria; organización y celebración de conferencias, congresos, conciertos, simposios, seminarios, cursos de formación, clases y charlas; organización y celebración de conferencias, congresos, seminarios, simposios, cursos de formación, clases y charlas; organización y realización de conferencias, congresos, seminarios, simposios, cursos de formación, clases y charlas; celebración de talleres; talleres de capacitación; talleres de formación; celebración de talleres de formación; celebración de talleres [formación]; dirección de talleres y seminarios; organización de talleres y seminarios; organización de simposios y talleres; preparación de simposios y talleres; preparación, celebración y organización de talleres; organización y dirección de seminarios y talleres; organización y dirección de seminarios y talleres [formación]; organización y dirección de talleres de formación y de seminarios; organización y realización de seminarios y talleres; organización y realización de seminarios y talleres de formación; organización y realización de seminarios y talleres [formación]; preparación, celebración y organización de talleres de formación; preparación, celebración y organización de talleres [formación]; preparación y celebración de seminarios y talleres; provisión de talleres en línea en el campo del bienestar; organización y celebración de conferencias, congresos, seminarios y talleres; organización y celebración de conferencias, congresos, seminarios y talleres [formación]; organización y celebración de talleres, tutorías, seminarios y conferencias; organización y dirección de conferencias, congresos, seminarios y talleres [formación]; organización y dirección de talleres y seminarios sobre concienciación personal; organización y realización de coloquios, conferencias, congresos, seminarios, simposios y talleres; organización y realización de conferencias, congresos, seminarios y talleres; servicios de instrucción prestados por escuelas de estética.
44. Tratamientos para las uñas; servicios de salones de uñas; servicios para el cuidado de las uñas; eliminación por láser de hongos en las uñas de los pies; tratamiento cosmético por láser de hongos en las uñas de los pies; extensiones de cabello; implantación de cabello; lavado del cabello; peinado del cabello; servicios de alisado del cabello; servicios de aplicación de extensiones de cabello; servicios de coloración del cabello; servicios de color del cabello; servicios de corte de cabello; servicios de corte del cabello; servicios de decoloración del cabello; servicios de extensiones de cabello; servicios de implantación de cabello; servicios de lavado del cabello; servicios de peinado del cabello; servicios de rizado del cabello; servicios de teñido del cabello; servicios de tintado del cabello; servicios de tinte de cabello; servicios de tinte del cabello; servicios de trenzado de cabello; servicios para el cuidado del cabello; tratamientos cosméticos para el cabello; servicios de ondulado permanente del cabello; tratamiento cosmético por láser para el crecimiento del cabello; consultas sobre el cuidado de la piel; servicios de asistencia sanitaria de la piel; servicios de atención sanitaria de la piel; servicios de centros de bronceado de la piel; servicios de cuidado de la piel; servicios de institutos de belleza de la piel; servicios de rejuvenecimiento de la piel con láser; servicios de salud de la piel; servicios para el cuidado de la piel; servicios sanitarios de la piel; tratamiento de la piel por láser para uso cosmético; servicios dermatológicos para el tratamiento de afecciones de la piel; servicios de estiramiento de la piel por rayos láser; servicios de análisis cosmético para seleccionar los productos cosméticos más adecuados según las facciones y el tono de piel de cada persona; asesoramiento en belleza; asesoría en belleza; consultoría en belleza; terapias de belleza; tratamientos de belleza; consultas en materia de la belleza; cuidado de belleza de los pies; cuidados de higiene y de belleza; salones de belleza para el corte de pelucas; servicios de belleza prestados por balnearios; servicios de consultas sobre belleza; servicios de consultas sobre tratamientos de belleza; servicios de consultoría en belleza; servicios de cuidados de belleza; servicios de salones de belleza; servicios de tratamientos de belleza; servicios de salud y de belleza; suministro de información en materia de belleza; cuidados de higiene y de belleza para personas; cuidados médicos, higiénicos y de belleza; higiene humana y cuidados de belleza; servicios de asistencia sanitaria y belleza; servicios de atención sanitaria y belleza; servicios de cuidados de belleza e higiene; servicios de cuidados de belleza y peluquería; servicios de cuidados de higiene y de belleza; servicios de peluquerías y salones de belleza; servicios de salud y de belleza para personas; servicios de tratamientos de belleza, en particular para pestañas; servicios de tratamientos de salud y de belleza; servicios de asistencia sanitaria y de cuidado de belleza; servicios de atención sanitaria y de cuidado de belleza; servicios de cuidados de higiene y de belleza para personas; servicios de tratamientos de salud y de belleza prestados por saunas, salones de belleza, sanatorios, peluquerías y salones de masajes; puesta a disposición de servicios de sauna, salones de belleza, peluquerías y masajes; tratamiento terapéutico de la cara; servicios de esteticistas faciales; servicios de tratamientos faciales; servicios de tratamientos cosméticos corporales, faciales y capilares; servicios de tratamientos cosméticos faciales y corporales; servicios prestados por balnearios para mejorar la salud y el bienestar físico y mental, incluidos masajes, tratamientos faciales y corporales, así como cuidados cosméticos para el cuerpo; servicios de maquillaje; servicios de aplicación de maquillaje; servicios de consulta en línea sobre maquillaje; servicios de consultas sobre maquillaje; servicios de maquillaje cosmético; servicios de consulta y aplicación de maquillaje; servicios de consulta en línea o en persona sobre maquillaje; servicios de extensión de pestañas; servicios de permanentes para pestañas; servicios de rizado de pestañas; servicios de teñido de pestañas; servicios de depilación de cejas con hilo; servicios de modelado de las cejas; servicios de tatuaje de cejas; servicios de teñido de cejas; masaje cuerpo a cuerpo; servicios de masaje cuerpo a cuerpo; tratamiento terapéutico del cuerpo; servicios de balneoterapia para la salud y el bienestar del cuerpo y el espíritu; servicios de estaciones termales para la salud y el bienestar del cuerpo y el espíritu; suministro de información sobre peinados; consultoría en cosmética; electrolisis cosmética para la depilación; servicios cosméticos de punción con agujas; servicios de cuidados cosméticos corporales; servicios de tatuajes cosméticos; servicios de tratamientos cosméticos corporales; tratamiento cosmético por láser de tatuajes; tratamientos cosméticos por electrólisis; tratamientos repulpantes inyectables para uso cosmético; electrolisis cosmética para la eliminación del vello; servicios de cirugía plástica y cosmética; tratamiento cosmético de bronceado por láser para personas; tratamiento cosmético por láser de arañas vasculares; tratamiento cosmético por láser de venas varicosas; servicios de cuidado corporal cosmético prestados por balnearios para la salud; tratamiento cosmético por láser de vello corporal no deseado; asesoramiento en cuidados capilares; servicios de asesoramiento en cuidados capilares; servicios de cuidado capilares; servicios de cuidados capilares; servicios de restauración capilar; servicios de sustitución capilar; servicios de tratamientos capilares; servicios terapéuticos relacionados con la regeneración capilar; servicios de tatuaje; eliminación por láser de tatuajes; depilación con cera; servicios de depilación corporal con cera; cuidado estético de los pies; servicios de consultoría en estética; servicios de terapias de estética.
</x:t>
        </x:is>
      </x:c>
      <x:c r="L212" s="3" t="inlineStr">
        <x:is>
          <x:t>No</x:t>
        </x:is>
      </x:c>
      <x:c r="M212" s="3" t="inlineStr">
        <x:is>
          <x:t>Sonia Odalis  Tavera Yzturiz, Carrera 69P #64H06, BOGOTÁ, D.C., CO</x:t>
        </x:is>
      </x:c>
      <x:c r="N212" s="3" t="inlineStr">
        <x:is>
          <x:t/>
        </x:is>
      </x:c>
      <x:c r="O212" s="3" t="inlineStr">
        <x:is>
          <x:t>09 ago. 2022</x:t>
        </x:is>
      </x:c>
      <x:c r="P212" s="3" t="inlineStr">
        <x:is>
          <x:t/>
        </x:is>
      </x:c>
      <x:c r="Q212" s="3" t="inlineStr">
        <x:is>
          <x:t/>
        </x:is>
      </x:c>
    </x:row>
    <x:row r="213">
      <x:c r="A213" s="10" t="inlineStr">
        <x:f xml:space="preserve">HYPERLINK("http://sipi.sic.gov.co/sipi/View.ashx?4158795","SD2022/0045642")</x:f>
      </x:c>
      <x:c r="B213" s="3" t="inlineStr">
        <x:is>
          <x:t>exoten</x:t>
        </x:is>
      </x:c>
      <x:c r="C213" s="9" t="inlineStr">
        <x:is>
          <x:t/>
        </x:is>
      </x:c>
      <x:c r="D213" s="3" t="inlineStr">
        <x:is>
          <x:t>09 may. 2022</x:t>
        </x:is>
      </x:c>
      <x:c r="E213" s="3" t="inlineStr">
        <x:is>
          <x:t/>
        </x:is>
      </x:c>
      <x:c r="F213" s="3" t="inlineStr">
        <x:is>
          <x:t>Negada</x:t>
        </x:is>
      </x:c>
      <x:c r="G213" s="3" t="inlineStr">
        <x:is>
          <x:t>EXOTEN - CLARA</x:t>
        </x:is>
      </x:c>
      <x:c r="H213" s="3" t="inlineStr">
        <x:is>
          <x:t> MULTIPLICADORES S.A.S.,  Carrera 79 46 36, MEDELLIN, ANTIOQUIA, CO</x:t>
        </x:is>
      </x:c>
      <x:c r="I213" s="3" t="inlineStr">
        <x:is>
          <x:t>3, 5</x:t>
        </x:is>
      </x:c>
      <x:c r="J213" s="3" t="inlineStr">
        <x:is>
          <x:t>11</x:t>
        </x:is>
      </x:c>
      <x:c r="K213" s="3" t="inlineStr">
        <x:is>
          <x:t>3. Cosméticos no medicinales, lociones capilares no medicinales.
5. Productos farmacéuticos, preparaciones para uso médico.
</x:t>
        </x:is>
      </x:c>
      <x:c r="L213" s="3" t="inlineStr">
        <x:is>
          <x:t>No</x:t>
        </x:is>
      </x:c>
      <x:c r="M213" s="3" t="inlineStr">
        <x:is>
          <x:t>Manuela Castaño Villa, Calle 20 No. 84 F - 48 int. 217, MEDELLIN, ANTIOQUIA 05, CO</x:t>
        </x:is>
      </x:c>
      <x:c r="N213" s="3" t="inlineStr">
        <x:is>
          <x:t/>
        </x:is>
      </x:c>
      <x:c r="O213" s="3" t="inlineStr">
        <x:is>
          <x:t>19 jul. 2022</x:t>
        </x:is>
      </x:c>
      <x:c r="P213" s="3" t="inlineStr">
        <x:is>
          <x:t/>
        </x:is>
      </x:c>
      <x:c r="Q213" s="3" t="inlineStr">
        <x:is>
          <x:t/>
        </x:is>
      </x:c>
    </x:row>
    <x:row r="214">
      <x:c r="A214" s="10" t="inlineStr">
        <x:f xml:space="preserve">HYPERLINK("http://sipi.sic.gov.co/sipi/View.ashx?4159675","SD2022/0045762")</x:f>
      </x:c>
      <x:c r="B214" s="3" t="inlineStr">
        <x:is>
          <x:t>SUDOR DEFENSE </x:t>
        </x:is>
      </x:c>
      <x:c r="C214" s="3" t="inlineStr">
        <x:is>
          <x:t/>
        </x:is>
      </x:c>
      <x:c r="D214" s="3" t="inlineStr">
        <x:is>
          <x:t>09 may. 2022</x:t>
        </x:is>
      </x:c>
      <x:c r="E214" s="3" t="inlineStr">
        <x:is>
          <x:t/>
        </x:is>
      </x:c>
      <x:c r="F214" s="3" t="inlineStr">
        <x:is>
          <x:t>Negada</x:t>
        </x:is>
      </x:c>
      <x:c r="G214" s="3" t="inlineStr">
        <x:is>
          <x:t/>
        </x:is>
      </x:c>
      <x:c r="H214" s="3" t="inlineStr">
        <x:is>
          <x:t> SHULTON, INC., ONE PROCTER &amp; GAMBLE PLAZA, CINCINNATI, OHIO, 45202, CINCINNATI, OHIO, US</x:t>
        </x:is>
      </x:c>
      <x:c r="I214" s="3" t="inlineStr">
        <x:is>
          <x:t>3</x:t>
        </x:is>
      </x:c>
      <x:c r="J214" s="3" t="inlineStr">
        <x:is>
          <x:t>11</x:t>
        </x:is>
      </x:c>
      <x:c r="K214" s="3" t="inlineStr">
        <x:is>
          <x:t>3. Desodorantes y antitranspirantes de uso personal.
</x:t>
        </x:is>
      </x:c>
      <x:c r="L214" s="3" t="inlineStr">
        <x:is>
          <x:t>No</x:t>
        </x:is>
      </x:c>
      <x:c r="M214" s="3" t="inlineStr">
        <x:is>
          <x:t>JUAN PABLO CONCHA DELGADO, AVENIDA 82 No. 10-62 PISO 5, BOGOTÁ, D.C., CO</x:t>
        </x:is>
      </x:c>
      <x:c r="N214" s="3" t="inlineStr">
        <x:is>
          <x:t/>
        </x:is>
      </x:c>
      <x:c r="O214" s="3" t="inlineStr">
        <x:is>
          <x:t>20 may. 2022</x:t>
        </x:is>
      </x:c>
      <x:c r="P214" s="3" t="inlineStr">
        <x:is>
          <x:t/>
        </x:is>
      </x:c>
      <x:c r="Q214" s="3" t="inlineStr">
        <x:is>
          <x:t/>
        </x:is>
      </x:c>
    </x:row>
    <x:row r="215">
      <x:c r="A215" s="10" t="inlineStr">
        <x:f xml:space="preserve">HYPERLINK("http://sipi.sic.gov.co/sipi/View.ashx?4160685","SD2022/0047127")</x:f>
      </x:c>
      <x:c r="B215" s="3" t="inlineStr">
        <x:is>
          <x:t>Ondánika By Maraval Cosmetics</x:t>
        </x:is>
      </x:c>
      <x:c r="C215" s="9" t="inlineStr">
        <x:is>
          <x:t/>
        </x:is>
      </x:c>
      <x:c r="D215" s="3" t="inlineStr">
        <x:is>
          <x:t>12 may. 2022</x:t>
        </x:is>
      </x:c>
      <x:c r="E215" s="3" t="inlineStr">
        <x:is>
          <x:t/>
        </x:is>
      </x:c>
      <x:c r="F215" s="3" t="inlineStr">
        <x:is>
          <x:t>Negada</x:t>
        </x:is>
      </x:c>
      <x:c r="G215" s="3" t="inlineStr">
        <x:is>
          <x:t>Ondanika2</x:t>
        </x:is>
      </x:c>
      <x:c r="H215" s="3" t="inlineStr">
        <x:is>
          <x:t> MARAVAL COSMETICS S.A.S BIC, Barrio Viento Libre, Comuna 5 Casa 175, TUMACO, NARIÑO, CO</x:t>
        </x:is>
      </x:c>
      <x:c r="I215" s="3" t="inlineStr">
        <x:is>
          <x:t>3</x:t>
        </x:is>
      </x:c>
      <x:c r="J215" s="3" t="inlineStr">
        <x:is>
          <x:t>11</x:t>
        </x:is>
      </x:c>
      <x:c r="K215" s="3" t="inlineStr">
        <x:is>
          <x:t>3. Champúes para el cabello; champús 3 en 1; champús acondicionadores; champús anticaspa; champús capilares; champús de ph neutro; champús en barritas sólidas; champús en seco*; champús equilibrados de ph; champús no medicinales; champús no medicinales contra la caspa; champús para bebés; champús para el cabello; champús para el cabello humano; champús para el cabello y el cuerpo; champús para el cuerpo; champús y acondicionadores; champús y acondicionadores para el cabello; champús*; productos de enjuague para el cabello [champús acondicionadores]; acondicionadores de cabello; acondicionadores de cabello a base de cáñamo; acondicionadores de cutícula; acondicionadores en barritas sólidas para el cabello; acondicionadores para el cabello; acondicionadores para el cabello para bebés; acondicionadores para uso en el cabello; bálsamo acondicionador; cremas acondicionadoras; cremas acondicionadoras para la piel, de uso cosmético; mascarillas corporales; mascarillas corporales en forma de cremas; mascarillas corporales en forma de cremas para uso cosmético; mascarillas corporales en forma de lociones; mascarillas corporales en forma de lociones para uso cosmético; mascarillas cosméticas; mascarillas cosméticas para el cutis; mascarillas de belleza; mascarillas de belleza para el cabello; mascarillas de belleza para las manos;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hidratantes para la piel; mascarillas limpiadoras; mascarillas limpiadoras para corporales; mascarillas limpiadoras para faciales; mascarillas para el cabello; mascarillas para el cabello y el cuero cabelludo; mascarillas para el cuero cabelludo; mascarillas para el cuidado capilar; mascarillas para el cuidado de la piel de las manos; mascarillas para el cuidado del cabello; mascarillas para el cutis; mascarillas para el peinado del cabello; mascarillas para eliminar los puntos negros; mascarillas para hidratar la piel; mascarillas para la cara; mascarillas para la piel de uso cosmético; cremas bronceadoras; cremas bronceadoras para la piel; cremas bálsamos de belleza; cremas capilares; cremas con filtro solar; cremas con filtro solar para uso cosmético; cremas con retinol para uso cosmético; cremas con vitamina a para uso cosmético; cremas corporales [cosméticos]; cremas cosmética para el cuerpo; cremas cosméticas; cremas cosméticas de masaje; cremas cosméticas nutritivas; cremas cosméticas para el cuidado de la piel; cremas cosméticas para el rostro; cremas cosméticas para la piel; cremas cosméticas para las manos; cremas cosméticas para pieles secas; cremas cosméticas para reafirmar la piel; cremas de aromaterapia; cremas de baño; cremas de belleza; cremas de belleza para el cuerpo; cremas de belleza para el rostro y el cuerpo; cremas de ducha; cremas de día; cremas de hidratación intensiva; cremas de limpieza [cosméticos]; cremas de limpieza [para uso cosmético]; cremas de limpieza [productos cosméticos]; cremas de mano a base de cáñamo; cremas de masaje cosméticas; cremas de noche; cremas de protección solar; cremas de protección solar para uso cosmético; cremas de pureza;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para uso cosmético; cremas líquidas y sólidas para la piel; cremas no medicadas para la hidratación de la piel; cremas no medicadas para la piel; cremas no medicadas para la protección de la piel; cremas no medicinales para el cuidado de la piel; cremas no medicinales para el tratamiento del cuero cabelludo; cremas no medicinales para la piel; cremas para el cabello; cremas para el cabello de uso cosmético; cremas para el cabello para uso cosmético; cremas para el calzado; cremas para el cuerpo [cosméticos]; cremas para el cuerpo cosméticas;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 piel no medicinales a base de aceites esenciales para uso en aromaterapia; cremas para las manos; cremas para las manos de uso cosmético; cremas para las uñas de uso cosmético; cremas para limpiar la piel [no medicinales]; cremas para manos a base de cáñamo; cremas para reducir la celulitis; cremas perfumadas; cremas perfumadas para el cuerpo; cremas y geles cosméticos para cara, manos y cuerpo; cremas y geles cosméticos para rostro, manos y cuerpo; cremas y lociones cosméticas; cremas y lociones cosméticas para el cuidado de la cara y el cuerpo; cremas y lociones cosméticas para el cuidado del rostro y el cuerpo; cremas, aceites, lociones, aerosoles, lápices y bálsamos para uso cosmético; cremas, leches, lociones, geles y polvos cosméticos para la cara, el cuerpo y las manos; gel crema matificante; jabones en crema; jabones en crema para el cuerpo; gel de baño; gel exfoliante, no medicinal; gel para baño y ducha; gel para ducha y baño; geles capilares; geles corporales y faciales [cosméticos]; geles cosméticos; geles de aloe vera para uso cosmético; geles de baño; geles de baño no medicinales; geles de baño y de ducha; geles de belleza; geles hidratantes; geles no medicinales; geles para dar forma al cabello; geles para el cabello; geles para el cuerpo [cosméticos]; geles para el cuerpo y la cara [cosméticos]; geles para la cara [cosméticos]; geles para la ducha; geles para uso cosmético; geles para uso en el cabello; geles y espumas para el cabello; geles y sales de baño y de ducha no medicinales; geles, aerosoles, espumas y bálsamos para peinar y cuidar el cabello; geles, cremas y aceites de ducha; geles, espráis, espumas y bálsamos para peinar y cuidar el cabello; jabones de baño en forma líquida, sólida o de gel; leches, geles y aceites bronceadores y para después del sol, de uso cosmético; tónicos clarificadores faciales; tónicos cosméticos; tónicos cosméticos para el rostro; tónicos cosméticos para la cara; tónicos faciales; tónicos faciales [cosméticos]; tónicos para uso cosmético.
</x:t>
        </x:is>
      </x:c>
      <x:c r="L215" s="3" t="inlineStr">
        <x:is>
          <x:t>No</x:t>
        </x:is>
      </x:c>
      <x:c r="M215" s="3" t="inlineStr">
        <x:is>
          <x:t>CARLOS ALBERTO CARVAJAL MONTOYA, Carrera 2 No 74-33 , BOGOTÁ, D.C., CO</x:t>
        </x:is>
      </x:c>
      <x:c r="N215" s="3" t="inlineStr">
        <x:is>
          <x:t/>
        </x:is>
      </x:c>
      <x:c r="O215" s="3" t="inlineStr">
        <x:is>
          <x:t>09 ago. 2022</x:t>
        </x:is>
      </x:c>
      <x:c r="P215" s="3" t="inlineStr">
        <x:is>
          <x:t/>
        </x:is>
      </x:c>
      <x:c r="Q215" s="3" t="inlineStr">
        <x:is>
          <x:t/>
        </x:is>
      </x:c>
    </x:row>
    <x:row r="216">
      <x:c r="A216" s="10" t="inlineStr">
        <x:f xml:space="preserve">HYPERLINK("http://sipi.sic.gov.co/sipi/View.ashx?4160823","SD2022/0045955")</x:f>
      </x:c>
      <x:c r="B216" s="3" t="inlineStr">
        <x:is>
          <x:t>LOE ANCESTRAL</x:t>
        </x:is>
      </x:c>
      <x:c r="C216" s="9" t="inlineStr">
        <x:is>
          <x:t/>
        </x:is>
      </x:c>
      <x:c r="D216" s="3" t="inlineStr">
        <x:is>
          <x:t>10 may. 2022</x:t>
        </x:is>
      </x:c>
      <x:c r="E216" s="3" t="inlineStr">
        <x:is>
          <x:t/>
        </x:is>
      </x:c>
      <x:c r="F216" s="3" t="inlineStr">
        <x:is>
          <x:t>Negada</x:t>
        </x:is>
      </x:c>
      <x:c r="G216" s="3" t="inlineStr">
        <x:is>
          <x:t>4057-M</x:t>
        </x:is>
      </x:c>
      <x:c r="H216" s="3" t="inlineStr">
        <x:is>
          <x:t>LAURA CATALINA GUEVARA GUEVARA, Carrera 5 No. 11 - 61 Piso 2, GUATICA, RISARALDA, CO</x:t>
        </x:is>
      </x:c>
      <x:c r="I216" s="3" t="inlineStr">
        <x:is>
          <x:t>3</x:t>
        </x:is>
      </x:c>
      <x:c r="J216" s="3" t="inlineStr">
        <x:is>
          <x:t>11</x:t>
        </x:is>
      </x:c>
      <x:c r="K216" s="3" t="inlineStr">
        <x:is>
          <x:t>3. Aceites cosméticos; cosméticos; cosméticos naturales, orgánicos; cosméticos para cuidados corporales y estéticos; cosméticos y preparaciones cosméticas; cremas, aceites, lociones y preparaciones limpiadoras e hidratantes; emulsiones, geles y lociones para el cuidado de la piel; exfoliantes; hidratantes para la piel; jabones; jabones cosméticos; jabones de baño en forma líquida, sólida o de gel; lociones cosméticas para el cuidado de la piel; preparaciones cosméticas para el tratamiento de la piel; productos cosméticos y de belleza; productos de jabón; protectores solares; serum calmante para la piel; sueros para uso cosmético.
</x:t>
        </x:is>
      </x:c>
      <x:c r="L216" s="3" t="inlineStr">
        <x:is>
          <x:t>Sí</x:t>
        </x:is>
      </x:c>
      <x:c r="M216" s="3" t="inlineStr">
        <x:is>
          <x:t>MILENA MEJIA OSORIO, CRA. 13A No. 28-38 Ofc. 230 Mz 2 Parque Bavaria, BOGOTÁ, D.C., CO</x:t>
        </x:is>
      </x:c>
      <x:c r="N216" s="3" t="inlineStr">
        <x:is>
          <x:t/>
        </x:is>
      </x:c>
      <x:c r="O216" s="3" t="inlineStr">
        <x:is>
          <x:t>10 jun. 2022</x:t>
        </x:is>
      </x:c>
      <x:c r="P216" s="3" t="inlineStr">
        <x:is>
          <x:t/>
        </x:is>
      </x:c>
      <x:c r="Q216" s="3" t="inlineStr">
        <x:is>
          <x:t/>
        </x:is>
      </x:c>
    </x:row>
    <x:row r="217">
      <x:c r="A217" s="10" t="inlineStr">
        <x:f xml:space="preserve">HYPERLINK("http://sipi.sic.gov.co/sipi/View.ashx?4160918","SD2022/0052748")</x:f>
      </x:c>
      <x:c r="B217" s="3" t="inlineStr">
        <x:is>
          <x:t>Dear poem</x:t>
        </x:is>
      </x:c>
      <x:c r="C217" s="9" t="inlineStr">
        <x:is>
          <x:t/>
        </x:is>
      </x:c>
      <x:c r="D217" s="3" t="inlineStr">
        <x:is>
          <x:t>27 may. 2022</x:t>
        </x:is>
      </x:c>
      <x:c r="E217" s="3" t="inlineStr">
        <x:is>
          <x:t/>
        </x:is>
      </x:c>
      <x:c r="F217" s="3" t="inlineStr">
        <x:is>
          <x:t>Negada</x:t>
        </x:is>
      </x:c>
      <x:c r="G217" s="3" t="inlineStr">
        <x:is>
          <x:t>M001471</x:t>
        </x:is>
      </x:c>
      <x:c r="H217" s="3" t="inlineStr">
        <x:is>
          <x:t> Zhejiang Rifeshow Cosmetics Co., Ltd., No.67 Dashi Road, Fotang Town, Yiwu City Zhejiang, CN</x:t>
        </x:is>
      </x:c>
      <x:c r="I217" s="3" t="inlineStr">
        <x:is>
          <x:t>3</x:t>
        </x:is>
      </x:c>
      <x:c r="J217" s="3" t="inlineStr">
        <x:is>
          <x:t>11</x:t>
        </x:is>
      </x:c>
      <x:c r="K217" s="3" t="inlineStr">
        <x:is>
          <x:t>3. Champú; Perfume; Loción corporal; Lavado de cuerpo; Spray corporal; Difusores de caña de fragancia de aire; Perfume sólido; Crema para después del afeitado; Lociones para después del afeitado; Crema de afeitar; Enjuague bucal.
</x:t>
        </x:is>
      </x:c>
      <x:c r="L217" s="3" t="inlineStr">
        <x:is>
          <x:t>No</x:t>
        </x:is>
      </x:c>
      <x:c r="M217" s="3" t="inlineStr">
        <x:is>
          <x:t>Juan David Mejia Montoya, Cra. 13 # 28-38, Bufete 245, Mz. 2, BOGOTÁ, D.C., CO</x:t>
        </x:is>
      </x:c>
      <x:c r="N217" s="3" t="inlineStr">
        <x:is>
          <x:t/>
        </x:is>
      </x:c>
      <x:c r="O217" s="3" t="inlineStr">
        <x:is>
          <x:t>21 jun. 2022</x:t>
        </x:is>
      </x:c>
      <x:c r="P217" s="3" t="inlineStr">
        <x:is>
          <x:t/>
        </x:is>
      </x:c>
      <x:c r="Q217" s="3" t="inlineStr">
        <x:is>
          <x:t/>
        </x:is>
      </x:c>
    </x:row>
    <x:row r="218">
      <x:c r="A218" s="10" t="inlineStr">
        <x:f xml:space="preserve">HYPERLINK("http://sipi.sic.gov.co/sipi/View.ashx?4161300","SD2022/0046041")</x:f>
      </x:c>
      <x:c r="B218" s="3" t="inlineStr">
        <x:is>
          <x:t>BLENDED BY LM</x:t>
        </x:is>
      </x:c>
      <x:c r="C218" s="9" t="inlineStr">
        <x:is>
          <x:t/>
        </x:is>
      </x:c>
      <x:c r="D218" s="3" t="inlineStr">
        <x:is>
          <x:t>10 may. 2022</x:t>
        </x:is>
      </x:c>
      <x:c r="E218" s="3" t="inlineStr">
        <x:is>
          <x:t/>
        </x:is>
      </x:c>
      <x:c r="F218" s="3" t="inlineStr">
        <x:is>
          <x:t>Negada</x:t>
        </x:is>
      </x:c>
      <x:c r="G218" s="3" t="inlineStr">
        <x:is>
          <x:t>BLENDED</x:t>
        </x:is>
      </x:c>
      <x:c r="H218" s="3" t="inlineStr">
        <x:is>
          <x:t>Alex Andres  Miserque Salgado, CRA 51B # 85-75, BARRANQUILLA, ATLÁNTICO, CO</x:t>
        </x:is>
      </x:c>
      <x:c r="I218" s="3" t="inlineStr">
        <x:is>
          <x:t>3</x:t>
        </x:is>
      </x:c>
      <x:c r="J218" s="3" t="inlineStr">
        <x:is>
          <x:t>11</x:t>
        </x:is>
      </x:c>
      <x:c r="K218" s="3" t="inlineStr">
        <x:is>
          <x:t>3. Productos para perfumar la ropa; kits de cosméticos que comprenden principalmente máscara de pestañas, lápices de labios, lápices de cejas, maquillaje, fundación de maquillaje y brillos de labios; maquillaje [cosméticos]; productos cosméticos y de maquillaje; jabones cosméticos; jabones faciales; cosméticos de belleza; productos cosméticos y de belleza.
</x:t>
        </x:is>
      </x:c>
      <x:c r="L218" s="3" t="inlineStr">
        <x:is>
          <x:t>No</x:t>
        </x:is>
      </x:c>
      <x:c r="M218" s="3" t="inlineStr">
        <x:is>
          <x:t/>
        </x:is>
      </x:c>
      <x:c r="N218" s="3" t="inlineStr">
        <x:is>
          <x:t/>
        </x:is>
      </x:c>
      <x:c r="O218" s="3" t="inlineStr">
        <x:is>
          <x:t>08 jul. 2022</x:t>
        </x:is>
      </x:c>
      <x:c r="P218" s="3" t="inlineStr">
        <x:is>
          <x:t/>
        </x:is>
      </x:c>
      <x:c r="Q218" s="3" t="inlineStr">
        <x:is>
          <x:t/>
        </x:is>
      </x:c>
    </x:row>
    <x:row r="219">
      <x:c r="A219" s="10" t="inlineStr">
        <x:f xml:space="preserve">HYPERLINK("http://sipi.sic.gov.co/sipi/View.ashx?4161345","SD2022/0049132")</x:f>
      </x:c>
      <x:c r="B219" s="3" t="inlineStr">
        <x:is>
          <x:t>Maxcotas Divierte a tu Consentido</x:t>
        </x:is>
      </x:c>
      <x:c r="C219" s="9" t="inlineStr">
        <x:is>
          <x:t/>
        </x:is>
      </x:c>
      <x:c r="D219" s="3" t="inlineStr">
        <x:is>
          <x:t>17 may. 2022</x:t>
        </x:is>
      </x:c>
      <x:c r="E219" s="3" t="inlineStr">
        <x:is>
          <x:t/>
        </x:is>
      </x:c>
      <x:c r="F219" s="3" t="inlineStr">
        <x:is>
          <x:t>Negada</x:t>
        </x:is>
      </x:c>
      <x:c r="G219" s="3" t="inlineStr">
        <x:is>
          <x:t/>
        </x:is>
      </x:c>
      <x:c r="H219" s="3" t="inlineStr">
        <x:is>
          <x:t> STAY BEAUTIFULL S.A.S., CARRERA 6 NO. 89-44, BARRANQUILLA, ATLÁNTICO, CO</x:t>
        </x:is>
      </x:c>
      <x:c r="I219" s="3" t="inlineStr">
        <x:is>
          <x:t>3, 18</x:t>
        </x:is>
      </x:c>
      <x:c r="J219" s="3" t="inlineStr">
        <x:is>
          <x:t>11</x:t>
        </x:is>
      </x:c>
      <x:c r="K219" s="3" t="inlineStr">
        <x:is>
          <x:t>3. Desodorantes para mascotas; desodorizantes para mascotas; toallitas impregnadas con preparaciones de limpieza para mascotas;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champús y acondicionadores para animales de compañía [preparaciones de peluquería no medicinales ni veterinarias]; productos para lavar perros [champús]; desodorantes para animales de compañía; desodorizantes para animales de compañía; enjuagues bucales no medicinales para animales de compañía; productos para eliminar las manchas producidas por animales de compañía; toallitas impregnadas con preparaciones de limpieza para animales de compañía; productos cosméticos para el cuidado de la piel de los perros.
18. Arneses para mascotas; bolsas para transportar mascotas; bolsos para transportar mascotas; botines para mascotas; collares para mascotas; correas para mascotas; escarpines para mascotas; ropa para mascotas; ropa para mascotas con led incorporado; vestimenta para mascotas; vestuario para mascotas; abrigos para perros; botitas para perros; bragas para perros [prendas de vestir para animales]; chubasqueros para perros; chubasqueros para perros de compañía; cinchas para perros; collares para perros; collares y correas para perros; correas de entrenamiento para perros; correas para perros; objetos masticables de cuero crudo para perros; parkas para perros; prendas de vestir para perros; ropa para perros; vestimenta para perros; arneses para animales de compañía; bolsas para transportar animales de compañía; bolsos para transportar animales de compañía; botines para animales de compañía; collares con chapa sanitaria para animales de compañía; collares electrónicos para animales de compañía; collares para animales de compañía; ropa para animales de compañía; ropa para animales de compañía con led ncorporado; vestimenta para animales de compañía; vestuario para animales de compañía; bolsas de transporte para juguetes.
</x:t>
        </x:is>
      </x:c>
      <x:c r="L219" s="3" t="inlineStr">
        <x:is>
          <x:t>No</x:t>
        </x:is>
      </x:c>
      <x:c r="M219" s="3" t="inlineStr">
        <x:is>
          <x:t>CAROLINA DE LOS ANGELES  CEBALLOS SANTOS, CARRERA 1 NO.22-58 OF.705 EDIFICIO BAHIA CENTRO, SANTA MARTA, MAGDALENA, CO</x:t>
        </x:is>
      </x:c>
      <x:c r="N219" s="3" t="inlineStr">
        <x:is>
          <x:t/>
        </x:is>
      </x:c>
      <x:c r="O219" s="3" t="inlineStr">
        <x:is>
          <x:t>10 jun. 2022</x:t>
        </x:is>
      </x:c>
      <x:c r="P219" s="3" t="inlineStr">
        <x:is>
          <x:t/>
        </x:is>
      </x:c>
      <x:c r="Q219" s="3" t="inlineStr">
        <x:is>
          <x:t/>
        </x:is>
      </x:c>
    </x:row>
    <x:row r="220">
      <x:c r="A220" s="10" t="inlineStr">
        <x:f xml:space="preserve">HYPERLINK("http://sipi.sic.gov.co/sipi/View.ashx?4163731","SD2022/0046588")</x:f>
      </x:c>
      <x:c r="B220" s="3" t="inlineStr">
        <x:is>
          <x:t>777 VIP EXTREME by DIAMOND COLLECTION</x:t>
        </x:is>
      </x:c>
      <x:c r="C220" s="3" t="inlineStr">
        <x:is>
          <x:t/>
        </x:is>
      </x:c>
      <x:c r="D220" s="3" t="inlineStr">
        <x:is>
          <x:t>11 may. 2022</x:t>
        </x:is>
      </x:c>
      <x:c r="E220" s="3" t="inlineStr">
        <x:is>
          <x:t/>
        </x:is>
      </x:c>
      <x:c r="F220" s="3" t="inlineStr">
        <x:is>
          <x:t>Negada</x:t>
        </x:is>
      </x:c>
      <x:c r="G220" s="3" t="inlineStr">
        <x:is>
          <x:t/>
        </x:is>
      </x:c>
      <x:c r="H220" s="3" t="inlineStr">
        <x:is>
          <x:t> MUNDO COLLECTION S.A.S, CARRERA 8 NO. 14-25 BODEGA 403, CALI, VALLE DEL CAUCA, CO</x:t>
        </x:is>
      </x:c>
      <x:c r="I220" s="3" t="inlineStr">
        <x:is>
          <x:t>3</x:t>
        </x:is>
      </x:c>
      <x:c r="J220" s="3" t="inlineStr">
        <x:is>
          <x:t>11</x:t>
        </x:is>
      </x:c>
      <x:c r="K220" s="3" t="inlineStr">
        <x:is>
          <x:t>3. ACEITES DE PERFUMERÍA, ACEITES PARA PERFUMES Y FRAGANCIAS, AGUA DE COLONIA, AGUA DE LAVANDA, AGUAS PERFUMADAS, AROMAS, BASES PARA PERFUMES DE FLORES, EXTRACTOS DE FLORES (PRODUCTOS DE PERFUMERÍA), LOCIONES PARA USO COSMÉTICO, PRODUCTOS PARA PERFUMAR EL AMBIENTE, PRODUCTOS DE PERFUMERÍA, PERFUMES.
</x:t>
        </x:is>
      </x:c>
      <x:c r="L220" s="3" t="inlineStr">
        <x:is>
          <x:t>No</x:t>
        </x:is>
      </x:c>
      <x:c r="M220" s="3" t="inlineStr">
        <x:is>
          <x:t>SERGIO ROBERTO CABRERA TORRES, AVENIDA 4N No. 25N-45 BARRIO SAN VICENTE, CALI, VALLE DEL CAUCA, CO</x:t>
        </x:is>
      </x:c>
      <x:c r="N220" s="3" t="inlineStr">
        <x:is>
          <x:t/>
        </x:is>
      </x:c>
      <x:c r="O220" s="3" t="inlineStr">
        <x:is>
          <x:t>09 ago. 2022</x:t>
        </x:is>
      </x:c>
      <x:c r="P220" s="3" t="inlineStr">
        <x:is>
          <x:t/>
        </x:is>
      </x:c>
      <x:c r="Q220" s="3" t="inlineStr">
        <x:is>
          <x:t/>
        </x:is>
      </x:c>
    </x:row>
    <x:row r="221">
      <x:c r="A221" s="10" t="inlineStr">
        <x:f xml:space="preserve">HYPERLINK("http://sipi.sic.gov.co/sipi/View.ashx?4163852","SD2022/0046613")</x:f>
      </x:c>
      <x:c r="B221" s="3" t="inlineStr">
        <x:is>
          <x:t>VICTORIOUS by DIAMOND COLLECTION</x:t>
        </x:is>
      </x:c>
      <x:c r="C221" s="3" t="inlineStr">
        <x:is>
          <x:t/>
        </x:is>
      </x:c>
      <x:c r="D221" s="3" t="inlineStr">
        <x:is>
          <x:t>11 may. 2022</x:t>
        </x:is>
      </x:c>
      <x:c r="E221" s="3" t="inlineStr">
        <x:is>
          <x:t/>
        </x:is>
      </x:c>
      <x:c r="F221" s="3" t="inlineStr">
        <x:is>
          <x:t>Negada</x:t>
        </x:is>
      </x:c>
      <x:c r="G221" s="3" t="inlineStr">
        <x:is>
          <x:t/>
        </x:is>
      </x:c>
      <x:c r="H221" s="3" t="inlineStr">
        <x:is>
          <x:t> MUNDO COLLECTION S.A.S, CARRERA 8 NO. 14-25 BODEGA 403, CALI, VALLE DEL CAUCA, CO</x:t>
        </x:is>
      </x:c>
      <x:c r="I221" s="3" t="inlineStr">
        <x:is>
          <x:t>3</x:t>
        </x:is>
      </x:c>
      <x:c r="J221" s="3" t="inlineStr">
        <x:is>
          <x:t>11</x:t>
        </x:is>
      </x:c>
      <x:c r="K221" s="3" t="inlineStr">
        <x:is>
          <x:t>3. ACEITES DE PERFUMERÍA, ACEITES PARA PERFUMES Y FRAGANCIAS, AGUA DE COLONIA, AGUA DE LAVANDA, AGUAS PERFUMADAS, AROMAS, BASES PARA PERFUMES DE FLORES, EXTRACTOS DE FLORES (PRODUCTOS DE PERFUMERÍA), LOCIONES PARA USO COSMÉTICO, PRODUCTOS PARA PERFUMAR EL AMBIENTE, PRODUCTOS DE PERFUMERÍA, PERFUMES.
</x:t>
        </x:is>
      </x:c>
      <x:c r="L221" s="3" t="inlineStr">
        <x:is>
          <x:t>No</x:t>
        </x:is>
      </x:c>
      <x:c r="M221" s="3" t="inlineStr">
        <x:is>
          <x:t>SERGIO ROBERTO CABRERA TORRES, AVENIDA 4N No. 25N-45 BARRIO SAN VICENTE, CALI, VALLE DEL CAUCA, CO</x:t>
        </x:is>
      </x:c>
      <x:c r="N221" s="3" t="inlineStr">
        <x:is>
          <x:t/>
        </x:is>
      </x:c>
      <x:c r="O221" s="3" t="inlineStr">
        <x:is>
          <x:t>09 ago. 2022</x:t>
        </x:is>
      </x:c>
      <x:c r="P221" s="3" t="inlineStr">
        <x:is>
          <x:t/>
        </x:is>
      </x:c>
      <x:c r="Q221" s="3" t="inlineStr">
        <x:is>
          <x:t/>
        </x:is>
      </x:c>
    </x:row>
    <x:row r="222">
      <x:c r="A222" s="10" t="inlineStr">
        <x:f xml:space="preserve">HYPERLINK("http://sipi.sic.gov.co/sipi/View.ashx?4163888","SD2022/0046622")</x:f>
      </x:c>
      <x:c r="B222" s="3" t="inlineStr">
        <x:is>
          <x:t>SWEET CHIC by DIAMOND COLLECTION</x:t>
        </x:is>
      </x:c>
      <x:c r="C222" s="3" t="inlineStr">
        <x:is>
          <x:t/>
        </x:is>
      </x:c>
      <x:c r="D222" s="3" t="inlineStr">
        <x:is>
          <x:t>11 may. 2022</x:t>
        </x:is>
      </x:c>
      <x:c r="E222" s="3" t="inlineStr">
        <x:is>
          <x:t/>
        </x:is>
      </x:c>
      <x:c r="F222" s="3" t="inlineStr">
        <x:is>
          <x:t>Negada</x:t>
        </x:is>
      </x:c>
      <x:c r="G222" s="3" t="inlineStr">
        <x:is>
          <x:t/>
        </x:is>
      </x:c>
      <x:c r="H222" s="3" t="inlineStr">
        <x:is>
          <x:t> MUNDO COLLECTION S.A.S, CARRERA 8 NO. 14-25 BODEGA 403, CALI, VALLE DEL CAUCA, CO</x:t>
        </x:is>
      </x:c>
      <x:c r="I222" s="3" t="inlineStr">
        <x:is>
          <x:t>3</x:t>
        </x:is>
      </x:c>
      <x:c r="J222" s="3" t="inlineStr">
        <x:is>
          <x:t>11</x:t>
        </x:is>
      </x:c>
      <x:c r="K222" s="3" t="inlineStr">
        <x:is>
          <x:t>3. ACEITES DE PERFUMERÍA, ACEITES PARA PERFUMES Y FRAGANCIAS, AGUA DE COLONIA, AGUA DE LAVANDA, AGUAS PERFUMADAS, AROMAS, BASES PARA PERFUMES DE FLORES, EXTRACTOS DE FLORES (PRODUCTOS DE PERFUMERÍA), LOCIONES PARA USO COSMÉTICO, PRODUCTOS PARA PERFUMAR EL AMBIENTE, PRODUCTOS DE PERFUMERÍA, PERFUMES.
</x:t>
        </x:is>
      </x:c>
      <x:c r="L222" s="3" t="inlineStr">
        <x:is>
          <x:t>No</x:t>
        </x:is>
      </x:c>
      <x:c r="M222" s="3" t="inlineStr">
        <x:is>
          <x:t>SERGIO ROBERTO CABRERA TORRES, AVENIDA 4N No. 25N-45 BARRIO SAN VICENTE, CALI, VALLE DEL CAUCA, CO</x:t>
        </x:is>
      </x:c>
      <x:c r="N222" s="3" t="inlineStr">
        <x:is>
          <x:t/>
        </x:is>
      </x:c>
      <x:c r="O222" s="3" t="inlineStr">
        <x:is>
          <x:t>09 ago. 2022</x:t>
        </x:is>
      </x:c>
      <x:c r="P222" s="3" t="inlineStr">
        <x:is>
          <x:t/>
        </x:is>
      </x:c>
      <x:c r="Q222" s="3" t="inlineStr">
        <x:is>
          <x:t/>
        </x:is>
      </x:c>
    </x:row>
    <x:row r="223">
      <x:c r="A223" s="10" t="inlineStr">
        <x:f xml:space="preserve">HYPERLINK("http://sipi.sic.gov.co/sipi/View.ashx?4164031","SD2022/0046695")</x:f>
      </x:c>
      <x:c r="B223" s="3" t="inlineStr">
        <x:is>
          <x:t>FRAGANTTA</x:t>
        </x:is>
      </x:c>
      <x:c r="C223" s="9" t="inlineStr">
        <x:is>
          <x:t/>
        </x:is>
      </x:c>
      <x:c r="D223" s="3" t="inlineStr">
        <x:is>
          <x:t>11 may. 2022</x:t>
        </x:is>
      </x:c>
      <x:c r="E223" s="3" t="inlineStr">
        <x:is>
          <x:t/>
        </x:is>
      </x:c>
      <x:c r="F223" s="3" t="inlineStr">
        <x:is>
          <x:t>Negada</x:t>
        </x:is>
      </x:c>
      <x:c r="G223" s="3" t="inlineStr">
        <x:is>
          <x:t/>
        </x:is>
      </x:c>
      <x:c r="H223" s="3" t="inlineStr">
        <x:is>
          <x:t>LAURA ISABEL ARENAS ZULUAGA, calle 12b # 32a-86, CALI, VALLE DEL CAUCA, CO</x:t>
        </x:is>
      </x:c>
      <x:c r="I223" s="3" t="inlineStr">
        <x:is>
          <x:t>3, 4</x:t>
        </x:is>
      </x:c>
      <x:c r="J223" s="3" t="inlineStr">
        <x:is>
          <x:t>11</x:t>
        </x:is>
      </x:c>
      <x:c r="K223" s="3" t="inlineStr">
        <x:is>
          <x:t>3. Antifaces de gel; crema en gel para matificar la piel; cremas y geles cosméticos para cara, manos y cuerpo; cremas y geles cosméticos para rostro, manos y cuerpo; cremas, leches, lociones, geles y polvos cosméticos para la cara, el cuerpo y las manos; cremas, lociones y geles hidratantes; espumas y geles para peinar el cabello; gel crema matificante; gel de baño; gel de lavanda; gel exfoliante, no medicinal; gel para baño y ducha; gel para ducha y baño; gelatina de algas marinas para la colada; geles antienvejecimiento; geles antienvejecimiento para uso cosmético; geles blanqueadores para uso dental; geles bronceadores; geles bronceadores [cosméticos]; geles capilares; geles corporales y faciales [cosméticos]; geles cosméticos; geles de aloe vera para uso cosmético; geles de baño; geles de baño no medicinales; geles de baño y de ducha; geles de baño y de ducha no medicinales; geles de belleza; geles de ducha; geles de ducha a base de cáñamo; geles de ducha no para uso médico; geles de ducha y de baño; geles de lavanda; geles de lavanda para uso cosmético; geles de limpieza de inodoros; geles de limpieza para los dientes; geles depilatorios; geles exfoliantes, no medicinales; geles hidratantes; geles hidratantes [cosméticos]; geles no medicinales; geles no medicinales para después de afeitar; geles no medicinales para después del afeitado; geles para acelerar, realzar y prolongar el bronceado de la piel; geles para antes del afeitado; geles para dar forma al cabello; geles para después del afeitado; geles para después del sol; geles para después del sol [productos cosméticos]; geles para después del sol de uso cosmético; geles para el baño [no medicinales]; geles para el bronceado de la piel; geles para el cabello; geles para el cuerpo [cosméticos]; geles para el peinado de las cejas; geles para el peinado del cabello; aceites esenciales en cuanto fragancias de lavandería; aceites para perfumes y fragancias; aromas para fragancias; aromatizantes para fragancias; fragancias; fragancias corporales; fragancias de ambiente; fragancias para automóviles; fragancias para el hogar; fragancias para la industria manufacturera; fragancias para perfumar el ambiente; fragancias para uso doméstico; fragancias para uso personal; fragancias y productos de perfumería; mechas impregnadas de fragancias para perfumar el ambiente; perfumería y fragancias; popurrís [fragancias]; preparaciones de fragancias para perfumar el ambiente; productos de perfumería y productos de fragancias; productos de perfumería, fragancias e incienso; productos de perfumería, fragancias e incienso que no sean perfumes para uso personal; productos de perfumería, inciensos y fragancias; recambios de fragancias para ambientadores de aceites esenciales enchufables; recambios de fragancias para ambientadores electrónicos de aceites esenciales; recambios de fragancias para difusores de aceites esenciales enchufables; recambios de fragancias para difusores electrónicos de aceites esenciales; aceites aromáticos; aceites aromáticos para el baño; aceites brillantes para el cuerpo; aceites bronceadores; aceites bronceadores [cosméticos]; aceites bronceadores de uso cosmético; aceites cosméticos; aceites cosméticos para la piel; aceites de aromaterapia; aceites de baño; aceites de baño no medicados; aceites de baño no medicinales; aceites de baño para uso cosmético; aceites de baño que no sean medicinales; aceites de baño, que no sean para uso médico; aceites de cáñamo a base de cbd para uso cosmético; aceites de ducha a base de cáñamo; aceites de limpieza; aceites de masaje, no medicinales; aceites de perfumería; aceites de protección solar; aceites de tocador; aceites destilados para el cuidado de belleza;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en cuanto aromatizantes alimentarios; aceites esenciales en cuanto perfumes de lavandería; aceites esenciales industriales para uso en la fabricación de productos de tabaco; aceites esenciales naturales; aceites esenciales para ambientadores de interior; aceites esenciales para aparatos ambientadores de interior; aceites esenciales para aromatizar bebidas; aceites esenciales para aromatizar el tabaco; aceites esenciales para aromatizar las bebidas; aceites esenciales para aromatizar los alimentos; aceites esenciales para cigarrillos electrónicos; aceites esenciales para el tabaco; aceites esenciales para la fabricación de productos perfumados; aceites esenciales para uso cosmético; aceites esenciales para uso doméstico; aceites esenciales para uso en aromaterapia; aceites esenciales para uso en la fabricación de líquidos para cigarrillos electrónicos [e-liquid]; aceites esenciales para uso en la fabricación de productos neutralizadores de olores; aceites esenciales para uso industrial; aceites esenciales para uso industrial para uso en la fabricación de productos de tabaco; aceites esenciales para uso personal; aceites esenciales que no sean para uso médico o terapéutico; aceites hidratantes intensivos; aceites para bebés; aceites para bronceado [cosméticos]; aceites para después del sol; aceites para después del sol [productos cosméticos]; aceites para después del sol de uso cosmético; aceites para el bronceado de la piel; aceites para el cabello; aceites para el cuerpo; aceites para el cuerpo de uso cosmético; aceites para uso cosmético; aceites perfumados; aceites perfumados para el cuidado de la piel; aceites perfumados para fabricar preparaciones cosméticas; aceites perfumados para la fabricación de preparaciones cosméticas; aceites perfumados para la fabricación de preparados cosméticos; aceites perfumados para la fabricación de productos cosméticos; aceites perfumados que difunden aromas al ser calentados; aceites puros para uso cosmético; aceites solares de uso cosmético; aceites suavizantes para el cabello; aceites vegetales esenciales; productos de perfumería, aceites esenciales; productos de perfumería, aceites esenciales, cosméticos no medicinales, lociones capilares no medicinales; productos de perfumería, aceites esenciales, cosméticos, lociones capilares; recambios de perfumes para difusores de aceites esenciales enchufables; recambios de perfumes para difusores electrónicos de aceites esenciales; lociones para ondular el cabello de forma permanente; lociones para reducir la celulitis; lociones para reducir la celulitis de uso cosmético; lociones para rizar el cabello; lociones para uso cosmético; lociones perfumadas [preparaciones de tocador]; lociones perfumadas para el cuerpo; lociones tonificantes para el cuerpo; lociones tónicas para el cuerpo; lociones tónicas para el rostro, el cuerpo y las manos de uso cosmético;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mascarillas corporales en forma de lociones; mascarillas corporales en forma de lociones para uso cosmético; pomadas y lociones no medicinales contra la dermatitis del pañal; productos cosméticos, a saber, leches, lociones y emulsiones; productos cosméticos, a saber, lociones; toallitas impregnadas de lociones cosméticas; velas de masaje para uso cosmético; abrillantadores y cremas para el cuero; abrillantadores y cremas para la madera; abrillantadores y cremas para metal; abrillantadores y cremas para vinilo; bases de maquillaje en crema; betunes y cremas para el calzado; betunes y cremas para el cuero; betunes y cremas para la madera; betunes y cremas para metal; betunes y cremas para vinilo; bálsamos [cremas] para disimular las imperfecciones de la piel; calcetines impregnados con crema hidratante cosmética; coloretes en crema; cosméticos en forma de cremas; crema corporal; crema corporal para uso cosmético; crema lavamanos; crema limpiadora; crema no medicinal contra la dermatitis del pañal; crema para aclarar la piel; crema para las manos; crema para lavarse las manos; crema para peinar el cabello;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exfoliantes; cremas exfoliantes para uso cosmético; cremas faciales; cremas faciales para uso cosmético; cremas hidratantes; cremas hidratantes para después del afeitado.
4. Velas de fragancia para aromaterapia; cera de abeja utilizada en la fabricación de velas; cera para fabricar velas; cera para hacer velas; lamparillas [velas]; luces de navidad [velas]; mechas para velas; mechas para velas de alumbrado; velas [iluminación]; velas aromáticas; velas calientaplatos; velas con repelente de insectos; velas de cera; velas de iluminación; velas de sebo; velas para absorber el humo; velas para árboles de navidad; velas perfumadas; velas perfumadas de aromaterapia; velas votivas; velas y mechas de iluminación.
</x:t>
        </x:is>
      </x:c>
      <x:c r="L223" s="3" t="inlineStr">
        <x:is>
          <x:t>Sí</x:t>
        </x:is>
      </x:c>
      <x:c r="M223" s="3" t="inlineStr">
        <x:is>
          <x:t/>
        </x:is>
      </x:c>
      <x:c r="N223" s="3" t="inlineStr">
        <x:is>
          <x:t/>
        </x:is>
      </x:c>
      <x:c r="O223" s="3" t="inlineStr">
        <x:is>
          <x:t>20 sept. 2022</x:t>
        </x:is>
      </x:c>
      <x:c r="P223" s="3" t="inlineStr">
        <x:is>
          <x:t/>
        </x:is>
      </x:c>
      <x:c r="Q223" s="3" t="inlineStr">
        <x:is>
          <x:t/>
        </x:is>
      </x:c>
    </x:row>
    <x:row r="224">
      <x:c r="A224" s="10" t="inlineStr">
        <x:f xml:space="preserve">HYPERLINK("http://sipi.sic.gov.co/sipi/View.ashx?4164483","SD2022/0047595")</x:f>
      </x:c>
      <x:c r="B224" s="3" t="inlineStr">
        <x:is>
          <x:t>gleek</x:t>
        </x:is>
      </x:c>
      <x:c r="C224" s="9" t="inlineStr">
        <x:is>
          <x:t/>
        </x:is>
      </x:c>
      <x:c r="D224" s="3" t="inlineStr">
        <x:is>
          <x:t>13 may. 2022</x:t>
        </x:is>
      </x:c>
      <x:c r="E224" s="3" t="inlineStr">
        <x:is>
          <x:t/>
        </x:is>
      </x:c>
      <x:c r="F224" s="3" t="inlineStr">
        <x:is>
          <x:t>Negada</x:t>
        </x:is>
      </x:c>
      <x:c r="G224" s="3" t="inlineStr">
        <x:is>
          <x:t>MARCA GLEEK</x:t>
        </x:is>
      </x:c>
      <x:c r="H224" s="3" t="inlineStr">
        <x:is>
          <x:t>MICHEL PAOLA DURÁN CONTRERAS, CRA 14 #36B-120, BARRANQUILLA, ATLÁNTICO, CO</x:t>
        </x:is>
      </x:c>
      <x:c r="I224" s="3" t="inlineStr">
        <x:is>
          <x:t>3, 35</x:t>
        </x:is>
      </x:c>
      <x:c r="J224" s="3" t="inlineStr">
        <x:is>
          <x:t>11</x:t>
        </x:is>
      </x:c>
      <x:c r="K224" s="3" t="inlineStr">
        <x:is>
          <x:t>3. Productos cosméticos y de tocador.
35. Servicios de venta al por menor y al por mayor de productos cosméticos y de tocador.
</x:t>
        </x:is>
      </x:c>
      <x:c r="L224" s="3" t="inlineStr">
        <x:is>
          <x:t>No</x:t>
        </x:is>
      </x:c>
      <x:c r="M224" s="3" t="inlineStr">
        <x:is>
          <x:t/>
        </x:is>
      </x:c>
      <x:c r="N224" s="3" t="inlineStr">
        <x:is>
          <x:t/>
        </x:is>
      </x:c>
      <x:c r="O224" s="3" t="inlineStr">
        <x:is>
          <x:t>19 jul. 2022</x:t>
        </x:is>
      </x:c>
      <x:c r="P224" s="3" t="inlineStr">
        <x:is>
          <x:t/>
        </x:is>
      </x:c>
      <x:c r="Q224" s="3" t="inlineStr">
        <x:is>
          <x:t/>
        </x:is>
      </x:c>
    </x:row>
    <x:row r="225">
      <x:c r="A225" s="10" t="inlineStr">
        <x:f xml:space="preserve">HYPERLINK("http://sipi.sic.gov.co/sipi/View.ashx?4166368","SD2022/0047213")</x:f>
      </x:c>
      <x:c r="B225" s="3" t="inlineStr">
        <x:is>
          <x:t>Resplandece natural</x:t>
        </x:is>
      </x:c>
      <x:c r="C225" s="9" t="inlineStr">
        <x:is>
          <x:t/>
        </x:is>
      </x:c>
      <x:c r="D225" s="3" t="inlineStr">
        <x:is>
          <x:t>12 may. 2022</x:t>
        </x:is>
      </x:c>
      <x:c r="E225" s="3" t="inlineStr">
        <x:is>
          <x:t/>
        </x:is>
      </x:c>
      <x:c r="F225" s="3" t="inlineStr">
        <x:is>
          <x:t>Negada</x:t>
        </x:is>
      </x:c>
      <x:c r="G225" s="3" t="inlineStr">
        <x:is>
          <x:t>330</x:t>
        </x:is>
      </x:c>
      <x:c r="H225" s="3" t="inlineStr">
        <x:is>
          <x:t> Resplandece Natural S.A.S., Calle67sur No.43a 54, SABANETA, ANTIOQUIA, CO</x:t>
        </x:is>
      </x:c>
      <x:c r="I225" s="3" t="inlineStr">
        <x:is>
          <x:t>3</x:t>
        </x:is>
      </x:c>
      <x:c r="J225" s="3" t="inlineStr">
        <x:is>
          <x:t>11</x:t>
        </x:is>
      </x:c>
      <x:c r="K225" s="3" t="inlineStr">
        <x:is>
          <x:t>3. Aceites cosméticos para la piel; aerosoles cosméticos de uso tópico para la piel;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cremas y geles cosméticos para cara, manos y cuerpo; cremas y geles cosméticos para rostro, manos y cuerpo; cremas, leches, lociones, geles y polvos cosméticos para la cara, el cuerpo y las manos;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limpiadores cosméticos cutáneos; limpiadores cosméticos faciales; limpiadores cosméticos para la piel; parches cosméticos con filtro y pantalla solar para aplicar sobre la piel; pañitos cosméticos prehumedecidos; polvos faciales cosméticos de color blanco; preparados cosméticos para el cuidado del cuerpo; preparados cosméticos para el tratamiento de la piel; productos cosméticos y de tocador; productos cosméticos y preparaciones de tocador no medicinales; productos de perfumería, aceites esenciales, cosméticos no medicinales, lociones capilares no medicinales; productos y preparaciones cosméticos para el cuidado de la piel; toallitas desechables impregnadas con preparados cosméticos para bebés; tónicos cosméticos para el rostro; tónicos cosméticos para la cara.
</x:t>
        </x:is>
      </x:c>
      <x:c r="L225" s="3" t="inlineStr">
        <x:is>
          <x:t>No</x:t>
        </x:is>
      </x:c>
      <x:c r="M225" s="3" t="inlineStr">
        <x:is>
          <x:t>ANDREA MEJIA URIBE, CALLE 6 SUR No. 43A - 200, OF 1401, MEDELLIN, ANTIOQUIA, CO</x:t>
        </x:is>
      </x:c>
      <x:c r="N225" s="3" t="inlineStr">
        <x:is>
          <x:t/>
        </x:is>
      </x:c>
      <x:c r="O225" s="3" t="inlineStr">
        <x:is>
          <x:t>31 may. 2022</x:t>
        </x:is>
      </x:c>
      <x:c r="P225" s="3" t="inlineStr">
        <x:is>
          <x:t/>
        </x:is>
      </x:c>
      <x:c r="Q225" s="3" t="inlineStr">
        <x:is>
          <x:t/>
        </x:is>
      </x:c>
    </x:row>
    <x:row r="226">
      <x:c r="A226" s="10" t="inlineStr">
        <x:f xml:space="preserve">HYPERLINK("http://sipi.sic.gov.co/sipi/View.ashx?4167388","SD2022/0047575")</x:f>
      </x:c>
      <x:c r="B226" s="3" t="inlineStr">
        <x:is>
          <x:t>FABULOUS LASH</x:t>
        </x:is>
      </x:c>
      <x:c r="C226" s="3" t="inlineStr">
        <x:is>
          <x:t/>
        </x:is>
      </x:c>
      <x:c r="D226" s="3" t="inlineStr">
        <x:is>
          <x:t>13 may. 2022</x:t>
        </x:is>
      </x:c>
      <x:c r="E226" s="3" t="inlineStr">
        <x:is>
          <x:t/>
        </x:is>
      </x:c>
      <x:c r="F226" s="3" t="inlineStr">
        <x:is>
          <x:t>Negada</x:t>
        </x:is>
      </x:c>
      <x:c r="G226" s="3" t="inlineStr">
        <x:is>
          <x:t/>
        </x:is>
      </x:c>
      <x:c r="H226" s="3" t="inlineStr">
        <x:is>
          <x:t> AVON PRODUCTS, INC., 777 Third Avenue, NEW YORK, NEW YORK 10017, US</x:t>
        </x:is>
      </x:c>
      <x:c r="I226" s="3" t="inlineStr">
        <x:is>
          <x:t>3</x:t>
        </x:is>
      </x:c>
      <x:c r="J226" s="3" t="inlineStr">
        <x:is>
          <x:t>11</x:t>
        </x:is>
      </x:c>
      <x:c r="K226" s="3" t="inlineStr">
        <x:is>
          <x:t>3. Cosméticos y productos para el cuidado de la piel, a saber, base de maquillaje, corrector facial, rímel, sombra de ojos, perfilador de ojos y cejas, lápiz de labios, delineador de labios, bálsamo labial, polvos para la cara, bronceador para la piel, rubor, hidratantes faciales, desmaquillantes; polvos para el cuerpo no medicados; jabones para la piel; gel de baño; aceites de baño, sales de baño no medicadas, perlas de baño y preparaciones efervescentes no medicadas para el baño; preparaciones no medicadas para el cuidado de la piel, a saber, lociones, cremas cosméticas, limpiadores, exfoliantes corporales y faciales, mascarillas y tónicos; preparaciones para el cuidado y el peinado del cabello, a saber, champús, acondicionadores, spray de acabado y geles desodorantes de uso personal, preparaciones para el bronceado; aceites y lociones de protección solar; preparaciones para el afeitado; dentífricos; perfumes; aguas de tocador; aceites esenciales para uso personal, aceites de perfume; preparaciones para el cuidado de las uñas; esmalte de uñas; piedra pómez, bastoncillos de algodón e hisopos de lana para uso no médico, todos ellos para el cuerpo; fragancias de ambiente, palitos de incienso, popurrí y bolsitas; pañuelos de papel cosméticos en polvo; pañuelos de papel impregnados de lociones cosméticas; estuches de maquillaje y sets de regalo que contienen preparados no medicados para el cuidado de la piel y el cabello.
</x:t>
        </x:is>
      </x:c>
      <x:c r="L226" s="3" t="inlineStr">
        <x:is>
          <x:t>No</x:t>
        </x:is>
      </x:c>
      <x:c r="M226" s="3" t="inlineStr">
        <x:is>
          <x:t>JUAN PABLO CONCHA DELGADO, AVENIDA 82 No. 10-62 PISO 5, BOGOTÁ, D.C., CO</x:t>
        </x:is>
      </x:c>
      <x:c r="N226" s="3" t="inlineStr">
        <x:is>
          <x:t/>
        </x:is>
      </x:c>
      <x:c r="O226" s="3" t="inlineStr">
        <x:is>
          <x:t>30 jun. 2022</x:t>
        </x:is>
      </x:c>
      <x:c r="P226" s="3" t="inlineStr">
        <x:is>
          <x:t/>
        </x:is>
      </x:c>
      <x:c r="Q226" s="3" t="inlineStr">
        <x:is>
          <x:t/>
        </x:is>
      </x:c>
    </x:row>
    <x:row r="227">
      <x:c r="A227" s="10" t="inlineStr">
        <x:f xml:space="preserve">HYPERLINK("http://sipi.sic.gov.co/sipi/View.ashx?4168641","SD2022/0047912")</x:f>
      </x:c>
      <x:c r="B227" s="3" t="inlineStr">
        <x:is>
          <x:t>Volutella SABORES DEL PACIFICO</x:t>
        </x:is>
      </x:c>
      <x:c r="C227" s="9" t="inlineStr">
        <x:is>
          <x:t/>
        </x:is>
      </x:c>
      <x:c r="D227" s="3" t="inlineStr">
        <x:is>
          <x:t>15 jun. 2022</x:t>
        </x:is>
      </x:c>
      <x:c r="E227" s="3" t="inlineStr">
        <x:is>
          <x:t/>
        </x:is>
      </x:c>
      <x:c r="F227" s="3" t="inlineStr">
        <x:is>
          <x:t>Negada</x:t>
        </x:is>
      </x:c>
      <x:c r="G227" s="3" t="inlineStr">
        <x:is>
          <x:t>Registro de marca </x:t>
        </x:is>
      </x:c>
      <x:c r="H227" s="3" t="inlineStr">
        <x:is>
          <x:t>Maria Catalina Ramirez Monsalve, Carrera 48a #82-56 piso 3, MEDELLIN, ANTIOQUIA, CO</x:t>
        </x:is>
      </x:c>
      <x:c r="I227" s="3" t="inlineStr">
        <x:is>
          <x:t>3, 29, 30, 31</x:t>
        </x:is>
      </x:c>
      <x:c r="J227" s="3" t="inlineStr">
        <x:is>
          <x:t>11</x:t>
        </x:is>
      </x:c>
      <x:c r="K22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Aceite de coco para uso cosmético; aceite esencial de coco.
29. Carne, pescado, carne de ave y carne de caza; extractos de carne; frutas y verduras, hortalizas y legumbres en conserva, congeladas, secas y cocidas; jaleas, confituras, compotas; huevos; leche y productos lácteos; aceites y grasas comestibles; Aceite de coco para uso alimenticio; aceites vegetales para uso culinario; alimentos a base de pescado; coco deshidratado; leche de coco para uso culinario.
30. Café, té, cacao y sucedáneos del café; arroz; tapioca y sagú; harinas y preparaciones a base de cereales; pan, productos de pastelería y confitería; helados; azúcar, miel, jarabe de melaza; levadura, polvos de hornear; sal; mostaza; vinagre, salsas (condimentos); especias; hielo; Arroz; cacao; cocadas; harina de coco para la alimentación humana; miel; vainas de vainilla.
31. Productos agrícolas, acuícolas, hortícolas y forestales en bruto y sin procesar; granos y semillas en bruto o sin procesar; frutas y verduras, hortalizas y legumbres frescas, hierbas aromáticas frescas; plantas y flores naturales; bulbos, plantones y semillas para plantar; animales vivos; productos alimenticios y bebidas para animales; malta.
</x:t>
        </x:is>
      </x:c>
      <x:c r="L227" s="3" t="inlineStr">
        <x:is>
          <x:t>Sí</x:t>
        </x:is>
      </x:c>
      <x:c r="M227" s="3" t="inlineStr">
        <x:is>
          <x:t/>
        </x:is>
      </x:c>
      <x:c r="N227" s="3" t="inlineStr">
        <x:is>
          <x:t/>
        </x:is>
      </x:c>
      <x:c r="O227" s="3" t="inlineStr">
        <x:is>
          <x:t>08 jul. 2022</x:t>
        </x:is>
      </x:c>
      <x:c r="P227" s="3" t="inlineStr">
        <x:is>
          <x:t/>
        </x:is>
      </x:c>
      <x:c r="Q227" s="3" t="inlineStr">
        <x:is>
          <x:t/>
        </x:is>
      </x:c>
    </x:row>
    <x:row r="228">
      <x:c r="A228" s="10" t="inlineStr">
        <x:f xml:space="preserve">HYPERLINK("http://sipi.sic.gov.co/sipi/View.ashx?4169423","SD2022/0048086")</x:f>
      </x:c>
      <x:c r="B228" s="3" t="inlineStr">
        <x:is>
          <x:t>exotic</x:t>
        </x:is>
      </x:c>
      <x:c r="C228" s="3" t="inlineStr">
        <x:is>
          <x:t/>
        </x:is>
      </x:c>
      <x:c r="D228" s="3" t="inlineStr">
        <x:is>
          <x:t>14 may. 2022</x:t>
        </x:is>
      </x:c>
      <x:c r="E228" s="3" t="inlineStr">
        <x:is>
          <x:t/>
        </x:is>
      </x:c>
      <x:c r="F228" s="3" t="inlineStr">
        <x:is>
          <x:t>Negada</x:t>
        </x:is>
      </x:c>
      <x:c r="G228" s="3" t="inlineStr">
        <x:is>
          <x:t/>
        </x:is>
      </x:c>
      <x:c r="H228" s="3" t="inlineStr">
        <x:is>
          <x:t>JULIAN ANDRES MONSALVE SUAREZ, CARRERA 49A # 76-15, BELLO, ANTIOQUIA, CO</x:t>
        </x:is>
      </x:c>
      <x:c r="I228" s="3" t="inlineStr">
        <x:is>
          <x:t>3, 25</x:t>
        </x:is>
      </x:c>
      <x:c r="J228" s="3" t="inlineStr">
        <x:is>
          <x:t>11</x:t>
        </x:is>
      </x:c>
      <x:c r="K22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25. Prendas de vestir, calzado, artículos de sombrerería.
</x:t>
        </x:is>
      </x:c>
      <x:c r="L228" s="3" t="inlineStr">
        <x:is>
          <x:t>No</x:t>
        </x:is>
      </x:c>
      <x:c r="M228" s="3" t="inlineStr">
        <x:is>
          <x:t/>
        </x:is>
      </x:c>
      <x:c r="N228" s="3" t="inlineStr">
        <x:is>
          <x:t/>
        </x:is>
      </x:c>
      <x:c r="O228" s="3" t="inlineStr">
        <x:is>
          <x:t>09 ago. 2022</x:t>
        </x:is>
      </x:c>
      <x:c r="P228" s="3" t="inlineStr">
        <x:is>
          <x:t/>
        </x:is>
      </x:c>
      <x:c r="Q228" s="3" t="inlineStr">
        <x:is>
          <x:t/>
        </x:is>
      </x:c>
    </x:row>
    <x:row r="229">
      <x:c r="A229" s="10" t="inlineStr">
        <x:f xml:space="preserve">HYPERLINK("http://sipi.sic.gov.co/sipi/View.ashx?4171492","SD2022/0048543")</x:f>
      </x:c>
      <x:c r="B229" s="3" t="inlineStr">
        <x:is>
          <x:t>KUNDAGREEN</x:t>
        </x:is>
      </x:c>
      <x:c r="C229" s="9" t="inlineStr">
        <x:is>
          <x:t/>
        </x:is>
      </x:c>
      <x:c r="D229" s="3" t="inlineStr">
        <x:is>
          <x:t>16 may. 2022</x:t>
        </x:is>
      </x:c>
      <x:c r="E229" s="3" t="inlineStr">
        <x:is>
          <x:t/>
        </x:is>
      </x:c>
      <x:c r="F229" s="3" t="inlineStr">
        <x:is>
          <x:t>Negada</x:t>
        </x:is>
      </x:c>
      <x:c r="G229" s="3" t="inlineStr">
        <x:is>
          <x:t>Kundagreen</x:t>
        </x:is>
      </x:c>
      <x:c r="H229" s="3" t="inlineStr">
        <x:is>
          <x:t>Paola  Diaz Peña, Calle 3A #64-72 El Refugio, CALI, VALLE DEL CAUCA 472, CO</x:t>
        </x:is>
      </x:c>
      <x:c r="I229" s="3" t="inlineStr">
        <x:is>
          <x:t>3, 42</x:t>
        </x:is>
      </x:c>
      <x:c r="J229" s="3" t="inlineStr">
        <x:is>
          <x:t>11</x:t>
        </x:is>
      </x:c>
      <x:c r="K229" s="3" t="inlineStr">
        <x:is>
          <x:t>3. Aceites de cáñamo a base de cbd para uso cosmético; preparaciones para el cuidado de la piel a base de cbd; preparados para el cuidado de la piel a base de cbd; productos cosméticos de cbd.
42. Diseño de accesorios para prendas de vestir; diseño de prendas de vestir; diseño de prendas de vestir, calzado y artículos de sombrerería.
</x:t>
        </x:is>
      </x:c>
      <x:c r="L229" s="3" t="inlineStr">
        <x:is>
          <x:t>No</x:t>
        </x:is>
      </x:c>
      <x:c r="M229" s="3" t="inlineStr">
        <x:is>
          <x:t/>
        </x:is>
      </x:c>
      <x:c r="N229" s="3" t="inlineStr">
        <x:is>
          <x:t/>
        </x:is>
      </x:c>
      <x:c r="O229" s="3" t="inlineStr">
        <x:is>
          <x:t>30 sept. 2022</x:t>
        </x:is>
      </x:c>
      <x:c r="P229" s="3" t="inlineStr">
        <x:is>
          <x:t/>
        </x:is>
      </x:c>
      <x:c r="Q229" s="3" t="inlineStr">
        <x:is>
          <x:t/>
        </x:is>
      </x:c>
    </x:row>
    <x:row r="230">
      <x:c r="A230" s="10" t="inlineStr">
        <x:f xml:space="preserve">HYPERLINK("http://sipi.sic.gov.co/sipi/View.ashx?4171727","SD2022/0048576")</x:f>
      </x:c>
      <x:c r="B230" s="3" t="inlineStr">
        <x:is>
          <x:t>PUCKY</x:t>
        </x:is>
      </x:c>
      <x:c r="C230" s="9" t="inlineStr">
        <x:is>
          <x:t/>
        </x:is>
      </x:c>
      <x:c r="D230" s="3" t="inlineStr">
        <x:is>
          <x:t>16 may. 2022</x:t>
        </x:is>
      </x:c>
      <x:c r="E230" s="3" t="inlineStr">
        <x:is>
          <x:t/>
        </x:is>
      </x:c>
      <x:c r="F230" s="3" t="inlineStr">
        <x:is>
          <x:t>Negada</x:t>
        </x:is>
      </x:c>
      <x:c r="G230" s="3" t="inlineStr">
        <x:is>
          <x:t>PUCKY</x:t>
        </x:is>
      </x:c>
      <x:c r="H230" s="3" t="inlineStr">
        <x:is>
          <x:t>NICOLAS ALBERTO PARRA MUNAR, CALLE 13 # 7A - 67, NEIVA, HUILA, CO</x:t>
        </x:is>
      </x:c>
      <x:c r="I230" s="3" t="inlineStr">
        <x:is>
          <x:t>3</x:t>
        </x:is>
      </x:c>
      <x:c r="J230" s="3" t="inlineStr">
        <x:is>
          <x:t>11</x:t>
        </x:is>
      </x:c>
      <x:c r="K230" s="3" t="inlineStr">
        <x:is>
          <x:t>3. Productos de Aseo y Limpieza para hogar tales como jabones y detergentes para el lavado y limpieza de vidrios, jabones para lavado de loza, pisos y baños, detergentes, Preparaciones para blanquear y otras sustancias para lavar la ropa; preparaciones para limpiar, pulir, desengrasar y raspar; jabones no medicinales; aceites esenciales.
</x:t>
        </x:is>
      </x:c>
      <x:c r="L230" s="3" t="inlineStr">
        <x:is>
          <x:t>Sí</x:t>
        </x:is>
      </x:c>
      <x:c r="M230" s="3" t="inlineStr">
        <x:is>
          <x:t>JUAN GUILLERMO ORTIZ ROJAS, NOU CENTRO EMPRESARIAL OFICINA 507, CAJICA, CUNDINAMARCA, CO</x:t>
        </x:is>
      </x:c>
      <x:c r="N230" s="3" t="inlineStr">
        <x:is>
          <x:t/>
        </x:is>
      </x:c>
      <x:c r="O230" s="3" t="inlineStr">
        <x:is>
          <x:t>09 ago. 2022</x:t>
        </x:is>
      </x:c>
      <x:c r="P230" s="3" t="inlineStr">
        <x:is>
          <x:t/>
        </x:is>
      </x:c>
      <x:c r="Q230" s="3" t="inlineStr">
        <x:is>
          <x:t/>
        </x:is>
      </x:c>
    </x:row>
    <x:row r="231">
      <x:c r="A231" s="10" t="inlineStr">
        <x:f xml:space="preserve">HYPERLINK("http://sipi.sic.gov.co/sipi/View.ashx?4172236","SD2022/0048723")</x:f>
      </x:c>
      <x:c r="B231" s="3" t="inlineStr">
        <x:is>
          <x:t>NUUL</x:t>
        </x:is>
      </x:c>
      <x:c r="C231" s="9" t="inlineStr">
        <x:is>
          <x:t/>
        </x:is>
      </x:c>
      <x:c r="D231" s="3" t="inlineStr">
        <x:is>
          <x:t>16 may. 2022</x:t>
        </x:is>
      </x:c>
      <x:c r="E231" s="3" t="inlineStr">
        <x:is>
          <x:t/>
        </x:is>
      </x:c>
      <x:c r="F231" s="3" t="inlineStr">
        <x:is>
          <x:t>Negada</x:t>
        </x:is>
      </x:c>
      <x:c r="G231" s="3" t="inlineStr">
        <x:is>
          <x:t>Solicitud registro NUUL</x:t>
        </x:is>
      </x:c>
      <x:c r="H231" s="3" t="inlineStr">
        <x:is>
          <x:t>maria camila daza cabal, calle 9 D # 40-61, CALI, VALLE DEL CAUCA, CO</x:t>
        </x:is>
      </x:c>
      <x:c r="I231" s="3" t="inlineStr">
        <x:is>
          <x:t>3</x:t>
        </x:is>
      </x:c>
      <x:c r="J231" s="3" t="inlineStr">
        <x:is>
          <x:t>11</x:t>
        </x:is>
      </x:c>
      <x:c r="K231" s="3" t="inlineStr">
        <x:is>
          <x:t>3. Agua micelar; exfoliantes para la cara; limpiadores para la cara; mascarillas para la cara; sueros no medicados para la piel de la cara; cremas para el rostro; leches y lociones para el rostro; toallitas para el rostro.
</x:t>
        </x:is>
      </x:c>
      <x:c r="L231" s="3" t="inlineStr">
        <x:is>
          <x:t>Sí</x:t>
        </x:is>
      </x:c>
      <x:c r="M231" s="3" t="inlineStr">
        <x:is>
          <x:t/>
        </x:is>
      </x:c>
      <x:c r="N231" s="3" t="inlineStr">
        <x:is>
          <x:t/>
        </x:is>
      </x:c>
      <x:c r="O231" s="3" t="inlineStr">
        <x:is>
          <x:t>30 sept. 2022</x:t>
        </x:is>
      </x:c>
      <x:c r="P231" s="3" t="inlineStr">
        <x:is>
          <x:t/>
        </x:is>
      </x:c>
      <x:c r="Q231" s="3" t="inlineStr">
        <x:is>
          <x:t/>
        </x:is>
      </x:c>
    </x:row>
    <x:row r="232">
      <x:c r="A232" s="10" t="inlineStr">
        <x:f xml:space="preserve">HYPERLINK("http://sipi.sic.gov.co/sipi/View.ashx?4172982","SD2022/0063191")</x:f>
      </x:c>
      <x:c r="B232" s="3" t="inlineStr">
        <x:is>
          <x:t>INMA BEAUTY</x:t>
        </x:is>
      </x:c>
      <x:c r="C232" s="9" t="inlineStr">
        <x:is>
          <x:t/>
        </x:is>
      </x:c>
      <x:c r="D232" s="3" t="inlineStr">
        <x:is>
          <x:t>23 jun. 2022</x:t>
        </x:is>
      </x:c>
      <x:c r="E232" s="3" t="inlineStr">
        <x:is>
          <x:t/>
        </x:is>
      </x:c>
      <x:c r="F232" s="3" t="inlineStr">
        <x:is>
          <x:t>Negada</x:t>
        </x:is>
      </x:c>
      <x:c r="G232" s="3" t="inlineStr">
        <x:is>
          <x:t>INMABEAUTY</x:t>
        </x:is>
      </x:c>
      <x:c r="H232" s="3" t="inlineStr">
        <x:is>
          <x:t>LAURA CRISTINA HERNANDEZ ARISTIZABAL, calle 103d 72 - 41, MEDELLIN, ANTIOQUIA, CO</x:t>
        </x:is>
      </x:c>
      <x:c r="I232" s="3" t="inlineStr">
        <x:is>
          <x:t>3</x:t>
        </x:is>
      </x:c>
      <x:c r="J232" s="3" t="inlineStr">
        <x:is>
          <x:t>11</x:t>
        </x:is>
      </x:c>
      <x:c r="K232" s="3" t="inlineStr">
        <x:is>
          <x:t>3. Maquillaje; maquillaje [cosméticos]; maquillaje para el rostro y el cuerpo; maquillajes faciales; neceseres de cosmética que comprenden principalmente máscara de pestañas, lápices de labios, lápices de cejas, maquillaje, fundación de maquillaje y brillos de labios; sprays para fijar el maquillaje; adhesivos para fijar uñas postizas; adhesivos para pegar las uñas postizas; bases para esmaltes de uñas; brillantina para las uñas; brillos de uñas para aplicar sobre el esmalte; calcomanías decorativas para uñas; esmaltes de uñas; esmaltes de uñas para uso cosmético; kits para el cuidado de las uñas que comprenden esmaltes de uñas, quitaesmaltes y uñas postizas; kits para el cuidado de las uñas que comprenden principalmente lacas de uñas, quitaesmaltes y uñas postizas; lociones, cremas y preparaciones para el cuidado de la cara, cuerpo, cuero cabelludo, uñas y cabello; lápices para aplicar el esmalte de uñas; lápices quitaesmaltes de uñas; pegatinas decorativas para uñas; plumas de esmalte de uñas; preparaciones cosméticas para secar esmaltes de uñas; preparaciones para retirar uñas de gel; productos de revestimiento para esculpir uñas.
</x:t>
        </x:is>
      </x:c>
      <x:c r="L232" s="3" t="inlineStr">
        <x:is>
          <x:t>No</x:t>
        </x:is>
      </x:c>
      <x:c r="M232" s="3" t="inlineStr">
        <x:is>
          <x:t/>
        </x:is>
      </x:c>
      <x:c r="N232" s="3" t="inlineStr">
        <x:is>
          <x:t/>
        </x:is>
      </x:c>
      <x:c r="O232" s="3" t="inlineStr">
        <x:is>
          <x:t>19 jul. 2022</x:t>
        </x:is>
      </x:c>
      <x:c r="P232" s="3" t="inlineStr">
        <x:is>
          <x:t/>
        </x:is>
      </x:c>
      <x:c r="Q232" s="3" t="inlineStr">
        <x:is>
          <x:t/>
        </x:is>
      </x:c>
    </x:row>
    <x:row r="233">
      <x:c r="A233" s="10" t="inlineStr">
        <x:f xml:space="preserve">HYPERLINK("http://sipi.sic.gov.co/sipi/View.ashx?4173024","SD2022/0048868")</x:f>
      </x:c>
      <x:c r="B233" s="3" t="inlineStr">
        <x:is>
          <x:t>OZ COSMETIC</x:t>
        </x:is>
      </x:c>
      <x:c r="C233" s="9" t="inlineStr">
        <x:is>
          <x:t/>
        </x:is>
      </x:c>
      <x:c r="D233" s="3" t="inlineStr">
        <x:is>
          <x:t>17 may. 2022</x:t>
        </x:is>
      </x:c>
      <x:c r="E233" s="3" t="inlineStr">
        <x:is>
          <x:t/>
        </x:is>
      </x:c>
      <x:c r="F233" s="3" t="inlineStr">
        <x:is>
          <x:t>Negada</x:t>
        </x:is>
      </x:c>
      <x:c r="G233" s="3" t="inlineStr">
        <x:is>
          <x:t/>
        </x:is>
      </x:c>
      <x:c r="H233" s="3" t="inlineStr">
        <x:is>
          <x:t> SELLO GLOBAL S.A.S., Carrera 48b 99 sur 59 bodegas San Bartolome, Bodega 24 , LA ESTRELLA, ANTIOQUIA, CO</x:t>
        </x:is>
      </x:c>
      <x:c r="I233" s="3" t="inlineStr">
        <x:is>
          <x:t>3</x:t>
        </x:is>
      </x:c>
      <x:c r="J233" s="3" t="inlineStr">
        <x:is>
          <x:t>11</x:t>
        </x:is>
      </x:c>
      <x:c r="K233" s="3" t="inlineStr">
        <x:is>
          <x:t>3. Productos cosméticos y preparaciones de tocador no medicinales; dentífricos no medicinales; productos de perfumería, aceites esenciales; preparaciones para blanquear y otras sustancias para lavar la ropa; preparaciones para limpiar, pulir, desengrasar y raspar.
</x:t>
        </x:is>
      </x:c>
      <x:c r="L233" s="3" t="inlineStr">
        <x:is>
          <x:t>No</x:t>
        </x:is>
      </x:c>
      <x:c r="M233" s="3" t="inlineStr">
        <x:is>
          <x:t>WILLIAM ORLANDO  QUIROGA, Carrera 13 No. 32-93. Torre 3, Oficina 708. Parque Central Baviera., BOGOTA, CUNDINAMARCA, CO</x:t>
        </x:is>
      </x:c>
      <x:c r="N233" s="3" t="inlineStr">
        <x:is>
          <x:t/>
        </x:is>
      </x:c>
      <x:c r="O233" s="3" t="inlineStr">
        <x:is>
          <x:t>30 jun. 2022</x:t>
        </x:is>
      </x:c>
      <x:c r="P233" s="3" t="inlineStr">
        <x:is>
          <x:t/>
        </x:is>
      </x:c>
      <x:c r="Q233" s="3" t="inlineStr">
        <x:is>
          <x:t/>
        </x:is>
      </x:c>
    </x:row>
    <x:row r="234">
      <x:c r="A234" s="10" t="inlineStr">
        <x:f xml:space="preserve">HYPERLINK("http://sipi.sic.gov.co/sipi/View.ashx?4174682","SD2022/0049170")</x:f>
      </x:c>
      <x:c r="B234" s="3" t="inlineStr">
        <x:is>
          <x:t>WAO! beauty and accessories</x:t>
        </x:is>
      </x:c>
      <x:c r="C234" s="9" t="inlineStr">
        <x:is>
          <x:t/>
        </x:is>
      </x:c>
      <x:c r="D234" s="3" t="inlineStr">
        <x:is>
          <x:t>18 may. 2022</x:t>
        </x:is>
      </x:c>
      <x:c r="E234" s="3" t="inlineStr">
        <x:is>
          <x:t/>
        </x:is>
      </x:c>
      <x:c r="F234" s="3" t="inlineStr">
        <x:is>
          <x:t>Negada</x:t>
        </x:is>
      </x:c>
      <x:c r="G234" s="3" t="inlineStr">
        <x:is>
          <x:t/>
        </x:is>
      </x:c>
      <x:c r="H234" s="3" t="inlineStr">
        <x:is>
          <x:t> STAY BEAUTIFULL S.A.S., CARRERA 6 NO. 89-44, BARRANQUILLA, ATLÁNTICO, CO</x:t>
        </x:is>
      </x:c>
      <x:c r="I234" s="3" t="inlineStr">
        <x:is>
          <x:t>3</x:t>
        </x:is>
      </x:c>
      <x:c r="J234" s="3" t="inlineStr">
        <x:is>
          <x:t>11</x:t>
        </x:is>
      </x:c>
      <x:c r="K234" s="3" t="inlineStr">
        <x:is>
          <x:t>3. Bases de maquillaje; bases de maquillaje cremosas; bases de maquillaje en crema; bases de maquillaje líquidas; bases de maquillaje para la piel; cola de maquillaje para uso cosmético; fondo de maquillaje; fundación de maquillaje;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maquillaje [cosméticos]; maquillaje para el cuerpo; maquillaje para el rostro; maquillaje para el rostro y el cuerpo; maquillaje para la cara; maquillaje para la cara y el cuerpo; maquillaje para la piel; maquillaje para los ojos; maquillaje para polveras; maquillaje teatral; maquillaje vendido en polveras; maquillajes de base; maquillajes de base en crema; maquillajes de ojos; maquillajes faciales; maquillajes para el teatro; mizu-oshiroi [bases de maquillaje líquidas];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polvos de maquillaje; preparaciones de maquillaje para el rostro y el cuerpo; preparaciones de maquillaje para la cara y el cuerpo; productos cosméticos y de maquillaje; productos de maquillaje; sprays para fijar el maquillaje; tiza para maquillaje; aceites destilados para el cuidado de belleza; cosméticos de belleza; cosméticos para tratamiento de belleza cosméticos para el cuidado de belleza; cremas bálsamos de belleza; cremas de belleza; cremas de belleza para el cuerpo; cremas de belleza para el rostro y el cuerpo; geles de belleza; leches de belleza; lociones de belleza; mascarillas de belleza; mascarillas de belleza para el cabello; mascarillas de belleza para el contorno de los ojos; mascarillas de belleza para las manos; mascarillas faciales de belleza; preparaciones de cuidado corporal y de belleza para uso cosmético; preparaciones para cuidados corporales y de belleza; preparaciones para el cuidado del cuerpo y la belleza; preparaciones para el cuidado y la belleza personal; productos cosméticos y de belleza; sueros de belleza; aceite de amla para uso cosmético; aceite de coco para uso cosmético; aceite de lavanda para uso cosmético; aceite de neem para uso cosmético; aceite de ricino para uso cosmético; aceite de rosas para uso cosmético; aceite de veppennai para uso cosmético; aceites bronceadores [cosméticos]; aceites bronceadores de uso cosmético; aceites cosméticos; aceites cosméticos para la piel; aceites de baño para uso cosmético; aceites de cáñamo a base de cbd para uso cosmético; aceites de protección solar [cosméticos]; aceites esenciales para uso cosmético; aceites minerales [cosméticos]; aceites para bronceado [cosméticos]; aceites para después del sol [productos cosméticos]; aceites para después del sol de uso cosmético; aceites para el cuerpo de uso cosmético; aceites para uso cosmético; aceites perfumados para la fabricación de preparados cosméticos; aceites perfumados para la fabricación de productos cosméticos; aceites puros para uso cosmético; aceites solares de uso cosmético; adhesivos [pegamentos] para uso cosmético; aerosoles cosméticos de uso tópico para la piel; agua de azahar para uso cosmético; agua mineral para uso cosmético en forma de pulverizadores de niebla; algodón e hisopos de algodón para uso cosmético; algodón para uso cosmético; algodón y bastoncillos de algodón para uso cosmético; alheña [tinte cosmético]; alheña para uso cosmético; alheña para uso cosmético [henna]; almohadillas de algodón para uso cosmético; almohadillas de limpieza impregnadas con cosméticos; almohadillas de limpieza impregnadas con productos cosméticos; almohadillas de limpieza impregnadas de cosméticos; almohadillas limpiadoras impregnadas de productos cosméticos; almohadillas para uso cosmético; astringentes para uso cosmético; autobronceadores [cosméticos]; barras de labios con protección solar [cosméticos]; barras de labios en stick con protección solar [cosméticos]; barros corporales para uso cosmético; basma [tinte para uso cosmético]; basma en cuanto tinte para uso cosmético; basma para uso cosmético; bastoncillos de algodón para uso cosmético; baños de aceite para el cuidado del cabello de uso cosmético; bloqueador solar [cosméticos]; bolas de algodón para uso cosmético; brillos para uso cosmético; calcetines pre-humedecidos con preparaciones cosméticas para uso cosmético; calcomanías decorativas para uso cosmético; cintas de estiramiento facial para uso cosmético; cintas de lifting facial para uso cosmético; cold creams para uso cosmético; colonias, perfumes y productos cosméticos; colorantes de labios [cosméticos]; colorantes labiales [cosméticos]; colorantes labiales [productos cosméticos]; colorantes para los labios [productos cosméticos]; composiciones para aclarar la piel [cosméticos]; compresas oculares para uso cosmético; correctores de imperfecciones [productos cosméticos]; cosméticos; cosméticos biológicos; cosméticos ecológicos; cosméticos en forma de cremas; cosméticos en forma de polvos; cosméticos funcionales en cuanto preparaciones para blanquear la piel; cosméticos naturales; cosméticos no medicinales; cosméticos orgánicos;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y preparaciones cosméticas; cosméticos y preparaciones de cuidado personal; cotonetes de algodón para uso cosmético; cotonitos de algodón para uso cosmético; crema corporal para uso cosmético; cremas acondicionadoras para la piel, de uso cosmético; cremas antiarrugas para uso cosmético; cremas antienvejecimiento para uso cosmético; cremas con filtro solar para uso cosmético; cremas con retinol para uso cosmético; cremas con vitamina a para uso cosmético; cremas contra las pecas [para uso cosmético]; cremas corporales [cosméticos]; cremas de limpieza [cosméticos]; cremas de limpieza [para uso cosmético]; cremas de limpieza [productos cosméticos]; cremas de limpieza para uso cosmético; cremas de protección solar para uso cosmético; cremas exfoliantes para uso cosmético; cremas faciales para uso cosmético; cremas hidratantes para la piel [cosméticos]; cremas limpiadoras [cosméticos]; cremas limpiadoras [productos cosméticos]; cremas limpiadoras para uso cosmético; cremas para atenuar las manchas de la vejez de uso cosmético; cremas para después del sol de uso cosmético; cremas para el cabello de uso cosmético; cremas para el cabello para uso cosmético; cremas para el cuerpo [cosméticos]; cremas para el rostro de uso cosmético; cremas para el rostro y el cuerpo de uso cosmético; cremas para la cara [cosméticos]; cremas para la piel de uso cosmético; cremas para las manos de uso cosmético; cremas para las uñas de uso cosmético; cremas para los labios de uso cosmético; cremas para los ojos de uso cosmético; cremas para reducir la celulitis de uso cosmético; cremas para tez clara de uso cosmético; cremas perfumadas para uso cosmético; cremas reparadoras para la piel [cosméticos]; cremas reparadoras para la piel de uso cosmético; cremas tonificantes [cosméticos]; cremas y geles cosméticos para cara, manos y cuerpo; cremas y geles cosméticos para rostro, manos y cuerpo; cremas, aceites, lociones, aerosoles, lápices y bálsamos para uso cosmético; cremas, leches, lociones, geles y polvos cosméticos para la cara, el cuerpo y las manos; cristales de baño para uso cosmético; decolorantes para uso cosmético; discos de algodón para uso cosmético; emolientes para la piel de uso cosmético; emulsiones faciales para uso cosmético; emulsiones para el cuerpo de uso cosmético; emulsiones térmicas para uso cosmético; endurecedores de uñas [cosméticos]; enjuagues para el cabello de uso cosmético; esmaltes de base para las uñas [productos cosméticos]; esmaltes de uñas para uso cosmético; exfoliantes corporales cosméticos; exfoliantes corporales para uso cosmético; exfoliantes para el cuerpo de uso cosmético; exfoliantes para uso cosmético; extractos de plantas para uso cosmético; fangos corporales para uso cosmético; filtro solar [cosméticos]; geles antienvejecimiento para uso cosmético; geles bronceadores [cosméticos]; geles corporales y faciales [cosméticos]; geles cosméticos; geles de aloe vera para uso cosmético; geles de lavanda para uso cosmético; geles hidratantes [cosméticos]; geles para después del sol [productos cosméticos]; geles para después del sol de uso cosmético; sueros faciales para uso cosmético; sueros para uso cosmético; talco para uso cosmético; talco perfumado para uso cosmético; tatuajes temporales con fines cosméticos; tatuajes temporales para uso cosmético; tintas para uso cosmético; tintes cosméticos; tintes de labios [cosméticos]; tintes de labios para uso cosmético; tintes labiales [cosméticos]; tintes labiales [productos cosméticos]; tintes labiales para uso cosmético; tintes para los labios [productos cosméticos]; tiras blanqueadoras de dientes impregnadas con preparaciones blanqueadoras [cosméticos]; tiza para uso cosmético; toallas de papel para las manos impregnadas de cosméticos; toallas de papel para las manos impregnadas de productos cosméticos; toallitas desechables impregnadas con preparados cosméticos para bebés; toallitas húmedas para uso higiénico y cosmético; toallitas impregnadas con preparados cosméticos; toallitas impregnadas de aceites esenciales, para uso cosmético; toallitas impregnadas de productos cosméticos; tonificantes para el cabello para uso cosmético; tónicos cosméticos; tónicos cosméticos para el rostro; tónicos cosméticos para la cara; tónicos faciales [cosméticos]; tónicos para la piel para uso cosmético; tónicos para uso cosmético; velas de masaje para uso cosmético; geles para el cuerpo [cosméticos]; geles para el cuerpo y la cara [cosméticos]; geles para la cara [cosméticos]; geles para los ojos de uso cosmético; geles para uso cosmético; grasas para uso cosmético; guantes pre-humedecidos con preparaciones cosméticas para uso cosmético; guata para uso cosmético; guata y bastoncillos de algodón para uso cosmético; henna [tinte cosmético]; henna para uso cosmético; henna para uso cosmético [alheña]; hidratantes [cosméticos]; hidratantes faciales [cosméticos]; hidratantes faciales de uso cosmético; hidratantes para la piel utilizados como cosméticos; hilas para uso cosmético; hisopos de algodón para uso cosmético; hisopos para uso cosmético; jabones cosméticos; jalea de petróleo para uso cosmético; joyas de piel autoadhesivas para uso cosmético; joyas de piel en cuanto motivos decorativos para uso cosmético; joyas de piel en cuanto transferencias decorativas para uso cosmético; joyas de piel para uso cosmético; joyas de tatuaje para uso cosmético; joyería de piel autoadhesivas para uso cosmético; joyería de piel en cuanto motivos decorativos para uso cosmético; joyería de piel en cuanto transferencias decorativas para uso cosmético; joyería de piel para uso cosmético; leche de almendras para uso cosmético; leches bronceadoras [cosméticos]; leches para después de tomar el sol para uso cosmético; leches para después del sol [productos cosméticos]; leches para después del sol de uso cosmético; leches para el cuerpo de uso cosmético; leches para el rostro y el cuerpo de uso cosmético; leches y lociones para el rostro de uso cosmético; leches, geles y aceites bronceadores y para después del sol, de uso cosmético; limpiador cutáneo con propiedades suavizantes [cosmético];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antienvejecimiento para uso cosmético; lociones autobronceadoras [cosméticos]; lociones con filtro solar para uso cosmético; lociones con pantalla solar para uso cosmético; lociones de baño para uso cosmético; lociones de protección solar para uso cosmético; lociones faciales [cosméticos]; lociones hidratantes [cosméticos]; lociones hidratantes para el cuerpo [cosméticos]; lociones hidratantes para la piel [cosméticos]; lociones no medicinales para el cuidado de la piel [cosméticos]; lociones para después del sol de uso cosmético; lociones para el cabello de uso cosmético; lociones para el cuerpo de uso cosmético; lociones para el cuidado de la piel [cosméticos]; lociones para el cuidado del rostro y del cuerpo de uso cosmético; lociones para el rostro y el cuerpo de uso cosmético; lociones para la piel [productos cosméticos]; lociones para las manos de uso cosmético; lociones para los ojos de uso cosmético; lociones para reducir la celulitis de uso cosmético; lociones para uso cosmético; lociones tónicas para el rostro, el cuerpo y las manos de uso cosmético; lociones, cremas y aceites de aplicación tópica para la piel y el cuerpo, de uso cosmético; loción de malagueta para uso cosmético; lodos corporales para uso cosmético; lápices de ojos para uso cosmético; lápices para uso cosmético; manteca a base de vegetales para uso cosmético; manteca corporal para uso cosmético; manteca de almendra para uso cosmético; manteca de aloe vera para uso cosmético; manteca de argán para uso cosmético; manteca de cacao para uso cosmético; manteca de coco para uso cosmético; manteca de karité para uso cosmético; mascarillas corporales en forma de cremas para uso cosmético; mascarillas corporales en forma de lociones para uso cosmético; mascarillas corporales en polvo para uso cosmético; mascarillas corporales para uso cosmético; mascarillas envasadas para uso cosmético; mascarillas faciales [productos cosméticos]; mascarillas faciales para uso cosmético; mascarillas oculares para uso cosmético; mascarillas para el cutis [cosméticos]; mascarillas para la piel [cosméticos]; mascarillas para la piel de uso cosmético; motivos decorativos para uso cosmético; papel secante anti-brillo [cosméticos]; papel secante anti-brillo para uso cosmético; papel secante facial [cosméticos]; papel secante facial para uso cosmético; papel secante para uso cosmético;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pastas perfumadas para uso cosmético; pañitos cosméticos prehumedecidos; pañitos para bebés para uso cosmético; paños húmedos para bebés de uso cosmético; perfumería para cosméticos; perlas de baño para uso cosmético; perlitas de baño para uso cosmético; peróxido de hidrógeno para uso cosmético; piedras astringentes para después del afeitado para uso cosmético; piedras para el afeitado en cuanto astringentes para uso cosmético; pintura corporal de látex líquido para uso cosmético; pintura corporal para uso cosmético; polvos compactos para polveras [cosméticos]; polvos cosméticos; polvos de baño para uso cosmético; polvos de brillo para uso cosmético; polvos dentales para uso cosmético; polvos faciales [cosméticos]; polvos faciales blancos para uso cosmético; polvos faciales cosméticos; polvos faciales cosméticos de color blanco; polvos faciales para uso cosmético; polvos para el cuerpo de uso cosmético; polvos perfumados para uso cosmético; pomadas en barra para uso cosmético; pomadas para el cabello de uso cosmético; pomadas para uso cosmético; preparaciones autobronceadoras [cosméticos]; preparaciones blanqueadoras para la piel [productos cosméticos]; preparaciones colorantes de uso cosmético; preparaciones de aloe vera para uso cosmético; preparaciones de bloqueadores solares para uso cosmético; preparaciones de colágeno para uso cosmético; preparaciones de cuidado facial [cosméticos]; preparaciones de protección solar [productos cosméticos]; preparaciones de protección solar para uso cosmético; preparaciones exfoliantes faciales para uso cosmético; preparaciones faciales [cosméticos]; preparaciones hidratantes [cosméticos]; preparaciones para aclarar la piel [cosméticos]; preparaciones para baños de espuma para uso cosmético; preparaciones para blanquear la piel [cosméticos]; preparaciones para el cuidado de la piel [productos cosméticos]; preparaciones para quitar las cutículas de uso cosmético; preparados cosméticos para el cuidado del cuerpo; preparados cosméticos para el tratamiento de la piel; productos con filtro solar para uso cosmético;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de revestimiento para esculpir uñas [productos cosméticos]; productos y preparaciones cosméticos para el cuidado de la piel; protectores solares para los labios [productos cosméticos]; quitaesmalte para uñas [cosméticos]; quitaesmaltes de uñas [cosméticos]; reafirmantes en gel para el cuerpo para uso cosmético; revitalizantes cutáneos para uso cosmético; revitalizantes para el cabello de uso cosmético; sales de baño para uso cosmético; serum para calmar la piel [cosmético]; sprays de agua mineral para uso cosmético; sprays para el cuerpo de uso cosmético; suavizantes para el cabello de uso cosmético.
</x:t>
        </x:is>
      </x:c>
      <x:c r="L234" s="3" t="inlineStr">
        <x:is>
          <x:t>No</x:t>
        </x:is>
      </x:c>
      <x:c r="M234" s="3" t="inlineStr">
        <x:is>
          <x:t>CAROLINA DE LOS ANGELES  CEBALLOS SANTOS, CARRERA 1 NO.22-58 OF.705 EDIFICIO BAHIA CENTRO, SANTA MARTA, MAGDALENA, CO</x:t>
        </x:is>
      </x:c>
      <x:c r="N234" s="3" t="inlineStr">
        <x:is>
          <x:t/>
        </x:is>
      </x:c>
      <x:c r="O234" s="3" t="inlineStr">
        <x:is>
          <x:t>10 jun. 2022</x:t>
        </x:is>
      </x:c>
      <x:c r="P234" s="3" t="inlineStr">
        <x:is>
          <x:t/>
        </x:is>
      </x:c>
      <x:c r="Q234" s="3" t="inlineStr">
        <x:is>
          <x:t/>
        </x:is>
      </x:c>
    </x:row>
    <x:row r="235">
      <x:c r="A235" s="10" t="inlineStr">
        <x:f xml:space="preserve">HYPERLINK("http://sipi.sic.gov.co/sipi/View.ashx?4174759","SD2022/0049187")</x:f>
      </x:c>
      <x:c r="B235" s="3" t="inlineStr">
        <x:is>
          <x:t>DC.MARLIN MARINE BOAT MAINTENANCE PRODUCTS</x:t>
        </x:is>
      </x:c>
      <x:c r="C235" s="9" t="inlineStr">
        <x:is>
          <x:t/>
        </x:is>
      </x:c>
      <x:c r="D235" s="3" t="inlineStr">
        <x:is>
          <x:t>18 may. 2022</x:t>
        </x:is>
      </x:c>
      <x:c r="E235" s="3" t="inlineStr">
        <x:is>
          <x:t/>
        </x:is>
      </x:c>
      <x:c r="F235" s="3" t="inlineStr">
        <x:is>
          <x:t>Negada</x:t>
        </x:is>
      </x:c>
      <x:c r="G235" s="3" t="inlineStr">
        <x:is>
          <x:t/>
        </x:is>
      </x:c>
      <x:c r="H235" s="3" t="inlineStr">
        <x:is>
          <x:t>DANIEL JOSÉ CASTAÑEDA MEYER, Cartagena, CARTAGENA, BOLIVAR, CO</x:t>
        </x:is>
      </x:c>
      <x:c r="I235" s="3" t="inlineStr">
        <x:is>
          <x:t>3</x:t>
        </x:is>
      </x:c>
      <x:c r="J235" s="3" t="inlineStr">
        <x:is>
          <x:t>11</x:t>
        </x:is>
      </x:c>
      <x:c r="K235" s="3" t="inlineStr">
        <x:is>
          <x:t>3. Preparaciones para blanquear y otras sustancias para lavar la ropa; preparaciones para limpiar, pulir, desengrasar y raspar.
</x:t>
        </x:is>
      </x:c>
      <x:c r="L235" s="3" t="inlineStr">
        <x:is>
          <x:t>Sí</x:t>
        </x:is>
      </x:c>
      <x:c r="M235" s="3" t="inlineStr">
        <x:is>
          <x:t>LUZ ANGELA GOMEZ ARIAS, CARRERA 43B 14-51 OF 703, MEDELLIN, ANTIOQUIA, CO</x:t>
        </x:is>
      </x:c>
      <x:c r="N235" s="3" t="inlineStr">
        <x:is>
          <x:t/>
        </x:is>
      </x:c>
      <x:c r="O235" s="3" t="inlineStr">
        <x:is>
          <x:t>30 ago. 2022</x:t>
        </x:is>
      </x:c>
      <x:c r="P235" s="3" t="inlineStr">
        <x:is>
          <x:t/>
        </x:is>
      </x:c>
      <x:c r="Q235" s="3" t="inlineStr">
        <x:is>
          <x:t/>
        </x:is>
      </x:c>
    </x:row>
    <x:row r="236">
      <x:c r="A236" s="10" t="inlineStr">
        <x:f xml:space="preserve">HYPERLINK("http://sipi.sic.gov.co/sipi/View.ashx?4177495","SD2022/0050234")</x:f>
      </x:c>
      <x:c r="B236" s="3" t="inlineStr">
        <x:is>
          <x:t>DAYLI SENSISKIN</x:t>
        </x:is>
      </x:c>
      <x:c r="C236" s="9" t="inlineStr">
        <x:is>
          <x:t/>
        </x:is>
      </x:c>
      <x:c r="D236" s="3" t="inlineStr">
        <x:is>
          <x:t>20 may. 2022</x:t>
        </x:is>
      </x:c>
      <x:c r="E236" s="3" t="inlineStr">
        <x:is>
          <x:t/>
        </x:is>
      </x:c>
      <x:c r="F236" s="3" t="inlineStr">
        <x:is>
          <x:t>Negada</x:t>
        </x:is>
      </x:c>
      <x:c r="G236" s="3" t="inlineStr">
        <x:is>
          <x:t/>
        </x:is>
      </x:c>
      <x:c r="H236" s="3" t="inlineStr">
        <x:is>
          <x:t>MARIANA BETANCUR CANO, Calle 9 no. 43 A 33. Oficina 419, MEDELLIN, ANTIOQUIA, CO</x:t>
        </x:is>
      </x:c>
      <x:c r="I236" s="3" t="inlineStr">
        <x:is>
          <x:t>3, 25, 35</x:t>
        </x:is>
      </x:c>
      <x:c r="J236" s="3" t="inlineStr">
        <x:is>
          <x:t>11</x:t>
        </x:is>
      </x:c>
      <x:c r="K236" s="3" t="inlineStr">
        <x:is>
          <x:t>3. Preparaciones para el cuidado de la piel [productos cosméticos]; productos cosméticos en forma de cremas; productos cosméticos no medicinales; productos cosméticos para uso personal; productos cosméticos y de belleza; productos cosméticos y de tocador; productos cosméticos y preparaciones de tocador no medicinales.
25. Sostenes adhesivos; sujetadores adhesivos; prendas de vestir, calzado y artículos de sombrerería.
35. Asesoramiento sobre productos de consumo en relación con productos cosméticos; servicios de agencia de ventas de productos cosméticos; servicios de distribución comercial al por mayor de productos cosméticos; servicios de información sobre productos de consumo relacionados con productos cosméticos; servicios de publicidad en relación con productos cosméticos; servicios de venta de tienda al por menor en línea de productos cosméticos y de belleza.
</x:t>
        </x:is>
      </x:c>
      <x:c r="L236" s="3" t="inlineStr">
        <x:is>
          <x:t>No</x:t>
        </x:is>
      </x:c>
      <x:c r="M236" s="3" t="inlineStr">
        <x:is>
          <x:t/>
        </x:is>
      </x:c>
      <x:c r="N236" s="3" t="inlineStr">
        <x:is>
          <x:t/>
        </x:is>
      </x:c>
      <x:c r="O236" s="3" t="inlineStr">
        <x:is>
          <x:t>11 dic. 2023</x:t>
        </x:is>
      </x:c>
      <x:c r="P236" s="3" t="inlineStr">
        <x:is>
          <x:t/>
        </x:is>
      </x:c>
      <x:c r="Q236" s="3" t="inlineStr">
        <x:is>
          <x:t/>
        </x:is>
      </x:c>
    </x:row>
    <x:row r="237">
      <x:c r="A237" s="10" t="inlineStr">
        <x:f xml:space="preserve">HYPERLINK("http://sipi.sic.gov.co/sipi/View.ashx?4178072","SD2022/0049999")</x:f>
      </x:c>
      <x:c r="B237" s="3" t="inlineStr">
        <x:is>
          <x:t>pyra</x:t>
        </x:is>
      </x:c>
      <x:c r="C237" s="9" t="inlineStr">
        <x:is>
          <x:t/>
        </x:is>
      </x:c>
      <x:c r="D237" s="3" t="inlineStr">
        <x:is>
          <x:t>19 may. 2022</x:t>
        </x:is>
      </x:c>
      <x:c r="E237" s="3" t="inlineStr">
        <x:is>
          <x:t/>
        </x:is>
      </x:c>
      <x:c r="F237" s="3" t="inlineStr">
        <x:is>
          <x:t>Negada</x:t>
        </x:is>
      </x:c>
      <x:c r="G237" s="3" t="inlineStr">
        <x:is>
          <x:t>sarracino</x:t>
        </x:is>
      </x:c>
      <x:c r="H237" s="3" t="inlineStr">
        <x:is>
          <x:t>angelica maría  romero hernandez, carrera 15 # 118-75 , BOGOTÁ, D.C., CO</x:t>
        </x:is>
      </x:c>
      <x:c r="I237" s="3" t="inlineStr">
        <x:is>
          <x:t>3</x:t>
        </x:is>
      </x:c>
      <x:c r="J237" s="3" t="inlineStr">
        <x:is>
          <x:t>11</x:t>
        </x:is>
      </x:c>
      <x:c r="K237" s="3" t="inlineStr">
        <x:is>
          <x:t>3. Kits de maquillaje que consisten principalmente en bases de maquillaje, rímeles, coloretes, brillos de labios y lápices de labios [sin incluir pinceles ni esponjas].
</x:t>
        </x:is>
      </x:c>
      <x:c r="L237" s="3" t="inlineStr">
        <x:is>
          <x:t>No</x:t>
        </x:is>
      </x:c>
      <x:c r="M237" s="3" t="inlineStr">
        <x:is>
          <x:t>Reinaldo Sarracino Del Real, Calle 119 # 14 A 42, BOGOTA, CUNDINAMARCA, CO</x:t>
        </x:is>
      </x:c>
      <x:c r="N237" s="3" t="inlineStr">
        <x:is>
          <x:t/>
        </x:is>
      </x:c>
      <x:c r="O237" s="3" t="inlineStr">
        <x:is>
          <x:t>11 oct. 2022</x:t>
        </x:is>
      </x:c>
      <x:c r="P237" s="3" t="inlineStr">
        <x:is>
          <x:t/>
        </x:is>
      </x:c>
      <x:c r="Q237" s="3" t="inlineStr">
        <x:is>
          <x:t/>
        </x:is>
      </x:c>
    </x:row>
    <x:row r="238">
      <x:c r="A238" s="10" t="inlineStr">
        <x:f xml:space="preserve">HYPERLINK("http://sipi.sic.gov.co/sipi/View.ashx?4178931","SD2022/0050171")</x:f>
      </x:c>
      <x:c r="B238" s="3" t="inlineStr">
        <x:is>
          <x:t>yumi maquillaje</x:t>
        </x:is>
      </x:c>
      <x:c r="C238" s="9" t="inlineStr">
        <x:is>
          <x:t/>
        </x:is>
      </x:c>
      <x:c r="D238" s="3" t="inlineStr">
        <x:is>
          <x:t>20 may. 2022</x:t>
        </x:is>
      </x:c>
      <x:c r="E238" s="3" t="inlineStr">
        <x:is>
          <x:t/>
        </x:is>
      </x:c>
      <x:c r="F238" s="3" t="inlineStr">
        <x:is>
          <x:t>Negada</x:t>
        </x:is>
      </x:c>
      <x:c r="G238" s="3" t="inlineStr">
        <x:is>
          <x:t>1019107725</x:t>
        </x:is>
      </x:c>
      <x:c r="H238" s="3" t="inlineStr">
        <x:is>
          <x:t>DEISY YOHANNA DIAZ CALDERON, CALLE 128 BIS A 58 A 25, BOGOTÁ, D.C., CO</x:t>
        </x:is>
      </x:c>
      <x:c r="I238" s="3" t="inlineStr">
        <x:is>
          <x:t>3</x:t>
        </x:is>
      </x:c>
      <x:c r="J238" s="3" t="inlineStr">
        <x:is>
          <x:t>11</x:t>
        </x:is>
      </x:c>
      <x:c r="K238" s="3" t="inlineStr">
        <x:is>
          <x:t>3. Maquillaje; maquillaje [cosméticos].
</x:t>
        </x:is>
      </x:c>
      <x:c r="L238" s="3" t="inlineStr">
        <x:is>
          <x:t>No</x:t>
        </x:is>
      </x:c>
      <x:c r="M238" s="3" t="inlineStr">
        <x:is>
          <x:t/>
        </x:is>
      </x:c>
      <x:c r="N238" s="3" t="inlineStr">
        <x:is>
          <x:t/>
        </x:is>
      </x:c>
      <x:c r="O238" s="3" t="inlineStr">
        <x:is>
          <x:t>09 sept. 2022</x:t>
        </x:is>
      </x:c>
      <x:c r="P238" s="3" t="inlineStr">
        <x:is>
          <x:t/>
        </x:is>
      </x:c>
      <x:c r="Q238" s="3" t="inlineStr">
        <x:is>
          <x:t/>
        </x:is>
      </x:c>
    </x:row>
    <x:row r="239">
      <x:c r="A239" s="10" t="inlineStr">
        <x:f xml:space="preserve">HYPERLINK("http://sipi.sic.gov.co/sipi/View.ashx?4179537","SD2022/0050311")</x:f>
      </x:c>
      <x:c r="B239" s="3" t="inlineStr">
        <x:is>
          <x:t>Poncio Pilatos</x:t>
        </x:is>
      </x:c>
      <x:c r="C239" s="3" t="inlineStr">
        <x:is>
          <x:t/>
        </x:is>
      </x:c>
      <x:c r="D239" s="3" t="inlineStr">
        <x:is>
          <x:t>20 may. 2022</x:t>
        </x:is>
      </x:c>
      <x:c r="E239" s="3" t="inlineStr">
        <x:is>
          <x:t/>
        </x:is>
      </x:c>
      <x:c r="F239" s="3" t="inlineStr">
        <x:is>
          <x:t>Negada</x:t>
        </x:is>
      </x:c>
      <x:c r="G239" s="3" t="inlineStr">
        <x:is>
          <x:t>Poncio Pilatos</x:t>
        </x:is>
      </x:c>
      <x:c r="H239" s="3" t="inlineStr">
        <x:is>
          <x:t>Alfonso  Tejada Casas, Carrera 14 No. 104 - 74, apto 202, BOGOTA, CUNDINAMARCA, CO</x:t>
        </x:is>
      </x:c>
      <x:c r="I239" s="3" t="inlineStr">
        <x:is>
          <x:t>3</x:t>
        </x:is>
      </x:c>
      <x:c r="J239" s="3" t="inlineStr">
        <x:is>
          <x:t>11</x:t>
        </x:is>
      </x:c>
      <x:c r="K239" s="3" t="inlineStr">
        <x:is>
          <x:t>3. Acondicionadores para el cabello; acondicionadores para el cabello para bebés; acondicionadores para la piel; acondicionadores para uso en el cabello; aerosoles cosméticos de uso tópico para la piel; aerosoles perfumados para el cuerpo; agua de colonia; agua de azahar para uso cosmético; agua de flor de azahar [destilados herbales]; agua de lavanda; agua de perfume; agua de rosas [destilados de hierbas]; agua micelar; agua micelar de limpieza; aguas de colonia para después del afeitado; aguas de tocador; aguas de tocador perfumadas; aguas de tocador y aguas de colonia; aguas de tocador y colonias; aguas perfumadas; antitranspirantes de uso personal; antitranspirantes no medicinales; aromas [aceites esenciales]; aromas para fragancias; astringentes para uso cosmético; barras de labios; barras de labios hidratantes; bases para perfumes de flores; baños de aceite para el cuidado del cabello; baños de aceite para el cuidado del cabello de uso cosmético; baños de espuma; baños de espuma para bebés; baños no medicinales para el cuerpo; baños no medicinales para los pies; bombas de baño; bombas de ducha; botellas tipo roll-on llenas de aceites esenciales; botellas tipo rollo llenas de aceites esenciales; bálsamo acondicionador; bálsamos [cremas] para disimular las imperfecciones de la piel; bálsamos capilares; bálsamos capilares no medicinales; bálsamos labiales; bálsamos para el afeitado; bálsamos para el cabello; bálsamos que no sean para uso médico; cera depilatoria; cera para el bigote; cera para el cabello; cera para el pelo; ceras para el cabello; ceras para el cuidado del cabello; ceras para el cuidado del pelo; ceras para el peinado del cabello; ceras para el pelo; champúes para el cabello; champús 3 en 1; champús acondicionadores; champús anticaspa; champús capilares; champús corporales; champús de ph neutro; champús en barritas sólidas; champús en seco*; champús equilibrados de ph; champús no medicinales; champús no medicinales contra la caspa; champús para bebés; champús para el cabello; champús para el cabello humano; champús para el cabello y el cuerpo; champús para el cuerpo; champús y acondicionadores; champús y acondicionadores para el cabello; champús*; cold creams; cold creams para uso cosmético; colonia; colonias para después del afeitado; colonias, perfumes y productos cosméticos; composiciones para aclarar la piel [cosméticos]; cosméticos; cosméticos de belleza; crema corporal; crema corporal para uso cosmético; crema en gel para matificar la piel; crema limpiadora; crema no medicinal contra la dermatitis del pañal; crema para aclarar la piel; crema para las manos; crema para lavarse las manos; crema para peinar el cabello; cremas acondicionadoras; cremas acondicionadoras para la piel, de uso cosmético; cremas antiarrugas; cremas antiarrugas para uso cosmético; cremas antienvejecimiento; cremas antienvejecimiento para uso cosmético; cremas bálsamos de belleza; cremas capilares; cremas corporales; cremas corporales [cosméticos]; cremas cosmética para el cuerpo; cremas de afeitar; cremas de baño; cremas de belleza; cremas de belleza para el rostro y el cuerpo; cremas de ducha; cremas de limpieza; cremas de limpieza [cosméticos]; cremas de masaje cosméticas; cremas de noche; cremas de protección solar; cremas desmaquillantes; cremas faciales; cremas faciales para uso cosmético; cremas hidratantes; cremas no medicadas para exfoliantes faciales; cremas para las manos; cremas para los ojos; cremas perfumadas; cremas perfumadas para el cuerpo; cremas perfumadas para uso cosmético; cremas reparadoras para la piel [cosméticos]; cremas y geles cosméticos para cara, manos y cuerpo; cremas y geles cosméticos para rostro, manos y cuerpo; cremas y lociones cosméticas; cremas, lociones y geles hidratantes; desodorantes antitranspirantes; desodorantes corporales; desodorantes corporales [perfumería]; desodorantes para el cuerpo; desodorantes para personas o animales [productos de perfumería]; desodorantes para seres humanos; desodorantes para uso personal [perfumería]; desodorantes roll-on [artículos de aseo]; desodorantes y antitranspirantes para uso personal; eau de parfum; eau de parfum [agua de perfume]; emolientes para la piel de uso cosmético; endurecedores de uñas; endurecedores de uñas [cosméticos]; enjuagues para el cabello; enjuagues para el cabello de uso cosmético; esmaltes de base para las uñas [productos cosméticos]; esmaltes de uñas; esmaltes de uñas en gel; esmaltes de uñas para uso cosmético; esmaltes de uñas y quitaesmaltes; espuma de baño; espuma limpiadora; espumas de afeitar; espumas de baño; espumas de ducha; exfoliante corporal; exfoliantes; exfoliantes faciales; fragancias; fragancias corporales; fragancias para uso personal; fragancias y productos de perfumería; gel para baño y ducha; geles corporales y faciales [cosméticos]; geles para el cabello; hidratante para la piel; hidratantes; jabones antitranspirantes; jabones antitranspirantes para los pies; jabones corporales no medicados; jabones cosméticos; jabones de baño; jabones de ducha; jabones de tocador; jabones de tocador no medicinales; jabones de tocador perfumados; jabones desodorantes; jabones en crema; jabones en crema para el cuerpo; jabones en forma líquida; jabones en polvo no medicinales; jabones faciales;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el cuerpo; jabones para el cuidado del cuerpo; jabones para la ducha; jabones para la piel; jabones para las manos; jabones para uso personal; jabones perfumados; jabones*; jabón de afeitar; jabón de aloe vera; jabón de baño; jabón líquido para el cuerpo; kits de maquillaje; lacas de uñas; leche de almendras para uso cosmético; leche hidratante para después de afeitar; leches corporales para bebés; leches de baño; leches de belleza; leches hidratantes; leches hidratantes corporales; lociones antienvejecimiento para uso cosmético; lociones brillantes para el cuerpo; lociones capilares cosméticas; lociones corporales; lociones de baño; lociones de baño para uso cosmético; lociones de belleza; lociones faciales; lociones faciales [cosméticos]; lociones hidratantes para el cuerpo [cosméticos]; lociones hidratantes para la piel; lociones para bebés; lociones para el cabello; lociones para el cuerpo; lociones para el peinado; lociones para el rostro y el cuerpo; lociones perfumadas [preparaciones de tocador]; lociones perfumadas para el cuerpo; líquidos para lavarse las manos no medicinales a base de jabón; manteca corporal; maquillaje; mascarillas corporales; mascarillas faciales; mascarillas hidratantes para la piel; mezclas de perfumería; papel de jabón para uso personal; parches de lifting facial para uso cosmético; pastillas de jabón; pastillas de jabón para el cuerpo; pañitos de limpieza impregnados con preparaciones de tocador; pañitos de limpieza preimpregnados; paños o toallitas impregnados de productos limpiadores para la piel; perfumería para cosméticos; perfumería y fragancias; perfumes; perfumes líquidos; perfumes y aguas de colonia; perfumes y aguas de tocador; perlas de baño; perlas de baño para uso cosmético; piedra pómez para uso personal; plumas de esmalte de uñas; polvos de baño no medicinales; polvos de baño para uso cosmético; preparaciones cosméticas para el cuidado de las uñas; preparaciones cosméticas para el rostro y el cuerpo; preparaciones de cuidado corporal y de belleza para uso cosmético; preparaciones de espuma para el baño; preparaciones de limpieza para el cuerpo; preparaciones de limpieza para las manos; preparaciones hidratantes; preparaciones hidratantes [cosméticos]; preparaciones limpiadoras de uso personal; preparaciones no medicadas para el baño; preparaciones no medicinales para el cuidado de la piel; preparaciones para limpiarse las manos; preparaciones perfumadas para el cuidado del cuerpo; productos antitranspirantes [artículos de tocador]; productos cosméticos de baño y ducha; productos cosméticos en forma de cremas; productos cosméticos en forma de polvos; productos cosméticos no medicinales; productos cosméticos para el cabello y el cuero cabelludo; productos cosméticos para el cuidado corporal; productos cosméticos para el cuidado de la piel; productos cosméticos para la piel; productos cosméticos y de belleza; productos cosméticos y de tocador; productos de jabón; productos de perfumería; productos de perfumería sintéticos; productos de perfumería y productos de fragancias; productos de perfumería, aceites esenciales, cosméticos no medicinales, lociones capilares no medicinales; productos hidratantes para el cabello; productos para ablandar las uñas; productos para refrescar la piel; reparadores de uñas; revitalizantes para el cabello; revitalizantes para la piel; sales de baño; sales de baño no medicinales; soluciones para el lavado de manos a base de gel, no medicinales; soluciones para el lavado de manos a base de jabón, no medicinales; tónicos cosméticos.
</x:t>
        </x:is>
      </x:c>
      <x:c r="L239" s="3" t="inlineStr">
        <x:is>
          <x:t>No</x:t>
        </x:is>
      </x:c>
      <x:c r="M239" s="3" t="inlineStr">
        <x:is>
          <x:t>Daniel Arturo  Alvarez Rodriguez, Carrera 14 No. 104 - 74, apto 202, BOGOTA, CUNDINAMARCA 110111, CO</x:t>
        </x:is>
      </x:c>
      <x:c r="N239" s="3" t="inlineStr">
        <x:is>
          <x:t/>
        </x:is>
      </x:c>
      <x:c r="O239" s="3" t="inlineStr">
        <x:is>
          <x:t>19 ago. 2022</x:t>
        </x:is>
      </x:c>
      <x:c r="P239" s="3" t="inlineStr">
        <x:is>
          <x:t/>
        </x:is>
      </x:c>
      <x:c r="Q239" s="3" t="inlineStr">
        <x:is>
          <x:t/>
        </x:is>
      </x:c>
    </x:row>
    <x:row r="240">
      <x:c r="A240" s="10" t="inlineStr">
        <x:f xml:space="preserve">HYPERLINK("http://sipi.sic.gov.co/sipi/View.ashx?4179802","SD2022/0050699")</x:f>
      </x:c>
      <x:c r="B240" s="3" t="inlineStr">
        <x:is>
          <x:t>Emiliana Cosmetics</x:t>
        </x:is>
      </x:c>
      <x:c r="C240" s="9" t="inlineStr">
        <x:is>
          <x:t/>
        </x:is>
      </x:c>
      <x:c r="D240" s="3" t="inlineStr">
        <x:is>
          <x:t>23 may. 2022</x:t>
        </x:is>
      </x:c>
      <x:c r="E240" s="3" t="inlineStr">
        <x:is>
          <x:t/>
        </x:is>
      </x:c>
      <x:c r="F240" s="3" t="inlineStr">
        <x:is>
          <x:t>Negada</x:t>
        </x:is>
      </x:c>
      <x:c r="G240" s="3" t="inlineStr">
        <x:is>
          <x:t>REGISTRO DE MARCA EMILIANA COSMETICS </x:t>
        </x:is>
      </x:c>
      <x:c r="H240" s="3" t="inlineStr">
        <x:is>
          <x:t>NATALIA  CAÑAS CORTES, Barrio galán calle 44c # 4925., SEGOVIA, ANTIOQUIA, CO</x:t>
        </x:is>
      </x:c>
      <x:c r="I240" s="3" t="inlineStr">
        <x:is>
          <x:t>3</x:t>
        </x:is>
      </x:c>
      <x:c r="J240" s="3" t="inlineStr">
        <x:is>
          <x:t>11</x:t>
        </x:is>
      </x:c>
      <x:c r="K240" s="3" t="inlineStr">
        <x:is>
          <x:t>3. Cosméticos; cosméticos y preparaciones cosméticas; aceites cosméticos; cosméticos de belleza; cosméticos ecológicos; cosméticos naturales; cosméticos orgánicos; cosméticos para el cabello; cosméticos para las cejas; cosméticos para los labios; cosméticos para pestañas; cremas cosméticas; espumas [cosméticas]; exfoliantes para uso cosmético; geles cosméticos; hidratantes [cosméticos]; jabones cosméticos; lociones para uso cosmético; maquillaje [cosméticos]; mascarillas cosméticas; perfumería para cosméticos; polvos cosméticos; tintas para uso cosmético; tintes cosméticos; desodorantes antitranspirantes; desodorantes corporales; desodorantes para uso personal; jabones desodorantes; serum calmante para la piel; serum de corrección para el contorno de los ojos; serum para calmar la piel [cosmético]; serum para el contorno de ojos; jabones*; crema corporal; cremas capilares; agua micelar; agua micelar de limpieza; bálsamo acondicionador; bálsamos capilares; bálsamos labiales; bálsamos para el afeitado; bálsamos para el cabello; cremas antiarrugas; cremas antiarrugas para uso cosmético; preparaciones antiarrugas para el cuidado de la piel.
</x:t>
        </x:is>
      </x:c>
      <x:c r="L240" s="3" t="inlineStr">
        <x:is>
          <x:t>Sí</x:t>
        </x:is>
      </x:c>
      <x:c r="M240" s="3" t="inlineStr">
        <x:is>
          <x:t>JOHANA VERGEL BERMUDEZ, Avenida 5 No. 11-63 local 212 Centro Comercial LECS, CUCUTA, NORTE DE SANTANDER, CO</x:t>
        </x:is>
      </x:c>
      <x:c r="N240" s="3" t="inlineStr">
        <x:is>
          <x:t/>
        </x:is>
      </x:c>
      <x:c r="O240" s="3" t="inlineStr">
        <x:is>
          <x:t>29 jul. 2022</x:t>
        </x:is>
      </x:c>
      <x:c r="P240" s="3" t="inlineStr">
        <x:is>
          <x:t/>
        </x:is>
      </x:c>
      <x:c r="Q240" s="3" t="inlineStr">
        <x:is>
          <x:t/>
        </x:is>
      </x:c>
    </x:row>
    <x:row r="241">
      <x:c r="A241" s="10" t="inlineStr">
        <x:f xml:space="preserve">HYPERLINK("http://sipi.sic.gov.co/sipi/View.ashx?4179985","SD2022/0066909")</x:f>
      </x:c>
      <x:c r="B241" s="3" t="inlineStr">
        <x:is>
          <x:t>Lozzanie</x:t>
        </x:is>
      </x:c>
      <x:c r="C241" s="9" t="inlineStr">
        <x:is>
          <x:t/>
        </x:is>
      </x:c>
      <x:c r="D241" s="3" t="inlineStr">
        <x:is>
          <x:t>02 jul. 2022</x:t>
        </x:is>
      </x:c>
      <x:c r="E241" s="3" t="inlineStr">
        <x:is>
          <x:t/>
        </x:is>
      </x:c>
      <x:c r="F241" s="3" t="inlineStr">
        <x:is>
          <x:t>Negada</x:t>
        </x:is>
      </x:c>
      <x:c r="G241" s="3" t="inlineStr">
        <x:is>
          <x:t>LOZZANIE</x:t>
        </x:is>
      </x:c>
      <x:c r="H241" s="3" t="inlineStr">
        <x:is>
          <x:t>Francy Isvevia Melo Zapata, Calle 17c sur 44 61 AP 1902, 1902 Serrat Apartamentos, MEDELLIN, ANTIOQUIA 050022369, CO</x:t>
        </x:is>
      </x:c>
      <x:c r="I241" s="3" t="inlineStr">
        <x:is>
          <x:t>3, 10, 35</x:t>
        </x:is>
      </x:c>
      <x:c r="J241" s="3" t="inlineStr">
        <x:is>
          <x:t>11</x:t>
        </x:is>
      </x:c>
      <x:c r="K241" s="3" t="inlineStr">
        <x:is>
          <x:t>3. Aceite de amla para uso cosmético; Aceite de uva para uso cosmético; Aceite de aguacate para uso cosmético; Aceite de oliva para uso cosmético; aceite de rosa mosqueta para uso cosmético; aceite de rosa mosqueta; aceite de sésamo para uso cosmético; aceite de argán para uso cosmético; aceite de avellana para uso cosmético; aceite de karité para uso cosmético; aceite de lino para uso cosmético; aceite de cacao para uso cosmético; aceite de neem para uso cosmético; aceite de chía para uso cosmético; aceite de germen de trigo para uso cosmético; aceite de soya para uso cosmético;aceite de coco para uso cosmético; aceite de lavanda para uso cosmético; aceite de neem para uso cosmético; aceite de ricino para uso cosmético; aceite de rosas para uso cosmético; aceite de veppennai para uso cosmético; aceite de anis para uso cosmético, aceite de almendras para uso cosmético, aceite de incienso para uso cosmético, aceite de jojoba para uso cosmético, aceite de árbol de té para uso cosmético, aceite de girasol para uso cosmético, aceite de macadamia para uso cosmético, aceite de naranja para uso cosmético, aceite de bergamota para uso cosmético; aceites bronceadores [cosméticos]; aceites bronceadores de uso cosmético; aceites cosméticos; aceites cosméticos para la piel; aceites de baño para uso cosmético; aceites de cáñamo a base de cbd para uso cosmético; aceites de protección solar [cosméticos]; aceites esenciales para uso cosmético; aceites minerales [cosméticos]; aceites para bronceado [cosméticos]; aceites para después del sol [productos cosméticos]; aceites para después del sol de uso cosmético; aceites para el cuerpo de uso cosmético; aceites para uso cosmético; aceites perfumados para la fabricación de preparados cosméticos; aceites perfumados para la fabricación de productos cosméticos; aceites puros para uso cosmético; aceites solares de uso cosmético; aerosoles cosméticos de uso tópico para la piel; agua de azahar para uso cosmético; agua mineral para uso cosmético en forma de pulverizadores de niebla; algodón e hisopos de algodón para uso cosmético; algodón para uso cosmético; algodón y bastoncillos de algodón para uso cosmético; alheña [tinte cosmético]; alheña para uso cosmético; alheña para uso cosmético [henna]; almohadillas de algodón para uso cosmético; almohadillas de limpieza impregnadas con cosméticos; almohadillas de limpieza impregnadas con productos cosméticos; almohadillas de limpieza impregnadas de cosméticos; almohadillas limpiadoras impregnadas de productos cosméticos; almohadillas para uso cosmético; apitoxina [veneno de abeja melífera] con fines cosméticos; astringentes para uso cosmético; autobronceadores [cosméticos]; barras de labios con protección solar [cosméticos]; barras de labios en stick con protección solar [cosméticos]; barros corporales para uso cosmético; basma [tinte para uso cosmético]; basma en cuanto tinte para uso cosmético; basma para uso cosmético; bastoncillos de algodón para uso cosmético; baños de aceite para el cuidado del cabello de uso cosmético; bloqueador solar [cosméticos]; bolas de algodón para uso cosmético; brillos para uso cosmético; calcetines pre-humedecidos con preparaciones cosméticas para uso cosmético; calcomanías decorativas para uso cosmético; cintas de estiramiento facial para uso cosmético; cintas de lifting facial para uso cosmético; cola de maquillaje para uso cosmético; cold creams para uso cosmético; colonias, perfumes y productos cosméticos; colorantes de labios [cosméticos]; colorantes labiales [cosméticos]; colorantes labiales [productos cosméticos]; colorantes para los labios [productos cosméticos]; composiciones para aclarar la piel [cosméticos]; compresas oculares para uso cosmético;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para uso cosmético; cremas acondicionadoras para la piel, de uso cosmético; cremas antiarrugas para uso cosmético; cremas antienvejecimiento para uso cosmético; cremas con filtro solar para uso cosmético; cremas con retinol para uso cosmético; cremas con vitamina a para uso cosmético; cremas contra las pecas [para uso cosmético]; cremas corporales [cosméticos]; cremas de limpieza [cosméticos]; cremas de limpieza [para uso cosmético]; cremas de limpieza [productos cosméticos]; cremas de limpieza para uso cosmético; cremas de protección solar para uso cosmético; cremas exfoliantes para uso cosmético; cremas faciales para uso cosmético; cremas hidratantes para la piel [cosméticos]; cremas limpiadoras [cosméticos]; cremas limpiadoras [productos cosméticos]; cremas limpiadoras para uso cosmético; cremas para atenuar las manchas de la vejez de uso cosmético; cremas para después del sol de uso cosmético; cremas para el cabello de uso cosmético; cremas para el cabello para uso cosmético; cremas para el cuerpo [cosméticos]; cremas para el rostro de uso cosmético; cremas para el rostro y el cuerpo de uso cosmético; cremas para la cara [cosméticos]; cremas para la piel de uso cosmético; cremas para las manos de uso cosmético; cremas para las uñas de uso cosmético; cremas para los labios de uso cosmético; cremas para los ojos de uso cosmético; cremas para reducir la celulitis de uso cosmético; cremas para tez clara de uso cosmético; cremas perfumadas para uso cosmético; cremas reparadoras para la piel [cosméticos]; cremas reparadoras para la piel de uso cosmético; cremas tonificantes [cosméticos]; cremas y geles cosméticos para cara, manos y cuerpo; cremas y geles cosméticos para rostro, manos y cuerpo; cremas, aceites, lociones, aerosoles, lápices y bálsamos para uso cosmético; cremas, leches, lociones, geles y polvos cosméticos para la cara, el cuerpo y las manos; cristales de baño para uso cosmético; decolorantes para uso cosmético; discos de algodón para uso cosmético; emolientes para la piel de uso cosmético; emulsiones faciales para uso cosmético; emulsiones para el cuerpo de uso cosmético; emulsiones térmicas para uso cosmético; endurecedores de uñas [cosméticos]; enjuagues para el cabello de uso cosmético; esmaltes de base para las uñas [productos cosméticos]; esmaltes de uñas para uso cosmético; exfoliantes corporales cosméticos; exfoliantes corporales para uso cosmético; exfoliantes para el cuerpo de uso cosmético; exfoliantes para uso cosmético; extractos de plantas para uso cosmético; fangos corporales para uso cosmético; filtro solar [cosméticos]; geles antienvejecimiento para uso cosmético; geles bronceadores [cosméticos]; geles corporales y faciales [cosméticos]; geles cosméticos; geles de aloe vera para uso cosmético; geles de lavanda para uso cosmético; geles hidratantes [cosméticos]; geles para después del sol [productos cosméticos]; geles para después del sol de uso cosmético; geles para el cuerpo [cosméticos]; geles para el cuerpo y la cara [cosméticos]; geles para la cara [cosméticos]; geles para los ojos de uso cosmético; geles para uso cosmético; grasas para uso cosmético; guantes pre-humedecidos con preparaciones cosméticas para uso cosmético; guata para uso cosmético; guata y bastoncillos de algodón para uso cosmético; henna [tinte cosmético]; henna para uso cosmético; henna para uso cosmético [alheña]; hidratantes [cosméticos]; hidratantes faciales [cosméticos]; hidratantes faciales de uso cosmético; hidratantes para la piel utilizados como cosméticos; hilas para uso cosmético; hisopos de algodón para uso cosmético; hisopos para uso cosmético; jabones cosméticos; jalea de petróleo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 de almendras para uso cosmético; leches bronceadoras [cosméticos]; leches para después de tomar el sol para uso cosmético; leches para después del sol [productos cosméticos]; leches para después del sol de uso cosmético; leches para el cuerpo de uso cosmético; leches para el rostro y el cuerpo de uso cosmético; leches y lociones para el rostro de uso cosmético; leches, geles y aceites bronceadores y para después del sol, de uso cosmético; limpiador cutáneo con propiedades suavizantes [cosmético];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antienvejecimiento para uso cosmético; lociones autobronceadoras [cosméticos]; lociones con filtro solar para uso cosmético; lociones con pantalla solar para uso cosmético; lociones de baño para uso cosmético; lociones de protección solar para uso cosmético; lociones faciales [cosméticos]; lociones hidratantes [cosméticos]; lociones hidratantes para el cuerpo [cosméticos]; lociones hidratantes para la piel [cosméticos]; lociones no medicinales para el cuidado de la piel [cosméticos]; lociones para después del sol de uso cosmético; lociones para el cabello de uso cosmético; lociones para el cuerpo de uso cosmético; lociones para el cuidado de la piel [cosméticos]; lociones para el cuidado del rostro y del cuerpo de uso cosmético; lociones para el rostro y el cuerpo de uso cosmético; lociones para la piel [productos cosméticos]; lociones para las manos de uso cosmético; lociones para los ojos de uso cosmético; lociones para reducir la celulitis de uso cosmético; lociones para uso cosmético; lociones tónicas para el rostro, el cuerpo y las manos de uso cosmético; lociones, cremas y aceites de aplicación tópica para la piel y el cuerpo, de uso cosmético; loción de malagueta para uso cosmético; lodos corporales para uso cosmético; lápices de ojos para uso cosmético; lápices para uso cosmético; manteca a base de vegetales para uso cosmético; manteca corporal para uso cosmético; manteca de almendra para uso cosmético; manteca de aloe vera para uso cosmético; manteca de argán para uso cosmético; manteca de cacao para uso cosmético; manteca de coco para uso cosmético; manteca de karité para uso cosmético; maquillaje [cosméticos]; mascarillas corporales en forma de cremas para uso cosmético; mascarillas corporales en forma de lociones para uso cosmético; mascarillas corporales en polvo para uso cosmético; mascarillas corporales para uso cosmético; mascarillas envasadas para uso cosmético; mascarillas faciales [productos cosméticos]; mascarillas faciales para uso cosmético; mascarillas oculares para uso cosmético; mascarillas para el cutis [cosméticos]; mascarillas para la piel [cosméticos]; mascarillas para la piel de uso cosmético; papel secante anti-brillo [cosméticos]; papel secante anti-brillo para uso cosmético; papel secante facial [cosméticos]; papel secante facial para uso cosmético; papel secante para uso cosmético;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pastas perfumadas para uso cosmético; pañitos cosméticos prehumedecidos; pañitos para bebés para uso cosmético; paños húmedos para bebés de uso cosmético; perfumería para cosméticos; perlas de baño para uso cosmético; perlitas de baño para uso cosmético; peróxido de hidrógeno para uso cosmético; piedras astringentes para después del afeitado para uso cosmético; piedras para el afeitado en cuanto astringentes para uso cosmético; pintura corporal de látex líquido para uso cosmético; pintura corporal para uso cosmético; polvos compactos para polveras [cosméticos]; polvos cosméticos; polvos de baño para uso cosmético; polvos de brillo para uso cosmético; polvos dentales para uso cosmético; polvos faciales [cosméticos]; polvos faciales blancos para uso cosmético; polvos faciales cosméticos; polvos faciales cosméticos de color blanco; polvos faciales para uso cosmético; polvos para el cuerpo de uso cosmético; polvos perfumados para uso cosmético; pomadas en barra para uso cosmético; pomadas para el cabello de uso cosmético; pomadas para uso cosmético; preparaciones autobronceadoras [cosméticos]; preparaciones blanqueadoras para la piel [productos cosméticos]; preparaciones colorantes de uso cosmético; preparaciones de aloe vera para uso cosmético; preparaciones de bloqueadores solares para uso cosmético; preparaciones de colágeno para uso cosmético; preparaciones de cuidado corporal y de belleza para uso cosmético; preparaciones de cuidado facial [cosméticos]; preparaciones de protección solar [productos cosméticos]; preparaciones de protección solar para uso cosmético; preparaciones exfoliantes faciales para uso cosmético; preparaciones faciales [cosméticos]; preparaciones hidratantes [cosméticos]; preparaciones para aclarar la piel [cosméticos]; preparaciones para baños de espuma para uso cosmético; preparaciones para blanquear la piel [cosméticos]; preparaciones para el cuidado de la piel [productos cosméticos]; preparaciones para quitar las cutículas de uso cosmético; preparados cosméticos para el cuidado del cuerpo; preparados cosméticos para el tratamiento de la piel; productos con filtro solar para uso cosmético;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la piel; productos cosméticos para las pestañas;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de revestimiento para esculpir uñas [productos cosméticos]; productos y preparaciones cosméticos para el cuidado de la piel; protectores solares para los labios [productos cosméticos]; quitaesmalte para uñas [cosméticos]; quitaesmaltes de uñas [cosméticos]; reafirmantes en gel para el cuerpo para uso cosmético; revitalizantes cutáneos para uso cosmético; revitalizantes para el cabello de uso cosmético; sales de baño para uso cosmético; serum para calmar la piel [cosmético]; sprays de agua mineral para uso cosmético; sprays para el cuerpo de uso cosmético; bases de maquillaje; bases de maquillaje cremosas; bases de maquillaje en crema; bases de maquillaje líquidas; bases de maquillaje para la piel; fondo de maquillaje; fundación de maquillaje; kits de maquillaje; kits de maquillaje que consisten principalmente en bases de maquillaje, rímeles, coloretes, brillos de labios y lápices de labios [sin incluir pinceles ni esponjas]; lápices de maquillaje; maquillaje; maquillaje para el cuerpo; maquillaje para el rostro; maquillaje para el rostro y el cuerpo; maquillaje para la cara; maquillaje para la cara y el cuerpo; maquillaje para la piel; maquillaje para los ojos; maquillaje para polveras; maquillaje vendido en polveras; maquillajes de base; maquillajes de base en crema; maquillajes de ojos; maquillajes faciales; mizu-oshiroi [bases de maquillaje líquidas];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polvos de maquillaje; preparaciones de maquillaje para el rostro y el cuerpo; preparaciones de maquillaje para la cara y el cuerpo; productos de maquillaje; sprays para fijar el maquillaje; tiza para maquillaje; maquillaje teatral; aceite de masaje, no medicinal; aceites de masaje, no medicinales; aceites no medicinales para masajes; aceites y lociones de masaje; ceras de masaje, que no sean para uso médico; cremas cosméticas de masaje; cremas de masaje cosméticas; cremas de masaje no medicinales; cremas de masaje, que no sean para uso médico; geles de masaje que no sean para uso médico; preparaciones no medicinales para masajes; velas de masaje para uso cosmético; aceite esencial de citronela de aromaterapia; aceite esencial de eucalipto de aromaterapia; aceite esencial de hierba limón de aromaterapia; aceite esencial de lavanda de aromaterapia; aceite esencial de limoncillo de aromaterapia; aceite esencial de romero de aromaterapia; aceite esencial de árbol de té de aromaterapia; aceites de aromaterapia; aceites esenciales de aromaterapia; aceites esenciales para aromatizar el tabaco; aceites esenciales para uso en aromaterapia; aceites perfumados que difunden aromas al ser calentados; aromas [aceites esenciales]; aromas para fragancias; aromas para uso doméstico; aromatizantes para fragancias; bolsitas aromáticas para almohadas de aromaterapia; cremas de aromaterapia; cremas para la piel no medicinales a base de aceites esenciales para uso en aromaterapia; inciensos para fumigar para aromatizar habitaciones; lociones de aromaterapia; productos de aromaterapia; productos de perfumería con aroma a vainilla; aceites y lociones bronceadoras; aceites y lociones con filtro solar; aceites y lociones de protección solar; cremas y lociones bronceadoras; cremas y lociones cosméticas; cremas y lociones cosméticas para el cuidado de la cara y el cuerpo; cremas y lociones cosméticas para el cuidado del rostro y el cuerpo; cremas, aceites, lociones y preparaciones limpiadoras e hidratantes; cremas, lociones y geles hidratantes; cremas, lociones y otras preparaciones cosméticas bronceadoras; emulsiones, geles y lociones para el cuidado de la piel; leches y lociones para el rostro; leches, geles, lociones y cremas desmaquillantes; lociones antienvejecimiento; lociones brillantes para el cuerpo; lociones bronceadoras; lociones capilares cosméticas; lociones capilares no medicinales; lociones capilares reparadoras no medicamentosas; lociones capilares reparadoras no medicinales; lociones capilares*; lociones colorantes para el cabello; lociones con filtro solar; lociones con pantalla solar; lociones corporales; lociones cosméticas para el bronceado de la piel; lociones cosméticas para el cuidado de la piel; lociones cosméticas para el rostro; lociones cosméticas para la cara; lociones cosméticas para la piel; lociones cosméticas para reducir la aparición de manchas de envejecimiento y pecas; lociones de baño; lociones de belleza; lociones de protección para el cabello; lociones de protección solar; lociones depilatorias; lociones desmaquillantes; lociones estimulantes no medicinales para la piel; lociones faciales; lociones faciales no medicadas; lociones fijadoras para ondular el cabello; lociones hidratantes; lociones hidratantes para el cuerpo; lociones hidratantes para la piel; lociones lechosas; lociones lechosas para el cuidado de la piel; lociones limpiadoras no medicadas; lociones limpiadoras para la piel; lociones lácteas; lociones lácteas para el cuidado de la piel; lociones no medicadas para el rostro; lociones no medicinales para aclarar la piel; lociones no medicinales para la piel; lociones no medicinales para los pies; lociones para después del sol; lociones para el bronceado de la piel; lociones para el cabello; lociones para el cuerpo; lociones para el cuidado de la piel; lociones para el cuidado del rostro y del cuerpo; lociones para el peinado; lociones para el rostro y el cuerpo; lociones para fortalecer el cabello; lociones para fortalecer las uñas; lociones para la piel; lociones para la piel no medicadas; lociones para las manos; lociones para los ojos; lociones para ondular el cabello; lociones para ondular el cabello de forma permanente; lociones para reducir la celulitis; lociones para rizar el cabello; lociones perfumadas [preparaciones de tocador]; lociones perfumadas para el cuerpo; lociones tonificantes para el cuerpo; lociones tónicas para el cuerpo; lociones y cremas corporales perfumadas; lociones, cremas y preparaciones para el cuidado de la cara, cuerpo, cuero cabelludo, uñas y cabello; lociones, cremas y preparaciones para el cuidado del rostro, cuerpo, cuero cabelludo, uñas y cabello; mascarillas corporales en forma de lociones; pomadas y lociones no medicinales contra la dermatitis del pañal; toallitas impregnadas de lociones cosméticas; aceites de perfumería; aceites esenciales en cuanto perfumes de lavandería; aceites para perfumes y fragancias; agua de perfume; almizcle [producto de perfumería]; bases para perfumes de flores; difusores de perfumes de ambiente con varillas; eau de parfum [agua de perfume]; espráis utilizados como desodorantes y perfumes corporales; extractos de flores [productos de perfumería]; extractos de flores en cuanto perfumes; extractos de flores en cuanto productos de perfumería; fragancias y productos de perfumería; iononas [productos de perfumería]; menta para perfumería; mezclas de perfumería; perfumería y fragancias; perfumes; perfumes líquidos; perfumes y aguas de colonia; perfumes y aguas de tocador; preparaciones ambientadoras (perfumes); productos de perfumería; productos de perfumería de cedro; productos de perfumería naturales; productos de perfumería sintéticos; productos de perfumería y productos de fragancias; productos de perfumería, aceites esenciales; productos de perfumería, fragancias e incienso; productos de perfumería, fragancias e incienso que no sean perfumes para uso personal; productos de perfumería, inciensos y fragancias; recambios de perfumes para difusores de aceites esenciales enchufables; recambios de perfumes para difusores electrónicos de aceites esenciales; vainillina sintética [productos de perfumería]; ámbar [productos de perfumería]; ámbar gris [perfume]; jabones en crema; jabones en crema para el cuerpo; mascarillas corporales en forma de cremas; polvos faciales en crema; difusores de varillas; recambios de ambientadores para difusores de varillas; recambios de fragancias para difusores de aceites esenciales enchufables; recambios de fragancias para difusores electrónicos de aceites esenciales; piedras de cerámica perfumadas; piedras para suavizar; piedras para suavizar los pies; piedras pómez para uso corporal.
10. Dispositivos cosméticos de micro-agujas; dispositivos cosméticos de micro-agujas para el tono, la textura y la hidratación de la piel; dispositivos cosméticos de micro-agujas para estimular el colágeno en la piel; dispositivos cosméticos de microneedling; dispositivos cosméticos de microneedling para el tono, la textura y la hidratación de la piel; dispositivos cosméticos de microneedling para estimular el colágeno en la piel; dispositivos cosméticos para el tratamiento de tonificación facial con microcorrientes; dispositivos cosméticos para la terapia de luz fotónica; máquinas de tonificación facial para uso cosmético; almohadas para masaje shiatsu; aparatos de masaje; aparatos de masaje con envoltura térmica; aparatos de masaje de pies; aparatos de masaje eléctricos para uso doméstico; aparatos de masaje para cuello y hombros; aparatos de masaje para el cuello y los hombros; aparatos de masaje para los pies; aparatos de masaje para uso médico; aparatos de masaje para uso personal; aparatos de masaje por percusión, de mano; aparatos de masajes estéticos para su uso en salones de belleza; aparatos eléctricos de masaje; aparatos eléctricos de masaje del cuero cabelludo para uso comercial; aparatos eléctricos de masaje del cuero cabelludo para uso doméstico; aparatos eléctricos de masaje para uso doméstico; aparatos eléctricos de masaje para uso personal; aparatos eléctricos para masaje; aparatos eléctricos para masaje por percusión; aparatos eléctricos para masajes estéticos; aparatos eléctricos para masajes estéticos para uso doméstico; aparatos no eléctricos de masaje; aparatos para masaje de los hombros; aparatos para masaje de los ojos; aparatos para masajes de cuello; aparatos para masajes de espalda; aparatos para masajes estéticos; bolas de masaje; cinturones para masaje shiatsu; cojines para masaje por vibración; colchonetas de masaje con aparato de masaje integrado; colchonetas de masaje con aparato de masaje integrado para uso en vehículos; dispositivos de masaje corporal; dispositivos de masaje para el cuero cabelludo; dispositivos de masaje que funcionan con baterías para el cuero cabelludo; guantes de crin para masajes; guantes de masaje; guantes de masaje para la reducción de la celulitis; guantes de masaje para mejorar la circulación sanguínea; guantes para masaje; guantes para masajes; instrumentos de masaje manuales; masajeadores de encías para bebés; masajeadores eléctricos del cuero cabelludo para uso comercial; masajeadores eléctricos del cuero cabelludo para uso doméstico; piedras de basalto para masajes con piedras calientes; piedras de masaje; Guasha (piedra de masaje) rodillos de espuma para masajes; rodillos faciales de amatista en cuanto aparatos de masaje estético; rodillos faciales de cuarzo en cuanto aparatos de masaje; rodillos faciales de cuarzo en cuanto aparatos de masaje estético; rodillos faciales de jade en cuanto aparatos de masaje; rodillos faciales en cuanto aparatos de masaje; rodillos faciales en cuanto aparatos de masaje estético; rodillos para masaje; rodillos para masajes en frío; Ice rollers, (rodillos para masaje en frio) rollos de masaje eléctricos; sillones de masaje con aparato de masaje integrado; sillones de masaje eléctricos; sillones para masaje shiatsu; vibradores de masaje eléctricos; dispositivos de ayuda para dormir que inducen el sueño mediante la emisión de aromas; dispositivos de ayuda para dormir, a saber, aparatos para la inducción del sueño mediante la emisión de sonidos, aromas o luz; dispositivos de ayuda para dormir, a saber, aparatos para la inducción del sueño mediante la emisión de sonidos, aromas o luz;aparatos para masajes de reflexología facial; aparatos de acupuntura.
35. Asesoramiento sobre productos de consumo en relación con productos cosméticos; investigación de marketing en el ámbito de los productos cosméticos, la perfumería y los productos de belleza; servicio de distribución comercial en el ámbito de los cosméticos; servicios de agencia de ventas de productos cosméticos; servicios de agencia de ventas de utensilios cosméticos; servicios de distribución comercial al por mayor de productos cosméticos; servicios de información sobre productos de consumo relacionados con productos cosméticos; servicios de publicidad en relación con productos cosméticos; servicios de revendedores en el ámbito de los cosméticos; servicios de venta de tienda al por menor en línea de productos cosméticos y de belleza; servicios de venta de tienda al por menor en línea que incluyen productos cosméticos y de belleza; servicios de venta de tienda minorista en línea de productos cosméticos y de belleza; servicios de venta de tienda minorista en línea en relación con productos cosméticos y de belleza; servicios de venta de tienda minorista en línea que incluyen productos cosméticos y de belleza; servicios de venta minorista en línea de cosméticos; servicios de venta minorista en línea de productos cosméticos; servicios de venta minorista en línea de productos cosméticos y de belleza, así como de prendas de vestir y complementos; servicios de venta minorista en línea en relación con productos cosméticos; servicios de venta minorista o mayorista de productos cosméticos; servicios de venta minorista o mayorista de productos cosméticos, productos de tocador, dentífricos, jabones y detergentes; servicios de venta minorista por correspondencia de cosméticos; servicios de venta minorista por correspondencia de productos cosméticos; servicios de agencia de ventas de productos de maquillaje; servicios de tiendas mayoristas de preparaciones de maquillaje; servicios de tiendas mayoristas de archivos de música descargables; servicios de tiendas mayoristas de publicaciones electrónicas descargables; servicios de tiendas mayoristas en línea de archivos de música descargables; servicios de tiendas mayoristas en línea de publicaciones electrónicas descargables; servicios de tiendas minoristas de archivos de música descargables; servicios de tiendas minoristas de publicaciones electrónicas descargables; servicios de tiendas minoristas en línea de archivos de música descargables; servicios de tiendas minoristas en línea de publicaciones electrónicas descargables; servicios de venta minorista en relación con publicaciones electrónicas descargables.
</x:t>
        </x:is>
      </x:c>
      <x:c r="L241" s="3" t="inlineStr">
        <x:is>
          <x:t>No</x:t>
        </x:is>
      </x:c>
      <x:c r="M241" s="3" t="inlineStr">
        <x:is>
          <x:t/>
        </x:is>
      </x:c>
      <x:c r="N241" s="3" t="inlineStr">
        <x:is>
          <x:t/>
        </x:is>
      </x:c>
      <x:c r="O241" s="3" t="inlineStr">
        <x:is>
          <x:t>09 ago. 2022</x:t>
        </x:is>
      </x:c>
      <x:c r="P241" s="3" t="inlineStr">
        <x:is>
          <x:t/>
        </x:is>
      </x:c>
      <x:c r="Q241" s="3" t="inlineStr">
        <x:is>
          <x:t/>
        </x:is>
      </x:c>
    </x:row>
    <x:row r="242">
      <x:c r="A242" s="10" t="inlineStr">
        <x:f xml:space="preserve">HYPERLINK("http://sipi.sic.gov.co/sipi/View.ashx?4181591","SD2022/0050706")</x:f>
      </x:c>
      <x:c r="B242" s="3" t="inlineStr">
        <x:is>
          <x:t>AMARTE</x:t>
        </x:is>
      </x:c>
      <x:c r="C242" s="9" t="inlineStr">
        <x:is>
          <x:t/>
        </x:is>
      </x:c>
      <x:c r="D242" s="3" t="inlineStr">
        <x:is>
          <x:t>23 may. 2022</x:t>
        </x:is>
      </x:c>
      <x:c r="E242" s="3" t="inlineStr">
        <x:is>
          <x:t/>
        </x:is>
      </x:c>
      <x:c r="F242" s="3" t="inlineStr">
        <x:is>
          <x:t>Negada</x:t>
        </x:is>
      </x:c>
      <x:c r="G242" s="3" t="inlineStr">
        <x:is>
          <x:t/>
        </x:is>
      </x:c>
      <x:c r="H242" s="3" t="inlineStr">
        <x:is>
          <x:t>MANUELA ALEJANDRA  MARTINEZ RAMIREZ, AVENIDA LA ROSITA # 27-37, BUCARAMANGA, SANTANDER, CO</x:t>
        </x:is>
      </x:c>
      <x:c r="I242" s="3" t="inlineStr">
        <x:is>
          <x:t>3</x:t>
        </x:is>
      </x:c>
      <x:c r="J242" s="3" t="inlineStr">
        <x:is>
          <x:t>11</x:t>
        </x:is>
      </x:c>
      <x:c r="K242"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242" s="3" t="inlineStr">
        <x:is>
          <x:t>No</x:t>
        </x:is>
      </x:c>
      <x:c r="M242" s="3" t="inlineStr">
        <x:is>
          <x:t>LUZ ANGELA GOMEZ ARIAS, CARRERA 43B 14-51 OF 703, MEDELLIN, ANTIOQUIA, CO</x:t>
        </x:is>
      </x:c>
      <x:c r="N242" s="3" t="inlineStr">
        <x:is>
          <x:t/>
        </x:is>
      </x:c>
      <x:c r="O242" s="3" t="inlineStr">
        <x:is>
          <x:t>30 jun. 2022</x:t>
        </x:is>
      </x:c>
      <x:c r="P242" s="3" t="inlineStr">
        <x:is>
          <x:t/>
        </x:is>
      </x:c>
      <x:c r="Q242" s="3" t="inlineStr">
        <x:is>
          <x:t/>
        </x:is>
      </x:c>
    </x:row>
    <x:row r="243">
      <x:c r="A243" s="10" t="inlineStr">
        <x:f xml:space="preserve">HYPERLINK("http://sipi.sic.gov.co/sipi/View.ashx?4182628","SD2022/0050992")</x:f>
      </x:c>
      <x:c r="B243" s="3" t="inlineStr">
        <x:is>
          <x:t>L'AQA</x:t>
        </x:is>
      </x:c>
      <x:c r="C243" s="9" t="inlineStr">
        <x:is>
          <x:t/>
        </x:is>
      </x:c>
      <x:c r="D243" s="3" t="inlineStr">
        <x:is>
          <x:t>23 may. 2022</x:t>
        </x:is>
      </x:c>
      <x:c r="E243" s="3" t="inlineStr">
        <x:is>
          <x:t/>
        </x:is>
      </x:c>
      <x:c r="F243" s="3" t="inlineStr">
        <x:is>
          <x:t>Negada</x:t>
        </x:is>
      </x:c>
      <x:c r="G243" s="3" t="inlineStr">
        <x:is>
          <x:t>Registro L'AQA</x:t>
        </x:is>
      </x:c>
      <x:c r="H243" s="3" t="inlineStr">
        <x:is>
          <x:t>Liliana Patricia  Ocampo Sierra, Recreo, Condominio Atlantic Torre 4 Apartamento 1501, CARTAGENA, BOLIVAR, CO</x:t>
        </x:is>
      </x:c>
      <x:c r="I243" s="3" t="inlineStr">
        <x:is>
          <x:t>3</x:t>
        </x:is>
      </x:c>
      <x:c r="J243" s="3" t="inlineStr">
        <x:is>
          <x:t>11</x:t>
        </x:is>
      </x:c>
      <x:c r="K243" s="3" t="inlineStr">
        <x:is>
          <x:t>3. Jabones no medicinales; cosméticos en forma de cremas; cremas corporales [cosméticos]; cosméticos y preparaciones de cuidado personal; lociones capilares cosméticas; lociones hidratantes; productos de perfumería.
</x:t>
        </x:is>
      </x:c>
      <x:c r="L243" s="3" t="inlineStr">
        <x:is>
          <x:t>No</x:t>
        </x:is>
      </x:c>
      <x:c r="M243" s="3" t="inlineStr">
        <x:is>
          <x:t>JUAN CARLOS TORRES IBARRA, CALLE 69 # 4-48 Oficina 401 , BOGOTÁ, D.C., CO</x:t>
        </x:is>
      </x:c>
      <x:c r="N243" s="3" t="inlineStr">
        <x:is>
          <x:t/>
        </x:is>
      </x:c>
      <x:c r="O243" s="3" t="inlineStr">
        <x:is>
          <x:t>19 jul. 2022</x:t>
        </x:is>
      </x:c>
      <x:c r="P243" s="3" t="inlineStr">
        <x:is>
          <x:t/>
        </x:is>
      </x:c>
      <x:c r="Q243" s="3" t="inlineStr">
        <x:is>
          <x:t/>
        </x:is>
      </x:c>
    </x:row>
    <x:row r="244">
      <x:c r="A244" s="10" t="inlineStr">
        <x:f xml:space="preserve">HYPERLINK("http://sipi.sic.gov.co/sipi/View.ashx?4182730","SD2022/0051009")</x:f>
      </x:c>
      <x:c r="B244" s="3" t="inlineStr">
        <x:is>
          <x:t>L'AQUA</x:t>
        </x:is>
      </x:c>
      <x:c r="C244" s="9" t="inlineStr">
        <x:is>
          <x:t/>
        </x:is>
      </x:c>
      <x:c r="D244" s="3" t="inlineStr">
        <x:is>
          <x:t>23 may. 2022</x:t>
        </x:is>
      </x:c>
      <x:c r="E244" s="3" t="inlineStr">
        <x:is>
          <x:t/>
        </x:is>
      </x:c>
      <x:c r="F244" s="3" t="inlineStr">
        <x:is>
          <x:t>Negada</x:t>
        </x:is>
      </x:c>
      <x:c r="G244" s="3" t="inlineStr">
        <x:is>
          <x:t>Registro L'AQUA</x:t>
        </x:is>
      </x:c>
      <x:c r="H244" s="3" t="inlineStr">
        <x:is>
          <x:t>Liliana Patricia  Ocampo Sierra, Recreo, Condominio Atlantic Torre 4 Apartamento 1501, CARTAGENA, BOLIVAR, CO</x:t>
        </x:is>
      </x:c>
      <x:c r="I244" s="3" t="inlineStr">
        <x:is>
          <x:t>3</x:t>
        </x:is>
      </x:c>
      <x:c r="J244" s="3" t="inlineStr">
        <x:is>
          <x:t>11</x:t>
        </x:is>
      </x:c>
      <x:c r="K244" s="3" t="inlineStr">
        <x:is>
          <x:t>3. Jabones no medicinales; cosméticos en forma de cremas; cremas corporales [cosméticos]; cosméticos y preparaciones de cuidado personal; lociones capilares cosméticas; lociones hidratantes; productos de perfumería.
</x:t>
        </x:is>
      </x:c>
      <x:c r="L244" s="3" t="inlineStr">
        <x:is>
          <x:t>Sí</x:t>
        </x:is>
      </x:c>
      <x:c r="M244" s="3" t="inlineStr">
        <x:is>
          <x:t>JUAN CARLOS TORRES IBARRA, CALLE 69 # 4-48 Oficina 401 , BOGOTÁ, D.C., CO</x:t>
        </x:is>
      </x:c>
      <x:c r="N244" s="3" t="inlineStr">
        <x:is>
          <x:t/>
        </x:is>
      </x:c>
      <x:c r="O244" s="3" t="inlineStr">
        <x:is>
          <x:t>19 jul. 2022</x:t>
        </x:is>
      </x:c>
      <x:c r="P244" s="3" t="inlineStr">
        <x:is>
          <x:t/>
        </x:is>
      </x:c>
      <x:c r="Q244" s="3" t="inlineStr">
        <x:is>
          <x:t/>
        </x:is>
      </x:c>
    </x:row>
    <x:row r="245">
      <x:c r="A245" s="10" t="inlineStr">
        <x:f xml:space="preserve">HYPERLINK("http://sipi.sic.gov.co/sipi/View.ashx?4183041","SD2022/0051062")</x:f>
      </x:c>
      <x:c r="B245" s="3" t="inlineStr">
        <x:is>
          <x:t>LEIDY MAV</x:t>
        </x:is>
      </x:c>
      <x:c r="C245" s="3" t="inlineStr">
        <x:is>
          <x:t/>
        </x:is>
      </x:c>
      <x:c r="D245" s="3" t="inlineStr">
        <x:is>
          <x:t>23 may. 2022</x:t>
        </x:is>
      </x:c>
      <x:c r="E245" s="3" t="inlineStr">
        <x:is>
          <x:t/>
        </x:is>
      </x:c>
      <x:c r="F245" s="3" t="inlineStr">
        <x:is>
          <x:t>Negada</x:t>
        </x:is>
      </x:c>
      <x:c r="G245" s="3" t="inlineStr">
        <x:is>
          <x:t>LEIDY MAV</x:t>
        </x:is>
      </x:c>
      <x:c r="H245" s="3" t="inlineStr">
        <x:is>
          <x:t>ANLLY LORENA  CUERVO ALVAREZ, CRA 69D  NO. 33 B 01 INT 301, MEDELLIN,, ANTIOQUIA, CO</x:t>
        </x:is>
      </x:c>
      <x:c r="I245" s="3" t="inlineStr">
        <x:is>
          <x:t>3, 44</x:t>
        </x:is>
      </x:c>
      <x:c r="J245" s="3" t="inlineStr">
        <x:is>
          <x:t>11</x:t>
        </x:is>
      </x:c>
      <x:c r="K245" s="3" t="inlineStr">
        <x:is>
          <x:t>3. Aceite de almendras; aceite de lavanda para uso cosmético; aceite de menta [perfumería]; aceite de rosas; aceite fijador para el cabello; aceite para el peinado del cabello; aceites brillantes para el cuerpo; aceites bronceadores; aceites bronceadores [cosméticos]; aceites bronceadores de uso cosmético; aceites cosméticos; aceites cosméticos para la piel; aceites de perfumería; aceites esenciales; aceites esenciales para uso cosmético; aceites faciales; aceites para bronceado [cosméticos]; aceites para después del sol; aceites para después del sol [productos cosméticos]; aceites para el bronceado de la piel; aceites para el cabello; aceites para el cuerpo; aceites para el cuerpo de uso cosmético; aceites para masajes; aceites para uso cosmético; aceites perfumados para el cuidado de la piel; aceites solares de uso cosmético; aceites suavizantes para el cabello; aceites y lociones bronceadoras; acondicionadores de cabello; acondicionadores labiales; acondicionadores para la piel; aerosoles cosméticos de uso tópico para la piel; agua de rosas [destilados de hierbas]; agua micelar; agua oxigenada para el cabello; aguas de tocador; algodón e hisopos de algodón para uso cosmético; algodón impregnado de preparaciones desmaquillantes; alheña para uso cosmético; almizcle [producto de perfumería]; almohadillas de algodón para uso cosmético; almohadillas de limpieza impregnadas con productos cosméticos; almohadillas limpiadoras impregnadas de preparaciones de tocador; almohadillas limpiadoras impregnadas de productos cosméticos; antiojeras; aromas [aceites esenciales]; astringentes para uso cosmético; autobronceadores; autobronceadores [cosméticos]; barras de labios con protección solar [cosméticos]; barras de labios en stick con protección solar [cosméticos]; bases de maquillaje; bases de maquillaje cremosas; bases de maquillaje en crema; bases de maquillaje líquidas; bases de maquillaje para la piel; bases neutralizantes para labios; basma para uso cosmético; baños de aceite para el cuidado del cabello; baños de aceite para el cuidado del cabello de uso cosmético; bloqueador solar [cosméticos]; brillantina para el cabello; brillos corporales; brillos de labios; brillos para uso cosmético; bronceadores para la piel; bálsamo acondicionador; bálsamos [cremas] para disimular las imperfecciones de la piel; bálsamos capilares; bálsamos de belleza (cremas); bálsamos labiales; bálsamos labiales no medicinales; bálsamos para el cabello; cera depilatoria; cera para el bigote; ceras de masaje, que no sean para uso médico; ceras para el peinado del cabello; champoo para el cabello; champús acondicionadores; champús anticaspa; champús capilares; champús corporales; champús en seco*; champús no medicinales; champús y acondicionadores; cold creams; cold creams para uso cosmético; colonias, perfumes y productos cosméticos; colorantes de labios [cosméticos]; colorantes para el cabello; colorete; colorete en lápiz; colorete líquido; coloretes; coloretes en crema; composiciones para aclarar la piel [cosméticos]; correctores antiojeras; correctores de imperfecciones [productos cosméticos]; correctores de líneas y arrugas faciales; correctores de ojeras; correctores para disimular manchas e imperfecciones de la piel; cosméticos; cosméticos de belleza; cosméticos en forma de polvos; cosméticos para broncear la piel; cosméticos para cuidados corporales y estéticos; cosméticos para el cabello; cosméticos para las cejas; cosméticos para los labios; cosméticos para pestañas; cosméticos para tratamiento de belleza cosméticos para el cuidado de belleza; cosméticos y preparaciones de cuidado personal; crema corporal; crema para aclarar la piel; cremas acondicionadoras; cremas antiarrugas; cremas antienvejecimiento; cremas autobronceadoras; cremas bronceadoras; cremas bronceadoras para la piel; cremas capilares; cremas con filtro solar; cremas contra las pecas; cremas corporales; cremas cosméticas para el cuidado de la piel; cremas de afeitar; cremas de belleza para el rostro y el cuerpo; cremas de noche; cremas de protección solar; cremas depilatorias; cremas desmaquillantes; cremas emolientes reparadoras para el cuidado diario de la piel; cremas exfoliantes; cremas faciales; cremas hidratantes; cremas limpiadoras para la piel; cremas para aclarar la piel; cremas para después del afeitado; cremas para el cabello; cremas para el cuero; cremas para el rostro y el cuerpo; cremas para los labios; cremas para los ojos; cremas para reducir la celulitis; cremas reparadoras para la piel [cosméticos]; cremas tonificantes [cosméticos]; cremas y geles cosméticos para cara, manos y cuerpo; cremas, aceites, lociones y preparaciones limpiadoras e hidratantes; cremas, aceites, lociones, aerosoles, lápices y bálsamos para uso cosmético; cremas, leches, lociones, geles y polvos cosméticos para la cara, el cuerpo y las manos; decolorantes capilares; decolorantes para uso cosmético; depilatorios; desmaquilladores; desmaquillantes de ojos; desodorantes para el cuerpo; desodorantes y antitranspirantes para uso personal; emulsiones faciales; emulsiones para el cuerpo; emulsiones para el cuerpo de uso cosmético; enjuagues de color para el cabello; espumas [cosméticas]; espumas limpiadoras para uso personal; exfoliantes [preparaciones cosméticas]; fijadores para el cabello; geles antienvejecimiento; geles bronceadores; geles capilares; geles cosméticos; geles para el bronceado de la piel; geles para el cuerpo y la cara [cosméticos]; geles para uso cosmético; henna para uso cosmético; hidratantes [cosméticos]; jabones cosméticos; jabones para el cuidado del cuerpo; jabones para uso personal; kits de maquillaje; leches bronceadoras; leches de limpieza facial; leches desmaquillantes; leches hidratantes; leches para después del sol; leches y lociones para el rostro; limpiadores faciales; lociones bronceadoras; lociones capilares cosméticas; lociones para el cuidado del rostro y del cuerpo; manteca corporal para uso cosmético; maquillaje [cosméticos]; mascarillas corporales; mascarillas cosméticas; mascarillas faciales; mascarillas para el cabello; paños impregnados con sustancias cosméticas; paños impregnados de productos de limpieza para la piel; perfumería y fragancias; polvos cosméticos; pomadas para uso cosmético; preparaciones con filtro solar; preparaciones cosméticas; preparaciones de cuidado corporal y de belleza para uso cosmético; preparaciones de maquillaje para el rostro y el cuerpo; preparaciones hidratantes; preparaciones limpiadoras de uso personal; productos cosméticos para uso personal; productos de maquillaje; productos de perfumería; reafirmantes en gel para el cuerpo para uso cosmético; revitalizantes para el cabello; revitalizantes para la piel [cosméticos]; rubores para las mejillas; sales de baño cosméticas; sombras de ojos; sueros de belleza; sueros faciales; sueros para uso cosmético; tintes cosméticos; tiras para eliminar los puntos negros; toallitas cosméticas impregnadas; tónicos para uso cosmético.
44. Servicios médicos; servicios veterinarios; spa, tratamientos de higiene y de belleza para personas o animales; servicios de agricultura, horticultura y silvicultura.
</x:t>
        </x:is>
      </x:c>
      <x:c r="L245" s="3" t="inlineStr">
        <x:is>
          <x:t>No</x:t>
        </x:is>
      </x:c>
      <x:c r="M245" s="3" t="inlineStr">
        <x:is>
          <x:t/>
        </x:is>
      </x:c>
      <x:c r="N245" s="3" t="inlineStr">
        <x:is>
          <x:t/>
        </x:is>
      </x:c>
      <x:c r="O245" s="3" t="inlineStr">
        <x:is>
          <x:t>31 may. 2022</x:t>
        </x:is>
      </x:c>
      <x:c r="P245" s="3" t="inlineStr">
        <x:is>
          <x:t/>
        </x:is>
      </x:c>
      <x:c r="Q245" s="3" t="inlineStr">
        <x:is>
          <x:t/>
        </x:is>
      </x:c>
    </x:row>
    <x:row r="246">
      <x:c r="A246" s="10" t="inlineStr">
        <x:f xml:space="preserve">HYPERLINK("http://sipi.sic.gov.co/sipi/View.ashx?4183776","SD2022/0052738")</x:f>
      </x:c>
      <x:c r="B246" s="3" t="inlineStr">
        <x:is>
          <x:t>MAVKA CONSCIOUS</x:t>
        </x:is>
      </x:c>
      <x:c r="C246" s="9" t="inlineStr">
        <x:is>
          <x:t/>
        </x:is>
      </x:c>
      <x:c r="D246" s="3" t="inlineStr">
        <x:is>
          <x:t>26 may. 2022</x:t>
        </x:is>
      </x:c>
      <x:c r="E246" s="3" t="inlineStr">
        <x:is>
          <x:t/>
        </x:is>
      </x:c>
      <x:c r="F246" s="3" t="inlineStr">
        <x:is>
          <x:t>Negada</x:t>
        </x:is>
      </x:c>
      <x:c r="G246" s="3" t="inlineStr">
        <x:is>
          <x:t>Mavka Conscious</x:t>
        </x:is>
      </x:c>
      <x:c r="H246" s="3" t="inlineStr">
        <x:is>
          <x:t>Diana Carolina  Sierra Cardenas, Calle 2 sur 43c-103, MEDELLIN, ANTIOQUIA, CO</x:t>
        </x:is>
      </x:c>
      <x:c r="I246" s="3" t="inlineStr">
        <x:is>
          <x:t>3, 35</x:t>
        </x:is>
      </x:c>
      <x:c r="J246" s="3" t="inlineStr">
        <x:is>
          <x:t>11</x:t>
        </x:is>
      </x:c>
      <x:c r="K246" s="3" t="inlineStr">
        <x:is>
          <x:t>3. Abrillantadores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tratamientos para permanentes capilares; champúes para el cabello; champúes para el cabello a base de cáñamo; champús 3 en 1; champús acondicionadores; champús anticaspa; champús corporales; champús de ph neutro; champús en barritas sólidas; champús en seco*; champús equilibrados de ph; champús no medicinales; champús no medicinales contra la caspa; cremas acondicionadoras; productos de enjuague para el cabello [champús acondicionadores]; aceites hidratantes intensivos; aceites para el cabello; aceites suavizantes para el cabello; acondicionadores de cabello; acondicionadores en barritas sólidas para el cabello; acondicionadores para el cabello; champús para el cabello; champús para el cabello humano; champús para el cabello y el cuerpo; champús y acondicionadores; champús y acondicionadores para el cabello; champús*; colorantes para el cabello; tintes y decolorantes para el cabello; enjuagues de color para el cabello; enjuagues de color para el pelo; enjuagues para el cabello; enjuagues para el cabello de uso cosmético; geles de protección para el cabello; geles para dar forma al cabello; geles para el cabello; geles para el peinado; geles para el peinado del cabello; geles para uso en el cabello; geles y espumas para el cabello; geles, espráis, espumas y bálsamos para peinar y cuidar el cabello; lacas y geles fijadores para el cabello; jabones líquidos para el cabello y el cuerpo; lociones de protección para el cabello; lociones para rizar el cabello; lociones, cremas y preparaciones para el cuidado del rostro, cuerpo, cuero cabelludo, uñas y cabello; lociones para el cabello; lociones para el cabello de uso cosmético; preparación nutritiva para el cabello; preparaciónes nutritiva para el cabello; preparaciones para alisar el cabello; preparaciones para desrizar el cabello; productos para desrizar el cabello; preparaciones para el cuidado del cabello; preparaciones para el cuidado del cuero cabelludo y del cabello; preparaciones para el tratamiento de coloración permanente del cabello; preparaciones para el tratamiento de permanente de coloración del cabello; preparados para el tratamiento de coloración permanente del cabello; preparados para el tratamiento de permanente de coloración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teñir, colorear, decolorar, marcar y peinar el cabello; preparaciones para teñir el cabello; preparaciones para teñir y decolorar el cabello; productos de textura para el cabello; productos para aclarar el cabello; suavizantes para el cabello; suavizantes para el cabello de uso cosmético; tonificantes para el cabello; tonificantes para el cabello para uso cosmético.
35. Publicidad; gestión de negocios comerciales; administración comercial; trabajos de oficina. Compra, venta, importación, distribución y exportación de preparaciones cosméticas, productos de belleza, lociones, perfumes, cremas, polvos, jabones, desodorantes y demás artículos relacionados con el arte cosméticos y cuidado personal para usos femenino y masculino, toda clase de productos de higiene personal, productos farmacéuticos, fitoterapéuticos, materias primas adecuadas para la elaboración de los artículos anteriores.
</x:t>
        </x:is>
      </x:c>
      <x:c r="L246" s="3" t="inlineStr">
        <x:is>
          <x:t>No</x:t>
        </x:is>
      </x:c>
      <x:c r="M246" s="3" t="inlineStr">
        <x:is>
          <x:t/>
        </x:is>
      </x:c>
      <x:c r="N246" s="3" t="inlineStr">
        <x:is>
          <x:t/>
        </x:is>
      </x:c>
      <x:c r="O246" s="3" t="inlineStr">
        <x:is>
          <x:t>08 jul. 2022</x:t>
        </x:is>
      </x:c>
      <x:c r="P246" s="3" t="inlineStr">
        <x:is>
          <x:t/>
        </x:is>
      </x:c>
      <x:c r="Q246" s="3" t="inlineStr">
        <x:is>
          <x:t/>
        </x:is>
      </x:c>
    </x:row>
    <x:row r="247">
      <x:c r="A247" s="10" t="inlineStr">
        <x:f xml:space="preserve">HYPERLINK("http://sipi.sic.gov.co/sipi/View.ashx?4187085","SD2022/0051979")</x:f>
      </x:c>
      <x:c r="B247" s="3" t="inlineStr">
        <x:is>
          <x:t>CAKAILA</x:t>
        </x:is>
      </x:c>
      <x:c r="C247" s="3" t="inlineStr">
        <x:is>
          <x:t/>
        </x:is>
      </x:c>
      <x:c r="D247" s="3" t="inlineStr">
        <x:is>
          <x:t>25 may. 2022</x:t>
        </x:is>
      </x:c>
      <x:c r="E247" s="3" t="inlineStr">
        <x:is>
          <x:t/>
        </x:is>
      </x:c>
      <x:c r="F247" s="3" t="inlineStr">
        <x:is>
          <x:t>Negada</x:t>
        </x:is>
      </x:c>
      <x:c r="G247" s="3" t="inlineStr">
        <x:is>
          <x:t>S - SD - CAKAILA</x:t>
        </x:is>
      </x:c>
      <x:c r="H247" s="3" t="inlineStr">
        <x:is>
          <x:t>MING JIN, Cra 76a # 131-60, BOGOTÁ, D.C., CO</x:t>
        </x:is>
      </x:c>
      <x:c r="I247" s="3" t="inlineStr">
        <x:is>
          <x:t>3</x:t>
        </x:is>
      </x:c>
      <x:c r="J247" s="3" t="inlineStr">
        <x:is>
          <x:t>11</x:t>
        </x:is>
      </x:c>
      <x:c r="K247" s="3" t="inlineStr">
        <x:is>
          <x:t>3. Cosméticos, jabones no medicinales; productos de perfumería, aceites esenciales, lociones capilares no medicinales.
</x:t>
        </x:is>
      </x:c>
      <x:c r="L247" s="3" t="inlineStr">
        <x:is>
          <x:t>No</x:t>
        </x:is>
      </x:c>
      <x:c r="M247" s="3" t="inlineStr">
        <x:is>
          <x:t>WILLIAM ORLANDO  QUIROGA, Carrera 13 No. 32-93. Torre 3, Oficina 708. Parque Central Baviera., BOGOTA, CUNDINAMARCA, CO</x:t>
        </x:is>
      </x:c>
      <x:c r="N247" s="3" t="inlineStr">
        <x:is>
          <x:t/>
        </x:is>
      </x:c>
      <x:c r="O247" s="3" t="inlineStr">
        <x:is>
          <x:t>30 jun. 2022</x:t>
        </x:is>
      </x:c>
      <x:c r="P247" s="3" t="inlineStr">
        <x:is>
          <x:t/>
        </x:is>
      </x:c>
      <x:c r="Q247" s="3" t="inlineStr">
        <x:is>
          <x:t/>
        </x:is>
      </x:c>
    </x:row>
    <x:row r="248">
      <x:c r="A248" s="10" t="inlineStr">
        <x:f xml:space="preserve">HYPERLINK("http://sipi.sic.gov.co/sipi/View.ashx?4187280","SD2022/0052029")</x:f>
      </x:c>
      <x:c r="B248" s="3" t="inlineStr">
        <x:is>
          <x:t>MIRADA</x:t>
        </x:is>
      </x:c>
      <x:c r="C248" s="9" t="inlineStr">
        <x:is>
          <x:t/>
        </x:is>
      </x:c>
      <x:c r="D248" s="3" t="inlineStr">
        <x:is>
          <x:t>25 may. 2022</x:t>
        </x:is>
      </x:c>
      <x:c r="E248" s="3" t="inlineStr">
        <x:is>
          <x:t/>
        </x:is>
      </x:c>
      <x:c r="F248" s="3" t="inlineStr">
        <x:is>
          <x:t>Negada</x:t>
        </x:is>
      </x:c>
      <x:c r="G248" s="3" t="inlineStr">
        <x:is>
          <x:t>Angelly</x:t>
        </x:is>
      </x:c>
      <x:c r="H248" s="3" t="inlineStr">
        <x:is>
          <x:t>Angelly Vanessa Gonzalez Quiñonez, calle 44 #99-42, MEDELLIN, ANTIOQUIA, CO</x:t>
        </x:is>
      </x:c>
      <x:c r="I248" s="3" t="inlineStr">
        <x:is>
          <x:t>3</x:t>
        </x:is>
      </x:c>
      <x:c r="J248" s="3" t="inlineStr">
        <x:is>
          <x:t>11</x:t>
        </x:is>
      </x:c>
      <x:c r="K248" s="3" t="inlineStr">
        <x:is>
          <x:t>3. Cosméticos para las cejas; kits de cosméticos que contienen principalmente máscara de pestañas, lápices de labios, lápices de cejas, maquillaje, fundación de maquillaje y brillos de labios; geles para el peinado de las cejas; polvo de cejas; lápices de cejas; aceite para el peinado del cabello; aceites bronceadores; aceites de tocador; aceites faciales; aceites para el cabello; adhesivos para la fijación de cejas postizas; adhesivos para pestañas, cabello y uñas postizos; agua de rosas [destilados de hierbas]; agua micelar; almohadillas de algodón para desmaquillar; bálsamos labiales; basma [tinte para uso cosmético]; bloqueador solar [cosméticos]; brillos de labios; champús; champús para bebés; colorantes para el cabello; cosméticos para pestañas; cosméticos para los labios; crema para aclarar la piel; cremas, aceites, lociones y preparaciones limpiadoras e hidratantes; cremas depilatorias; cremas exfoliantes; cremas exfoliantes para la cara y el cuerpo; cremas no medicinales para aclarar la piel; desmaquilladores; desmaquillantes de ojos; desodorantes de alumbre; exfoliantes faciales; exfoliantes para la cara; exfoliantes para labios; exfoliantes para el cuerpo de uso cosmético; henna [tinte cosmético]; kits de maquillaje; lápices de ojos; leches, geles, lociones y cremas desmaquillantes; maquillaje; máscara de pestañas; máscara para pestañas largas; pestañas postizas; piedras de alumbre [astringentes]; preparaciones antiarrugas para el cuidado de la piel; preparaciones antienvejecimiento para el cuidado de la piel; preparaciones blanqueadoras; preparaciones bronceadoras y de protección solar; preparaciones capilares a base de aceite de coco virgen ecológico y de aceite de coco virgen; productos depilatorios; tintes para cejas; tintes para pestañas; jabones cosméticos; productos cosméticos para las pestañas; productos cosméticos para el cabello y el cuero cabelludo.
</x:t>
        </x:is>
      </x:c>
      <x:c r="L248" s="3" t="inlineStr">
        <x:is>
          <x:t>No</x:t>
        </x:is>
      </x:c>
      <x:c r="M248" s="3" t="inlineStr">
        <x:is>
          <x:t/>
        </x:is>
      </x:c>
      <x:c r="N248" s="3" t="inlineStr">
        <x:is>
          <x:t/>
        </x:is>
      </x:c>
      <x:c r="O248" s="3" t="inlineStr">
        <x:is>
          <x:t>08 jul. 2022</x:t>
        </x:is>
      </x:c>
      <x:c r="P248" s="3" t="inlineStr">
        <x:is>
          <x:t/>
        </x:is>
      </x:c>
      <x:c r="Q248" s="3" t="inlineStr">
        <x:is>
          <x:t/>
        </x:is>
      </x:c>
    </x:row>
    <x:row r="249">
      <x:c r="A249" s="10" t="inlineStr">
        <x:f xml:space="preserve">HYPERLINK("http://sipi.sic.gov.co/sipi/View.ashx?4187894","SD2022/0052150")</x:f>
      </x:c>
      <x:c r="B249" s="3" t="inlineStr">
        <x:is>
          <x:t>Bio-ekon</x:t>
        </x:is>
      </x:c>
      <x:c r="C249" s="9" t="inlineStr">
        <x:is>
          <x:t/>
        </x:is>
      </x:c>
      <x:c r="D249" s="3" t="inlineStr">
        <x:is>
          <x:t>25 may. 2022</x:t>
        </x:is>
      </x:c>
      <x:c r="E249" s="3" t="inlineStr">
        <x:is>
          <x:t/>
        </x:is>
      </x:c>
      <x:c r="F249" s="3" t="inlineStr">
        <x:is>
          <x:t>Negada</x:t>
        </x:is>
      </x:c>
      <x:c r="G249" s="3" t="inlineStr">
        <x:is>
          <x:t/>
        </x:is>
      </x:c>
      <x:c r="H249" s="3" t="inlineStr">
        <x:is>
          <x:t>ANA MARIA SUAREZ BERNAL, Av Boyaca No. 64 F 56, BOGOTÁ, D.C., CO</x:t>
        </x:is>
      </x:c>
      <x:c r="I249" s="3" t="inlineStr">
        <x:is>
          <x:t>3</x:t>
        </x:is>
      </x:c>
      <x:c r="J249" s="3" t="inlineStr">
        <x:is>
          <x:t>11</x:t>
        </x:is>
      </x:c>
      <x:c r="K249" s="3" t="inlineStr">
        <x:is>
          <x:t>3. Desengrasantes con base solvente; preparaciones desengrasantes para uso doméstico; preparaciones desengrasantes para uso en la piel; productos desengrasantes que no sean para procesos de fabricación; solventes desengrasantes, que no sean para procesos de fabricación; crema limpiadora; cremas limpiadoras; cremas limpiadoras [cosméticos]; limpiadores con base solvente; limpiadores para alfombras; limpiadores para tapizados; paños desechables impregnados de compuestos limpiadores para uso facial; paños desechables impregnados de productos químicos o compuestos limpiadores para la higiene personal; paños húmedos para limpiar, desempolvar o lustrar; paños impregnados de productos limpiadores para la piel; polímeros impermeabilizantes para limpiar, lustrar y proteger las superficies exteriores de automóviles; preparaciones limpiadoras de uso personal; preparaciones limpiadoras para cueros; preparaciones limpiadoras y pulidoras; preparaciones para limpiar pisos; preparaciones para limpiar, fregar y raspar; preparaciones para limpiar, lustrar y fregar; preparaciones y sustancias para limpiar y lavar; preparaciones y sustancias para limpiar, fregar y pulir; productos para limpiar papel pintado; productos para limpiar papel tapiz; detergentes para uso doméstico con propiedades desinfectantes; detergente líquido; jabón de afeitar; jabón de almendras; jabón de aloe vera; jabón de baño; jabón en polvo; jabón en polvo para la colada; jabón en polvo para lavar; jabón en seco; jabón granulado; jabón líquido para baños de pies; jabón líquido para el cuerpo; jabón líquido para la colada; jabón líquido para lavar la loza; jabón líquido para lavar la ropa; jabón líquido para lavar la vajilla; líquidos para lavarse las manos no medicinales a base de jabón; papel de jabón para uso personal; pastillas de jabón; pastillas de jabón para el cuerpo; preparaciones de jabón no medicinales; productos de jabón; productos de jabón no medicinales; soluciones para el lavado de la cara a base de jabón, no medicinales; soluciones para el lavado de manos a base de jabón, no medicinales.
</x:t>
        </x:is>
      </x:c>
      <x:c r="L249" s="3" t="inlineStr">
        <x:is>
          <x:t>Sí</x:t>
        </x:is>
      </x:c>
      <x:c r="M249" s="3" t="inlineStr">
        <x:is>
          <x:t/>
        </x:is>
      </x:c>
      <x:c r="N249" s="3" t="inlineStr">
        <x:is>
          <x:t/>
        </x:is>
      </x:c>
      <x:c r="O249" s="3" t="inlineStr">
        <x:is>
          <x:t>30 jun. 2022</x:t>
        </x:is>
      </x:c>
      <x:c r="P249" s="3" t="inlineStr">
        <x:is>
          <x:t/>
        </x:is>
      </x:c>
      <x:c r="Q249" s="3" t="inlineStr">
        <x:is>
          <x:t/>
        </x:is>
      </x:c>
    </x:row>
    <x:row r="250">
      <x:c r="A250" s="10" t="inlineStr">
        <x:f xml:space="preserve">HYPERLINK("http://sipi.sic.gov.co/sipi/View.ashx?4187922","SD2022/0052157")</x:f>
      </x:c>
      <x:c r="B250" s="3" t="inlineStr">
        <x:is>
          <x:t>Bio-eko</x:t>
        </x:is>
      </x:c>
      <x:c r="C250" s="9" t="inlineStr">
        <x:is>
          <x:t/>
        </x:is>
      </x:c>
      <x:c r="D250" s="3" t="inlineStr">
        <x:is>
          <x:t>25 may. 2022</x:t>
        </x:is>
      </x:c>
      <x:c r="E250" s="3" t="inlineStr">
        <x:is>
          <x:t/>
        </x:is>
      </x:c>
      <x:c r="F250" s="3" t="inlineStr">
        <x:is>
          <x:t>Negada</x:t>
        </x:is>
      </x:c>
      <x:c r="G250" s="3" t="inlineStr">
        <x:is>
          <x:t/>
        </x:is>
      </x:c>
      <x:c r="H250" s="3" t="inlineStr">
        <x:is>
          <x:t>ANA MARIA SUAREZ BERNAL, Av Boyaca No. 64 F 56, BOGOTÁ, D.C., CO</x:t>
        </x:is>
      </x:c>
      <x:c r="I250" s="3" t="inlineStr">
        <x:is>
          <x:t>3</x:t>
        </x:is>
      </x:c>
      <x:c r="J250" s="3" t="inlineStr">
        <x:is>
          <x:t>11</x:t>
        </x:is>
      </x:c>
      <x:c r="K250" s="3" t="inlineStr">
        <x:is>
          <x:t>3. Desengrasantes con base solvente; preparaciones desengrasantes para uso doméstico; productos desengrasantes que no sean para procesos de fabricación; solventes desengrasantes, que no sean para procesos de fabricación; cera antideslizante para pisos; ceras para pisos; compuestos para pulir pisos; líquidos antideslizantes para pisos; preparaciones decapantes para el piso; preparaciones para limpiar pisos; preparaciones para quitar la cera de los pisos; productos para lustrar pisos; productos para pulir muebles y pisos; limpiadores con base solvente; limpiadores para tapizados; limpiadores para uso doméstico; líquidos y polvos de uso general para limpiar, lustrar y raspar; paños desechables impregnados de productos o compuestos químicos limpiadores para uso industrial o comercial; paños húmedos para limpiar, desempolvar o lustrar; paños impregnados de preparaciones abrillantadoras para limpiar; preparaciones limpiadoras para cueros; preparaciones limpiadoras para tejidos; preparaciones limpiadoras y pulidoras; preparaciones para limpiar alfombras; preparaciones para limpiar, fregar y raspar; preparaciones para limpiar, lavar y pulir; preparaciones para limpiar, lustrar y fregar; preparaciones para limpiar, pulir, desengrasar y raspar; preparaciones para limpiar, pulir, fregar y raspar; preparaciones y sustancias para limpiar y lavar; preparaciones y sustancias para limpiar, fregar y pulir; detergentes para uso doméstico con propiedades desinfectantes; amoniaco [álcali volátil] [detergente]; amoníaco [álcali volátil] [detergente]; detergente líquido; detergentes a base de petróleo; detergentes a base de petróleo [para uso doméstico]; detergentes a base de silicio; detergentes comerciales para lavanderías; detergentes de espuma para uso doméstico; detergentes en comprimidos para lavavajillas; detergentes en gel para lavavajillas; detergentes en polvo para la colada; detergentes en polvo para la ropa; detergentes en polvo para lavavajillas; detergentes jabonosos para uso doméstico; detergentes líquidos para lavavajillas; detergentes para automóviles; detergentes para coches; detergentes para el cuero; detergentes para el hogar; detergentes para el lavado de coches y camiones; detergentes para inodoros; detergentes para la colada; detergentes para la limpieza de la ropa para uso doméstico; detergentes para la limpieza que no sean para procesos de fabricación; detergentes para las manos; detergentes para lavado manual de la vajilla; detergentes para lavar los platos; detergentes que no sean para procesos de fabricación ni para uso médico; jabón de afeitar; jabón de almendras; jabón de aloe vera; jabón de baño; jabón en polvo; jabón en polvo para la colada; jabón en polvo para lavar; jabón en seco; jabón granulado; jabón líquido para baños de pies; jabón líquido para el cuerpo; jabón líquido para la colada; jabón líquido para lavar la loza; jabón líquido para lavar la ropa; jabón líquido para lavar la vajilla; líquidos para lavarse las manos no medicinales a base de jabón; papel de jabón para uso personal; pastillas de jabón; pastillas de jabón para el cuerpo; preparaciones de jabón no medicinales; productos de jabón; productos de jabón no medicinales; soluciones para el lavado de la cara a base de jabón, no medicinales; soluciones para el lavado de manos a base de jabón, no medicinales.
</x:t>
        </x:is>
      </x:c>
      <x:c r="L250" s="3" t="inlineStr">
        <x:is>
          <x:t>Sí</x:t>
        </x:is>
      </x:c>
      <x:c r="M250" s="3" t="inlineStr">
        <x:is>
          <x:t/>
        </x:is>
      </x:c>
      <x:c r="N250" s="3" t="inlineStr">
        <x:is>
          <x:t/>
        </x:is>
      </x:c>
      <x:c r="O250" s="3" t="inlineStr">
        <x:is>
          <x:t>30 jun. 2022</x:t>
        </x:is>
      </x:c>
      <x:c r="P250" s="3" t="inlineStr">
        <x:is>
          <x:t/>
        </x:is>
      </x:c>
      <x:c r="Q250" s="3" t="inlineStr">
        <x:is>
          <x:t/>
        </x:is>
      </x:c>
    </x:row>
    <x:row r="251">
      <x:c r="A251" s="10" t="inlineStr">
        <x:f xml:space="preserve">HYPERLINK("http://sipi.sic.gov.co/sipi/View.ashx?4188651","SD2022/0052384")</x:f>
      </x:c>
      <x:c r="B251" s="3" t="inlineStr">
        <x:is>
          <x:t>PLATIN DUNAMIS PROFESIONAL</x:t>
        </x:is>
      </x:c>
      <x:c r="C251" s="9" t="inlineStr">
        <x:is>
          <x:t/>
        </x:is>
      </x:c>
      <x:c r="D251" s="3" t="inlineStr">
        <x:is>
          <x:t>26 may. 2022</x:t>
        </x:is>
      </x:c>
      <x:c r="E251" s="3" t="inlineStr">
        <x:is>
          <x:t/>
        </x:is>
      </x:c>
      <x:c r="F251" s="3" t="inlineStr">
        <x:is>
          <x:t>Negada</x:t>
        </x:is>
      </x:c>
      <x:c r="G251" s="3" t="inlineStr">
        <x:is>
          <x:t>PLATIN DUNAMIS</x:t>
        </x:is>
      </x:c>
      <x:c r="H251" s="3" t="inlineStr">
        <x:is>
          <x:t>Jose Vicente Escalona Coronil, cll 88 Sur  Nº 88c - 90, BOGOTÁ, D.C., CO</x:t>
        </x:is>
      </x:c>
      <x:c r="I251" s="3" t="inlineStr">
        <x:is>
          <x:t>3</x:t>
        </x:is>
      </x:c>
      <x:c r="J251" s="3" t="inlineStr">
        <x:is>
          <x:t>11</x:t>
        </x:is>
      </x:c>
      <x:c r="K251" s="3" t="inlineStr">
        <x:is>
          <x:t>3.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tratamientos para permanentes capilares;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espumas y geles para peinar el cabello; fijadores para el cabello; geles para el cabello; geles para el peinado del cabello; geles para uso en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pomadas para el cabello; pomadas para el cabello de uso cosmético; preparaciones cosméticas para el cuidado del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aceites faciales; brillos faciales; brillos faciales y corporales; corrector facial; cremas faciales; cremas no medicadas para exfoliantes faciales; cremas orgánicas de estiramiento facial; emulsiones faciales; emulsiones faciales de vitalidad; emulsiones faciales para uso cosmético; exfoliantes faciales; hidratantes faciales; hidratantes faciales [cosméticos]; hidratantes faciales de uso cosmético; jabones faciales; leches de limpieza facial; lociones faciales; lociones faciales [cosméticos]; lociones faciales no medicadas; maquillajes faciales;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limpiadoras para faciales.
</x:t>
        </x:is>
      </x:c>
      <x:c r="L251" s="3" t="inlineStr">
        <x:is>
          <x:t>No</x:t>
        </x:is>
      </x:c>
      <x:c r="M251" s="3" t="inlineStr">
        <x:is>
          <x:t/>
        </x:is>
      </x:c>
      <x:c r="N251" s="3" t="inlineStr">
        <x:is>
          <x:t/>
        </x:is>
      </x:c>
      <x:c r="O251" s="3" t="inlineStr">
        <x:is>
          <x:t>30 jun. 2022</x:t>
        </x:is>
      </x:c>
      <x:c r="P251" s="3" t="inlineStr">
        <x:is>
          <x:t/>
        </x:is>
      </x:c>
      <x:c r="Q251" s="3" t="inlineStr">
        <x:is>
          <x:t/>
        </x:is>
      </x:c>
    </x:row>
    <x:row r="252">
      <x:c r="A252" s="10" t="inlineStr">
        <x:f xml:space="preserve">HYPERLINK("http://sipi.sic.gov.co/sipi/View.ashx?4188832","SD2022/0052409")</x:f>
      </x:c>
      <x:c r="B252" s="3" t="inlineStr">
        <x:is>
          <x:t>Herago in the street</x:t>
        </x:is>
      </x:c>
      <x:c r="C252" s="9" t="inlineStr">
        <x:is>
          <x:t/>
        </x:is>
      </x:c>
      <x:c r="D252" s="3" t="inlineStr">
        <x:is>
          <x:t>26 may. 2022</x:t>
        </x:is>
      </x:c>
      <x:c r="E252" s="3" t="inlineStr">
        <x:is>
          <x:t/>
        </x:is>
      </x:c>
      <x:c r="F252" s="3" t="inlineStr">
        <x:is>
          <x:t>Negada</x:t>
        </x:is>
      </x:c>
      <x:c r="G252" s="3" t="inlineStr">
        <x:is>
          <x:t>Herago in the street</x:t>
        </x:is>
      </x:c>
      <x:c r="H252" s="3" t="inlineStr">
        <x:is>
          <x:t>FELIPE LOPERA ARISTIZABAL, CR 82 C # 30 A - 105 AP 615, MEDELLIN, ANTIOQUIA, CO</x:t>
        </x:is>
      </x:c>
      <x:c r="I252" s="3" t="inlineStr">
        <x:is>
          <x:t>3</x:t>
        </x:is>
      </x:c>
      <x:c r="J252" s="3" t="inlineStr">
        <x:is>
          <x:t>11</x:t>
        </x:is>
      </x:c>
      <x:c r="K252" s="3" t="inlineStr">
        <x:is>
          <x:t>3. Cosméticos de belleza; cosméticos ecológicos; cosméticos en forma de cremas; cosméticos en forma de polvos; cosméticos naturales; cosméticos no medicinales; cosméticos orgánicos; cosméticos para broncear la piel; cosméticos para el cabello; cosméticos para el cuero cabelludo; cosméticos para el cuidado del cuerpo; cosméticos para tratamiento de belleza cosméticos para el cuidado de belleza; cosméticos y preparaciones cosméticas; cremas y geles cosméticos para cara, manos y cuerpo; productos cosméticos de baño y ducha.
</x:t>
        </x:is>
      </x:c>
      <x:c r="L252" s="3" t="inlineStr">
        <x:is>
          <x:t>No</x:t>
        </x:is>
      </x:c>
      <x:c r="M252" s="3" t="inlineStr">
        <x:is>
          <x:t>JUAN CAMILO VILLA BETANCOURT, Calle 1 #29-110 - Medellín, MEDELLIN, ANTIOQUIA, CO</x:t>
        </x:is>
      </x:c>
      <x:c r="N252" s="3" t="inlineStr">
        <x:is>
          <x:t/>
        </x:is>
      </x:c>
      <x:c r="O252" s="3" t="inlineStr">
        <x:is>
          <x:t>19 ago. 2022</x:t>
        </x:is>
      </x:c>
      <x:c r="P252" s="3" t="inlineStr">
        <x:is>
          <x:t/>
        </x:is>
      </x:c>
      <x:c r="Q252" s="3" t="inlineStr">
        <x:is>
          <x:t/>
        </x:is>
      </x:c>
    </x:row>
    <x:row r="253">
      <x:c r="A253" s="10" t="inlineStr">
        <x:f xml:space="preserve">HYPERLINK("http://sipi.sic.gov.co/sipi/View.ashx?4188837","SD2022/0052411")</x:f>
      </x:c>
      <x:c r="B253" s="3" t="inlineStr">
        <x:is>
          <x:t>prana</x:t>
        </x:is>
      </x:c>
      <x:c r="C253" s="9" t="inlineStr">
        <x:is>
          <x:t/>
        </x:is>
      </x:c>
      <x:c r="D253" s="3" t="inlineStr">
        <x:is>
          <x:t>26 may. 2022</x:t>
        </x:is>
      </x:c>
      <x:c r="E253" s="3" t="inlineStr">
        <x:is>
          <x:t/>
        </x:is>
      </x:c>
      <x:c r="F253" s="3" t="inlineStr">
        <x:is>
          <x:t>Negada</x:t>
        </x:is>
      </x:c>
      <x:c r="G253" s="3" t="inlineStr">
        <x:is>
          <x:t/>
        </x:is>
      </x:c>
      <x:c r="H253" s="3" t="inlineStr">
        <x:is>
          <x:t>valentina vanegas maldonado, cra 63c #40-68, MEDELLIN, ANTIOQUIA, CO</x:t>
        </x:is>
      </x:c>
      <x:c r="I253" s="3" t="inlineStr">
        <x:is>
          <x:t>3</x:t>
        </x:is>
      </x:c>
      <x:c r="J253" s="3" t="inlineStr">
        <x:is>
          <x:t>11</x:t>
        </x:is>
      </x:c>
      <x:c r="K253" s="3" t="inlineStr">
        <x:is>
          <x:t>3. Velas de masaje para uso cosmético.
</x:t>
        </x:is>
      </x:c>
      <x:c r="L253" s="3" t="inlineStr">
        <x:is>
          <x:t>No</x:t>
        </x:is>
      </x:c>
      <x:c r="M253" s="3" t="inlineStr">
        <x:is>
          <x:t/>
        </x:is>
      </x:c>
      <x:c r="N253" s="3" t="inlineStr">
        <x:is>
          <x:t/>
        </x:is>
      </x:c>
      <x:c r="O253" s="3" t="inlineStr">
        <x:is>
          <x:t>10 jun. 2022</x:t>
        </x:is>
      </x:c>
      <x:c r="P253" s="3" t="inlineStr">
        <x:is>
          <x:t/>
        </x:is>
      </x:c>
      <x:c r="Q253" s="3" t="inlineStr">
        <x:is>
          <x:t/>
        </x:is>
      </x:c>
    </x:row>
    <x:row r="254">
      <x:c r="A254" s="10" t="inlineStr">
        <x:f xml:space="preserve">HYPERLINK("http://sipi.sic.gov.co/sipi/View.ashx?4188924","SD2022/0052441")</x:f>
      </x:c>
      <x:c r="B254" s="3" t="inlineStr">
        <x:is>
          <x:t>KALAYA</x:t>
        </x:is>
      </x:c>
      <x:c r="C254" s="3" t="inlineStr">
        <x:is>
          <x:t/>
        </x:is>
      </x:c>
      <x:c r="D254" s="3" t="inlineStr">
        <x:is>
          <x:t>26 may. 2022</x:t>
        </x:is>
      </x:c>
      <x:c r="E254" s="3" t="inlineStr">
        <x:is>
          <x:t/>
        </x:is>
      </x:c>
      <x:c r="F254" s="3" t="inlineStr">
        <x:is>
          <x:t>Negada</x:t>
        </x:is>
      </x:c>
      <x:c r="G254" s="3" t="inlineStr">
        <x:is>
          <x:t/>
        </x:is>
      </x:c>
      <x:c r="H254" s="3" t="inlineStr">
        <x:is>
          <x:t> AVARIA HEALTH AND BEAUTY CORP., 650 Jamieson Parkway, Unit 5&amp;6, Cambridge N3C0A5, Canada, CAMBRIDGE, ONTARIO, CA</x:t>
        </x:is>
      </x:c>
      <x:c r="I254" s="3" t="inlineStr">
        <x:is>
          <x:t>3</x:t>
        </x:is>
      </x:c>
      <x:c r="J254" s="3" t="inlineStr">
        <x:is>
          <x:t>11</x:t>
        </x:is>
      </x:c>
      <x:c r="K254" s="3" t="inlineStr">
        <x:is>
          <x:t>3. Cremas cosméticas.
</x:t>
        </x:is>
      </x:c>
      <x:c r="L254" s="3" t="inlineStr">
        <x:is>
          <x:t>No</x:t>
        </x:is>
      </x:c>
      <x:c r="M254" s="3" t="inlineStr">
        <x:is>
          <x:t>CAROLINA VERA MATIZ, CALLE 70A No. 11-43, BOGOTÁ, D.C., CO</x:t>
        </x:is>
      </x:c>
      <x:c r="N254" s="3" t="inlineStr">
        <x:is>
          <x:t/>
        </x:is>
      </x:c>
      <x:c r="O254" s="3" t="inlineStr">
        <x:is>
          <x:t>31 may. 2022</x:t>
        </x:is>
      </x:c>
      <x:c r="P254" s="3" t="inlineStr">
        <x:is>
          <x:t/>
        </x:is>
      </x:c>
      <x:c r="Q254" s="3" t="inlineStr">
        <x:is>
          <x:t/>
        </x:is>
      </x:c>
    </x:row>
    <x:row r="255">
      <x:c r="A255" s="10" t="inlineStr">
        <x:f xml:space="preserve">HYPERLINK("http://sipi.sic.gov.co/sipi/View.ashx?4189124","SD2022/0052468")</x:f>
      </x:c>
      <x:c r="B255" s="3" t="inlineStr">
        <x:is>
          <x:t>VIFORTS</x:t>
        </x:is>
      </x:c>
      <x:c r="C255" s="9" t="inlineStr">
        <x:is>
          <x:t/>
        </x:is>
      </x:c>
      <x:c r="D255" s="3" t="inlineStr">
        <x:is>
          <x:t>26 may. 2022</x:t>
        </x:is>
      </x:c>
      <x:c r="E255" s="3" t="inlineStr">
        <x:is>
          <x:t/>
        </x:is>
      </x:c>
      <x:c r="F255" s="3" t="inlineStr">
        <x:is>
          <x:t>Negada</x:t>
        </x:is>
      </x:c>
      <x:c r="G255" s="3" t="inlineStr">
        <x:is>
          <x:t>VIFORTS2022</x:t>
        </x:is>
      </x:c>
      <x:c r="H255" s="3" t="inlineStr">
        <x:is>
          <x:t>juan david lopez gutierrez, call 2 no.93 d 30, BOGOTÁ, D.C., CO</x:t>
        </x:is>
      </x:c>
      <x:c r="I255" s="3" t="inlineStr">
        <x:is>
          <x:t>3, 5</x:t>
        </x:is>
      </x:c>
      <x:c r="J255" s="3" t="inlineStr">
        <x:is>
          <x:t>11</x:t>
        </x:is>
      </x:c>
      <x:c r="K255" s="3" t="inlineStr">
        <x:is>
          <x:t>3. Jabones cosméticos; jabones en forma líquida; jabones líquidos; jabones líquidos no medicinales; jabones no medicados para las manos; jabones no medicinales; jabones para las manos; jabones para uso personal; jabones perfumados; jabones*; aceite de menta [perfumería]; aceites de perfumería; aceites para perfumes y fragancias; bases para perfumes de flores; colonias, perfumes y productos cosméticos; desodorantes corporales [perfumería]; espráis utilizados como desodorantes y perfumes corporales; extractos de flores [productos de perfumería]; fragancias y productos de perfumería; perfumería y fragancias; perfumes líquidos; perfumes y aguas de colonia; perfumes y aguas de tocador; perfumes y colonias; perfumes, aguas de colonia y productos para después del afeitado; preparaciones ambientadoras (perfumes); productos de perfumería; productos de perfumería naturales; productos de perfumería, aceites esenciales; productos de perfumería, aceites esenciales, cosméticos, lociones capilares; productos de perfumería, inciensos y fragancias; bases de maquillaje; bases de maquillaje cremosas; bases de maquillaje en crema; bases de maquillaje líquidas; bases de maquillaje para la piel; kits de cosméticos que comprenden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maquillaje; maquillaje [cosméticos]; maquillaje para el cuerpo; maquillaje para el rostro; maquillaje para el rostro y el cuerpo; maquillaje para la cara; maquillaje para los ojos; maquillajes de base; maquillajes de base en crema; maquillajes faciales; preparaciones de maquillaje para el rostro y el cuerpo; productos cosméticos y de maquillaje; sprays para fijar el maquillaje; aceites cosméticos para la piel; aceites para el bronceado de la piel; acondicionadores para la piel; bronceadores para la piel; cosméticos funcionales en cuanto preparaciones para blanquear la piel; cremas no medicadas para suavizar la piel; cremas no medicinales para aclarar la piel; cremas para aclarar la piel; cremas para el cuidado de la piel que no sean de uso médico; cremas para el cuidado de la piel que no sean para uso médico; cremas para el cuidado de la piel, no medicinales; champús capilares; cremas capilares; cremas de protección capilar, no medicinales; decolorantes capilares; fijadores capilares; geles capilares; lociones capilares cosméticas; lociones capilares*; mascarillas para el cuidado capilar; preparaciones capilares a base de aceite de coco virgen ecológico y de aceite de coco virgen; preparaciones capilares de protección solar; preparaciones de tintes capilares; preparaciones para tratamientos capilares; productos de perfumería, aceites esenciales, cosméticos no medicinales, lociones capilares no medicinales; tratamientos para permanentes capilares.
5. Lociones capilares medicinales; preparaciones medicinales para el cuidado capilar; aceites para el cuidado de la piel [medicinales]; aceites para el cuidado de la piel, medicinales; cremas medicamentosas para hidratar la piel; cremas medicamentosas para la hidratación de la piel; cremas medicamentosas para la piel; cremas medicinales para el cuidado de la piel; cremas medicinales para la protección de la piel; cremas para el cuidado de la piel, medicinales; geles desinfectantes antibacterianos a base de alcohol para la piel; jabones antibacterianos para la piel; lociones farmacéuticas para la piel; lociones y cremas medicamentosas para el cuerpo, piel, rostro y manos; preparaciones farmacológicas para cuidar la piel; preparaciones farmacológicas para el cuidado de la piel; preparaciones farmacéuticas para cuidar la piel; preparaciones medicinales para el cuidado de la piel; preparaciones medicinales para el cuidado de la piel en forma de geles; preparaciones y sustancias farmacéuticas para tratar la piel y los tejidos dañados; productos para el cuidado de la piel, medicinales; serum calmante para la piel [medicinales]; serum calmante para la piel, medicinales; serum de alivio para la piel [medicinales]; serum de alivio para la piel, medicinales; tónicos medicinales para la piel.
</x:t>
        </x:is>
      </x:c>
      <x:c r="L255" s="3" t="inlineStr">
        <x:is>
          <x:t>Sí</x:t>
        </x:is>
      </x:c>
      <x:c r="M255" s="3" t="inlineStr">
        <x:is>
          <x:t/>
        </x:is>
      </x:c>
      <x:c r="N255" s="3" t="inlineStr">
        <x:is>
          <x:t/>
        </x:is>
      </x:c>
      <x:c r="O255" s="3" t="inlineStr">
        <x:is>
          <x:t>19 jul. 2022</x:t>
        </x:is>
      </x:c>
      <x:c r="P255" s="3" t="inlineStr">
        <x:is>
          <x:t/>
        </x:is>
      </x:c>
      <x:c r="Q255" s="3" t="inlineStr">
        <x:is>
          <x:t/>
        </x:is>
      </x:c>
    </x:row>
    <x:row r="256">
      <x:c r="A256" s="10" t="inlineStr">
        <x:f xml:space="preserve">HYPERLINK("http://sipi.sic.gov.co/sipi/View.ashx?4189660","SD2022/0052622")</x:f>
      </x:c>
      <x:c r="B256" s="3" t="inlineStr">
        <x:is>
          <x:t>Lágrimas de unicornio </x:t>
        </x:is>
      </x:c>
      <x:c r="C256" s="3" t="inlineStr">
        <x:is>
          <x:t/>
        </x:is>
      </x:c>
      <x:c r="D256" s="3" t="inlineStr">
        <x:is>
          <x:t>26 may. 2022</x:t>
        </x:is>
      </x:c>
      <x:c r="E256" s="3" t="inlineStr">
        <x:is>
          <x:t/>
        </x:is>
      </x:c>
      <x:c r="F256" s="3" t="inlineStr">
        <x:is>
          <x:t>Negada</x:t>
        </x:is>
      </x:c>
      <x:c r="G256" s="3" t="inlineStr">
        <x:is>
          <x:t/>
        </x:is>
      </x:c>
      <x:c r="H256" s="3" t="inlineStr">
        <x:is>
          <x:t>Leidy viviana Marín Sanchez, Calle 12#8-49 , CHINCHINA, CALDAS, CO</x:t>
        </x:is>
      </x:c>
      <x:c r="I256" s="3" t="inlineStr">
        <x:is>
          <x:t>3</x:t>
        </x:is>
      </x:c>
      <x:c r="J256" s="3" t="inlineStr">
        <x:is>
          <x:t>11</x:t>
        </x:is>
      </x:c>
      <x:c r="K25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256" s="3" t="inlineStr">
        <x:is>
          <x:t>No</x:t>
        </x:is>
      </x:c>
      <x:c r="M256" s="3" t="inlineStr">
        <x:is>
          <x:t/>
        </x:is>
      </x:c>
      <x:c r="N256" s="3" t="inlineStr">
        <x:is>
          <x:t/>
        </x:is>
      </x:c>
      <x:c r="O256" s="3" t="inlineStr">
        <x:is>
          <x:t>21 jun. 2022</x:t>
        </x:is>
      </x:c>
      <x:c r="P256" s="3" t="inlineStr">
        <x:is>
          <x:t/>
        </x:is>
      </x:c>
      <x:c r="Q256" s="3" t="inlineStr">
        <x:is>
          <x:t/>
        </x:is>
      </x:c>
    </x:row>
    <x:row r="257">
      <x:c r="A257" s="10" t="inlineStr">
        <x:f xml:space="preserve">HYPERLINK("http://sipi.sic.gov.co/sipi/View.ashx?4190429","SD2022/0052765")</x:f>
      </x:c>
      <x:c r="B257" s="3" t="inlineStr">
        <x:is>
          <x:t>RITUAL BOTANICO Belleza Natural </x:t>
        </x:is>
      </x:c>
      <x:c r="C257" s="9" t="inlineStr">
        <x:is>
          <x:t/>
        </x:is>
      </x:c>
      <x:c r="D257" s="3" t="inlineStr">
        <x:is>
          <x:t>27 may. 2022</x:t>
        </x:is>
      </x:c>
      <x:c r="E257" s="3" t="inlineStr">
        <x:is>
          <x:t/>
        </x:is>
      </x:c>
      <x:c r="F257" s="3" t="inlineStr">
        <x:is>
          <x:t>Negada</x:t>
        </x:is>
      </x:c>
      <x:c r="G257" s="3" t="inlineStr">
        <x:is>
          <x:t/>
        </x:is>
      </x:c>
      <x:c r="H257" s="3" t="inlineStr">
        <x:is>
          <x:t>MARTHA DOLLY CASTAÑO ZULUAGA, CL 30 # 46-30, MEDELLIN,, ANTIOQUIA, CO</x:t>
        </x:is>
      </x:c>
      <x:c r="I257" s="3" t="inlineStr">
        <x:is>
          <x:t>3</x:t>
        </x:is>
      </x:c>
      <x:c r="J257" s="3" t="inlineStr">
        <x:is>
          <x:t>11</x:t>
        </x:is>
      </x:c>
      <x:c r="K257" s="3" t="inlineStr">
        <x:is>
          <x:t>3. Cremas bálsamos de belleza; cremas de belleza para el cuerpo; cremas de belleza para el rostro y el cuerpo; geles de belleza; lociones de belleza; mascarillas de belleza; preparaciones de cuidado corporal y de belleza para uso cosmético; preparaciones para cuidados corporales y de belleza; preparaciones para el cuidado del cuerpo y la belleza; preparaciones para el cuidado y la belleza personal; productos cosméticos y de belleza; aceites aromáticos; aceites cosméticos; aceites de aromaterapia; aceites esenciales; aceites esenciales para uso cosmético; aceites faciales; aceites hidratantes intensivos; aceites para el cabello; aceites para el cuerpo; aceites para perfumes y fragancias; aceites para uso cosmético; aceites y sales de baño; cremas para la piel no medicinales a base de aceites esenciales para uso en aromaterapia; cremas, aceites, lociones y preparaciones limpiadoras e hidratantes; cremas, aceites, lociones, aerosoles, lápices y bálsamos para uso cosmético; lociones, cremas y aceites de aplicación tópica para la piel y el cuerpo, de uso cosmético; aceite de almendras; aceite de lavanda; agua de lavanda; agua de rosas [destilados de hierbas]; agua micelar; aguas de tocador; aguas perfumadas; sprays de agua mineral para uso cosmético; cosméticos y preparaciones cosméticas; cosméticos y preparaciones de cuidado personal; cremas y preparaciones para después del sol; cremas, lociones y otras preparaciones cosméticas bronceadoras; lociones, cremas y preparaciones para el cuidado de la cara, cuerpo, cuero cabelludo, uñas y cabello; lociones, cremas y preparaciones para el cuidado del rostro, cuerpo, cuero cabelludo, uñas y cabello; preparaciones antiarrugas para el cuidado de la piel; preparaciones antienvejecimiento para el cuidado de la piel; preparaciones cosméticas; preparaciones cosméticas de cuidado facial; preparaciones cosméticas para el baño; preparaciones cosméticas para el cuidado del cabello; preparaciones cosméticas para el cuidado del cuerpo; preparaciones cosméticas para el cuidado y el tratamiento de la piel; preparaciones cosméticas para el rostro y el cuerpo; preparaciones de aloe vera para uso cosmético; preparaciones de colágeno para uso cosmético; preparaciones de cuidado facial; preparaciones de tocador*; preparaciones faciales; preparaciones hidratantes; bloqueador solar [cosméticos]; cosméticos; cosméticos a base de hierbas; cosméticos de belleza; cosméticos naturales; cosméticos orgánicos; cosméticos para cuidados corporales y estéticos; cosméticos para tratamiento de belleza cosméticos para el cuidado de belleza; cremas tonificantes [cosméticos]; cremas y geles cosméticos para cara, manos y cuerpo; cremas y geles cosméticos para rostro, manos y cuerpo; hidratantes [cosméticos]; hidratantes faciales [cosméticos]; limpiadores cosméticos para la piel; mascarillas faciales [productos cosméticos]; mascarillas para el cutis [cosméticos]; preparaciones faciales [cosméticos]; mascarillas corporales; mascarillas cosméticas; mascarillas faciales; mascarillas faciales cosméticas; mascarillas para el cuidado capilar; champús para el cabello y el cuerpo; champús y acondicionadores para el cabello; crema para peinar el cabello; cremas de protección para el cabello; cremas para el cabello para uso cosmético; espumas y geles para peinar el cabello; geles, aerosoles, espumas y bálsamos para peinar y cuidar el cabello; hidratantes para el cabello.
</x:t>
        </x:is>
      </x:c>
      <x:c r="L257" s="3" t="inlineStr">
        <x:is>
          <x:t>Sí</x:t>
        </x:is>
      </x:c>
      <x:c r="M257" s="3" t="inlineStr">
        <x:is>
          <x:t>MARIA EUGENIA CHAPARRO SAAVEDRA, CARRERA 141 9-48 APTO 302, BOGOTÁ, D.C., CO</x:t>
        </x:is>
      </x:c>
      <x:c r="N257" s="3" t="inlineStr">
        <x:is>
          <x:t/>
        </x:is>
      </x:c>
      <x:c r="O257" s="3" t="inlineStr">
        <x:is>
          <x:t>30 jun. 2022</x:t>
        </x:is>
      </x:c>
      <x:c r="P257" s="3" t="inlineStr">
        <x:is>
          <x:t/>
        </x:is>
      </x:c>
      <x:c r="Q257" s="3" t="inlineStr">
        <x:is>
          <x:t/>
        </x:is>
      </x:c>
    </x:row>
    <x:row r="258">
      <x:c r="A258" s="10" t="inlineStr">
        <x:f xml:space="preserve">HYPERLINK("http://sipi.sic.gov.co/sipi/View.ashx?4191330","SD2022/0053012")</x:f>
      </x:c>
      <x:c r="B258" s="3" t="inlineStr">
        <x:is>
          <x:t>AMERICAN PERFECT</x:t>
        </x:is>
      </x:c>
      <x:c r="C258" s="9" t="inlineStr">
        <x:is>
          <x:t/>
        </x:is>
      </x:c>
      <x:c r="D258" s="3" t="inlineStr">
        <x:is>
          <x:t>27 may. 2022</x:t>
        </x:is>
      </x:c>
      <x:c r="E258" s="3" t="inlineStr">
        <x:is>
          <x:t/>
        </x:is>
      </x:c>
      <x:c r="F258" s="3" t="inlineStr">
        <x:is>
          <x:t>Negada</x:t>
        </x:is>
      </x:c>
      <x:c r="G258" s="3" t="inlineStr">
        <x:is>
          <x:t>PPAC: 001627-0023</x:t>
        </x:is>
      </x:c>
      <x:c r="H258" s="3" t="inlineStr">
        <x:is>
          <x:t> AMERICAN BRANDS INTERNATIONAL LLC, 200 NW 89TH PL STE 101, DORAL, FLORIDA 33172, US</x:t>
        </x:is>
      </x:c>
      <x:c r="I258" s="3" t="inlineStr">
        <x:is>
          <x:t>3</x:t>
        </x:is>
      </x:c>
      <x:c r="J258" s="3" t="inlineStr">
        <x:is>
          <x:t>11</x:t>
        </x:is>
      </x:c>
      <x:c r="K258" s="3" t="inlineStr">
        <x:is>
          <x:t>3. Aceites para el cabello; ceras para el cabello; champús y acondicionadores para el cabello; cosméticos para el cabello; cremas para el cabello; enjuagues para el cabello; geles para el cabello; lociones para el cabello; mascarillas para el cabello; preparaciones para lavar el cabello; preparaciones para limpiar, colorear, teñir, decolorar, amoldar o para ondular permanentemente el cabello; productos cosméticos para el cabello y el cuero cabelludo; productos y preparaciones para el cuidado del cabello.
</x:t>
        </x:is>
      </x:c>
      <x:c r="L258" s="3" t="inlineStr">
        <x:is>
          <x:t>No</x:t>
        </x:is>
      </x:c>
      <x:c r="M258" s="3" t="inlineStr">
        <x:is>
          <x:t>SANDRA LILIANA ROJAS TAPIAS, CARRERA 17A #116 - 15. OF 409, BOGOTÁ, D.C., CO</x:t>
        </x:is>
      </x:c>
      <x:c r="N258" s="3" t="inlineStr">
        <x:is>
          <x:t/>
        </x:is>
      </x:c>
      <x:c r="O258" s="3" t="inlineStr">
        <x:is>
          <x:t>19 jul. 2022</x:t>
        </x:is>
      </x:c>
      <x:c r="P258" s="3" t="inlineStr">
        <x:is>
          <x:t/>
        </x:is>
      </x:c>
      <x:c r="Q258" s="3" t="inlineStr">
        <x:is>
          <x:t/>
        </x:is>
      </x:c>
    </x:row>
    <x:row r="259">
      <x:c r="A259" s="10" t="inlineStr">
        <x:f xml:space="preserve">HYPERLINK("http://sipi.sic.gov.co/sipi/View.ashx?4192659","SD2022/0053347")</x:f>
      </x:c>
      <x:c r="B259" s="3" t="inlineStr">
        <x:is>
          <x:t>Crea tu shampoo</x:t>
        </x:is>
      </x:c>
      <x:c r="C259" s="3" t="inlineStr">
        <x:is>
          <x:t/>
        </x:is>
      </x:c>
      <x:c r="D259" s="3" t="inlineStr">
        <x:is>
          <x:t>28 may. 2022</x:t>
        </x:is>
      </x:c>
      <x:c r="E259" s="3" t="inlineStr">
        <x:is>
          <x:t/>
        </x:is>
      </x:c>
      <x:c r="F259" s="3" t="inlineStr">
        <x:is>
          <x:t>Negada</x:t>
        </x:is>
      </x:c>
      <x:c r="G259" s="3" t="inlineStr">
        <x:is>
          <x:t>20220528</x:t>
        </x:is>
      </x:c>
      <x:c r="H259" s="3" t="inlineStr">
        <x:is>
          <x:t>OSCAR FELIPE MORENO FEO , CALLE 2B #23 72, BOGOTA, CUNDINAMARCA 111411, CO</x:t>
        </x:is>
      </x:c>
      <x:c r="I259" s="3" t="inlineStr">
        <x:is>
          <x:t>3</x:t>
        </x:is>
      </x:c>
      <x:c r="J259" s="3" t="inlineStr">
        <x:is>
          <x:t>11</x:t>
        </x:is>
      </x:c>
      <x:c r="K259" s="3" t="inlineStr">
        <x:is>
          <x:t>3. Cosméticos para tratamiento de belleza cosméticos para el cuidado de belleza; Productos cosméticos para niños; correctores de ojos; cremas cosméticas reafirmantes para el contorno de ojos; cremas multiactivas para el contorno de los ojos; cremas para los ojos; cremas para los ojos de uso cosmético; cremas reparadoras para contornos de ojos; desmaquilladores de ojos; desmaquillantes de ojos; geles para los ojos; geles para los ojos de uso cosmético; lociones para los ojos; lociones para los ojos de uso cosmético; lápices de ojos; lápices de ojos para uso cosmético; lápices perfiladores de ojos; líquidos para limpiar anteojos; maquillaje para los ojos; maquillajes de ojos; mascarillas de belleza para el contorno de los ojos; máscaras calentadoras en gel para los ojos; máscaras refrigerantes en gel para los ojos; máscaras refrigerantes para los ojos; parches de gel para los ojos con fines cosméticos; parches de gel para los ojos de uso cosmético; parches refrigerantes en gel para los ojos; perfiladores de ojos; serum de corrección para el contorno de los ojos; serum para el contorno de ojos; soluciones para limpiar lentes de anteojos; sombras de ojos; sombras de ojos en polvo o en lápiz; sueros para el contorno de los ojos; cosméticos para tratamiento de belleza cosméticos para el cuidado de belleza; cremas cosméticas para el tratamiento de los labios; cremas no medicinales para el tratamiento del cuero cabelludo; preparaciones cosméticas no medicamentosas para tratamientos capilares; preparaciones cosméticas no medicinales para tratamientos capilares; preparaciones cosméticas para el cuidado y el tratamiento de la piel; preparaciones cosméticas para el tratamiento de la piel; preparaciones para el tratamiento de coloración permanente del cabello; preparaciones para el tratamiento de permanente de coloración del cabello; preparaciones para tratamientos capilares; preparados cosméticos para el tratamiento de la piel; preparados para el tratamiento de coloración permanente del cabello; preparados para el tratamiento de permanente de coloración del cabello; tratamientos de permanente para el cabello; tratamientos de queratina para el cabello; tratamientos para permanentes capilares; preparaciones para el tratamiento de pulido de la madera; tratamientos de alisado para el cabello; tratamientos de cera para el cabello; tratamientos de permanente del cabello; acondicionadores de cabello; acondicionadores de cabello a base de cáñamo; acondicionadores de cutícula; acondicionadores en barritas sólidas para el cabello; acondicionadores labiales; acondicionadores para el cabello; acondicionadores para el cabello para bebés; acondicionadores para la piel; acondicionadores para uso en el cabello; bálsamo acondicionador; champús acondicionadores; champús y acondicionadores; champús y acondicionadores para el cabello; cremas acondicionadoras; cremas acondicionadoras para la piel, de uso cosmético; productos de enjuague para el cabello [champús acondicionadores]; aceites cosméticos para la piel; aceites para el bronceado de la piel; aceites perfumados para el cuidado de la piel; aerosoles cosméticos de uso tópico para la piel; bases de maquillaje para la piel; bronceadores para la piel; bálsamos [cremas] para disimular las imperfecciones de la piel; bálsamos para disimular las imperfecciones de la piel; composiciones para aclarar la piel [cosméticos]; correctores para disimular manchas e imperfecciones de la piel; cosméticos funcionales en cuanto preparaciones para blanquear la piel; crema en gel para matificar la piel; crema para aclarar la piel; cremas bronceadoras para la piel; cremas cosméticas para el cuidado de la piel; cremas cosméticas para la piel; cremas cosméticas para pieles secas; cremas cosméticas para reafirmar la piel; cremas cosméticas para tonificar la piel; cremas de bálsamo para disimular las imperfecciones de la piel; cremas emolientes reparadoras para el cuidado diario de la piel; cremas hidratantes para la piel [cosméticos]; cremas limpiadoras para la piel; cremas líquidas y sólidas para la piel; cremas no medicadas para aliviar la piel;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el cuidado de la piel; cremas no medicinales para la piel; cremas para aclarar la piel; cremas para broncear la piel; cremas para el cuidado de la piel que no sean de uso médico; cremas para el cuidado de la piel que no sean para uso médico; cremas para el cuidado de la piel, no medicinales; cremas para la piel; cremas para la piel de uso cosmético; cremas para la piel no medicinales a base de aceites esenciales para uso en aromaterapia; cremas para limpiar la piel [no medicinales]; cremas reparadoras para la piel [cosméticos]; cremas reparadoras para la piel de uso cosmético; cremas revitalizantes para la piel; emolientes para la piel; emolientes para la piel de uso cosmético; emulsiones, geles y lociones para el cuidado de la piel; espumas limpiadoras para la piel; espumas para el cuidado de la piel; exfoliantes para la piel; geles para acelerar, realzar y prolongar el bronceado de la piel; geles para el bronceado de la piel; hidratante para la piel; hidratantes para la piel; hidratantes para la piel utilizados como cosméticos; jabones para la piel; joyas de piel autoadhesivas para uso cosmético; joyas de piel en cuanto motivos decorativos para uso cosmético; joyas de piel en cuanto transferencias decorativas para uso cosmético; joyas de piel para uso cosmético; joyería de piel autoadhesivas para uso cosmético; joyería de piel en cuanto motivos decorativos para uso cosmético; joyería de piel en cuanto transferencias decorativas para uso cosmético; joyería de piel para uso cosmético; leches limpiadoras para el cuidado de la piel; limpiadores cosméticos para la piel; limpiadores de la piel; limpiadores de la piel [cosméticos]; limpiadores de la piel [productos cosméticos]; limpiadores de la piel a base de cáñamo; limpiadores de la piel no medicinales; limpiadores líquidos para la piel; limpiadores no medicinales para la piel; lociones cosméticas para el bronceado de la piel; lociones cosméticas para el cuidado de la piel; lociones cosméticas para la piel; lociones estimulantes no medicinales para la piel; lociones hidratantes para la piel; lociones hidratantes para la piel [cosméticos]; lociones lechosas para el cuidado de la piel; lociones limpiadoras para la piel; lociones lácteas para el cuidado de la piel; lociones no medicinales para aclarar la piel; lociones no medicinales para el cuidado de la piel [cosméticos]; lociones no medicinales para la piel; lociones para el bronceado de la piel; lociones para el cuidado de la piel; lociones para el cuidado de la piel [cosméticos]; lociones para la piel; lociones para la piel [productos cosméticos]; lociones para la piel no medicadas; lociones, cremas y aceites de aplicación tópica para la piel y el cuerpo, de uso cosmético; maquillaje para la piel; mascarillas faciales para tonificar la piel; mascarillas hidratantes para la piel; mascarillas para el cuidado de la piel de las manos; mascarillas para el cuidado de la piel de los pies; mascarillas para hidratar la piel; mascarillas para la piel; mascarillas para la piel [cosméticos]; mascarillas para la piel de uso cosmético; mascarillas para pieles grasas; papel secante para pieles grasas; parches cosméticos con filtro y pantalla solar para aplicar sobre la piel; paños impregnados de productos de limpieza para la piel; paños impregnados de productos limpiadores para la piel; paños o toallitas impregnados de productos limpiadores para la piel; preparaciones antiarrugas para el cuidado de la piel; preparaciones antienvejecimiento para el cuidado de la piel; preparaciones blanqueadoras para la piel [productos cosméticos]; preparaciones cosméticas contra la sequedad de la piel durante el embarazo; preparaciones cosméticas para el bronceado de la piel; preparaciones cosméticas para el cuidado de la piel; preparaciones cosméticas para el cuidado de la piel en forma de geles; preparaciones cosméticas para la regeneración de la piel; preparaciones cosméticas para proteger la piel de los rayos del sol; preparaciones cosméticas termoactivas para el cuidado de la piel; preparaciones desengrasantes para uso en la piel; preparaciones exfoliantes y de limpieza para la piel; preparaciones limpiadoras no medicamentosas para la piel; preparaciones limpiadoras no medicinales para la piel; preparaciones limpiadoras para pieles curtidas; preparaciones no medicinales para el cuidado de la piel; preparaciones no medicinales para el cuidado de la piel, el cabello y el cuero cabelludo; preparaciones para aclarar la piel [cosméticos]; preparaciones para blanquear la piel; preparaciones para blanquear la piel [cosméticos]; preparaciones para el bronceado de la piel; preparaciones para el cuidado de la piel; preparaciones para el cuidado de la piel [productos cosméticos]; preparaciones para el cuidado de la piel a base de cbd; preparaciones para el cuidado de la piel, no medicinales; preparados no medicinales para el cuidado de la piel; preparados para el cuidado de la piel a base de cbd; productos cosméticos en aerosol para el cuidado de la piel; productos cosméticos para el cuidado de la piel; productos cosméticos para el cuidado de la piel de los perros; productos cosméticos para la piel; productos cosméticos para proteger la piel contra los rayos del sol; productos no medicinales para el cuidado de la piel; productos para aclarar la piel; productos para afinar el grano de la piel; productos para el cuidado de la piel, no medicinales; productos para lustrar pieles curtidas; productos para mejorar la textura de la piel; productos para refrescar la piel; productos y preparaciones cosméticos para el cuidado de la piel; productos y preparaciones no medicinales para el cuidado de la piel; revitalizantes para la piel; serum calmante para la piel; serum para calmar la piel [cosmético]; sueros no medicados para la piel de la cara; sueros no medicinales para la piel; sueros para la piel a base de cáñamo; toallitas impregnadas con preparados para el cuidado de la piel; toallitas impregnadas con un limpiador de la piel; toallitas impregnadas de productos limpiadores para la piel; toallitas o paños impregnados de productos limpiadores para la piel; tónicos no medicinales para la piel; tónicos para la piel para uso cosmético; barras de labios; barras de labios con protección solar [cosméticos]; barras de labios en stick con protección solar [cosméticos]; barras de labios hidratantes; bases neutralizantes para labios; brillos de labios; colorantes de labios; colorantes de labios [cosméticos]; colorantes para los labios; colorantes para los labios [productos cosméticos]; cosméticos para los labios; cremas para los labios; cremas para los labios de uso cosmético; estuches para lápices de labios; estuches para pintalabios; exfoliantes para labios;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que consisten principalmente en bases de maquillaje, rímeles, coloretes, brillos de labios y lápices de labios [sin incluir pinceles ni esponjas]; lápices de labios; lápices de labios [pintalabios]; lápices de labios [pintalabios] hidratantes; lápices de labios hidratantes;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neutralizadores de color para labios; perfiladores de labios; pintalabios; pintalabios hidratantes; pomadas para los labios; preparaciones no medicinales para el cuidado de los labios; preparaciones para el cuidado de los labios; protectores solares para los labios; protectores solares para los labios [productos cosméticos]; tintes de labios; tintes de labios [cosméticos]; tintes de labios para uso cosmético; tintes para los labios; tintes para los labios [productos cosméticos]; desodorantes de bola [artículos de aseo]; desodorantes roll-on [artículos de aseo]; preparaciones no medicinales para el aseo de animales que no sean productos para lavarlos; duchas vaginales para la higiene íntima o en cuanto desodorantes; paños desechables impregnados de productos químicos o compuestos limpiadores para la higiene personal; preparaciones de higiene en cuanto productos de tocador; preparaciones de higiene personal para refrescar el aliento; preparaciones de higiene íntima para uso sanitario o utilizadas como desodorantes; preparaciones de limpieza nasal para la higiene personal; preparaciones limpiadoras no medicinales para la higiene íntima; preparaciones para la higiene dental; toallitas para la higiene femenina; desodorantes a base de cáñamo para seres humanos; desodorantes antitranspirantes; desodorantes corporales; desodorantes corporales [perfumería]; desodorantes corporales [productos de perfumería]; desodorantes corporales en comprimidos; desodorantes de alumbre; desodorantes para animales; desodorantes para animales de compañía; desodorantes para el cuerpo; desodorantes para los pies; desodorantes para mascotas; desodorantes para personas o animales; desodorantes para personas o animales [productos de perfumería]; desodorantes para seres humanos; desodorantes para uso personal; desodorantes para uso personal [perfumería]; desodorantes para uso personal y animal; desodorantes y antitranspirantes para uso personal; espráis desodorantes para los pies; espráis desodorantes para mujeres; espráis utilizados como desodorantes y perfumes corporales; jabones desodorantes; jabones desodorantes a base de cáñamo; productos limpiadores con desodorante para lechos higiénicos de animales; toallitas impregnadas con desodorantes para uso personal; antitranspirantes de uso personal; antitranspirantes no medicinales; jabones antitranspirantes; jabones antitranspirantes para los pies; productos antitranspirantes [artículos de tocador]; toallitas impregnadas con preparados antitranspirantes para uso personal;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de tintes capilares; productos de perfumería, aceites esenciales, cosméticos no medicinales, lociones capilares no medicinales; productos de perfumería, aceites esenciales, cosméticos, lociones capilares; aclaradores de uñas; adhesivos para fijar uñas postizas; adhesivos para fijar uñas y pestañas postizas; adhesivos para pegar las uñas postizas; adhesivos para pestañas, cabello y uñas postizos; adhesivos para uñas postizas; bases para esmaltes de uñas; blanqueadores para las uñas; brillantina para las uñas; brillos de uñas para aplicar sobre el esmalte; calcomanías decorativas para uñas; calcomanías para las uñas; cremas para las uñas; cremas para las uñas de uso cosmético; endurecedores de uñas; endurecedores de uñas [cosméticos]; escarcha para las uñas; esmaltes de base para las uñas [productos cosméticos]; esmaltes de uñas; esmaltes de uñas en gel; kits para el cuidado de las uñas que comprenden principalmente lacas de uñas, quitaesmaltes y uñas postizas; lacas de uñas; lacas para las uñas; lociones para fortalecer las uñas; lociones, cremas y preparaciones para el cuidado de la cara, cuerpo, cuero cabelludo, uñas y cabello; lociones, cremas y preparaciones para el cuidado del rostro, cuerpo, cuero cabelludo, uñas y cabello; lápices para aplicar el esmalte de uñas; lápices quitaesmaltes de uñas; pegatinas decorativas para uñas; plumas de esmalte de uñas; preparaciones cosméticas para el cuidado de las uñas; preparaciones cosméticas para las uñas; preparaciones cosméticas para secar esmaltes de uñas; preparaciones para el cuidado de las uñas; preparaciones para pulir las uñas; preparaciones para retirar uñas de gel; preparaciones y productos para el cuidado de las uñas; productos de revestimiento para esculpir uñas; productos de revestimiento para esculpir uñas [productos cosméticos]; productos para ablandar las uñas; productos para el cuidado de las uñas; puntas de uñas; purpurina para las uñas; quitaesmalte para uñas [cosméticos]; quitaesmaltes de uñas [cosméticos]; reparadores de uñas; uñas postizas; uñas postizas de metales preciosos; uñas postizas para los dedos de los pies; esmaltes de uñas para uso cosmético; esmaltes de uñas y quitaesmaltes; fortalecedores de uñas;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difusores de perfumes de ambiente con varillas; eau de parfum [agua de perfume]; extractos de flores [productos de perfumería]; extractos de flores en cuanto perfumes; extractos de flores en cuanto productos de perfumería; fragancias y productos de perfumería; iononas [productos de perfumería]; menta para perfumería; mezclas de perfumería; perfumería para cosméticos; perfumería y fragancias; perfumes; perfumes líquidos; perfumes para uso industrial; perfumes sólidos; perfumes y aguas de colonia; perfumes y aguas de tocador; aceites de perfumería; aceites esenciales en cuanto perfumes de lavandería; aceites para perfumes y fragancias; agua de perfume; almizcle [producto de perfumería]; bases para perfumes de flores; colonias, perfumes y productos cosméticos; perfumes y colonias; perfumes, aguas de colonia y productos para después del afeitado; preparaciones ambientadoras (perfumes); productos de fumigación [perfumes];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fragancias e incienso; productos de perfumería, fragancias e incienso que no sean perfumes para uso personal; productos de perfumería, inciensos y fragancias; recambios de perfumes para difusores de aceites esenciales enchufables; recambios de perfumes para difusores electrónicos de aceites esenciales; vainillina sintética [productos de perfumería]; aceite de menta [perfumería]; ámbar [productos de perfumería]; ámbar gris [perfume]; aerosoles bucales no medicinales; aerosoles bucales, que no sean no para uso médico; dentífricos y enjuagues bucales; dentífricos y enjuagues bucales no medicinales; enjuagues bucales no medicinales; enjuagues bucales no medicinales para animales de compañía; enjuagues bucales para prevenir las caries que no sean de uso médico; enjuagues bucales que no sean para uso médico; esprays bucales no medicinales; esprays bucales, que no sean no para uso médico; limpiadores con pulverizador para refrescar protectores bucales para deportes; preparaciones cosméticas para el cuidado bucal; preparaciones no medicinales para el cuidado bucal; preparaciones para el cuidado bucal [no medicinales]; preparaciones para el cuidado bucal, no medicinales; productos de limpieza en aerosoles para refrescar protectores bucales para deportes; geles blanqueadores para uso dental; lociones de limpieza dental; pasta dental en pastillas; polvos dentales; polvos dentales hidratados; polvos dentales para uso cosmético; preparaciones de limpieza dental; preparaciones no medicinales para el cuidado dental; preparaciones no medicinales para el cuidado dental de los animales; preparaciones para el cuidado dental; preparaciones para el cuidado dental de las personas; preparaciones para el cuidado dental de los animales; preparaciones para limpiar prótesis dentales; preparaciones para pulir prótesis dentales; tiras blanqueadoras dentales; aguas de colonia para después del afeitado; bálsamos no medicinales para después del afeitado; bálsamos para después del afeitado; bálsamos para el afeitado; colonias para después del afeitado; cremas hidratantes para después del afeitado; cremas para antes del afeitado; cremas para después del afeitado; cremas para después del afeitado (no medicinales); emulsiones para después del afeitado; geles no medicinales para después del afeitado; geles para antes del afeitado; geles para después del afeitado; geles para el afeitado; leche hidratante para después del afeitado; leche para después del afeitado; lociones para después del afeitado; lociones para el afeitado; piedras astringentes para después del afeitado; piedras astringentes para después del afeitado para uso cosmético; piedras de alumbre para el afeitado; piedras para el afeitado [astringentes]; piedras para el afeitado en cuanto astringentes; piedras para el afeitado en cuanto astringentes para uso cosmético; preparaciones hidratantes para después del afeitado; preparaciones para antes y después del afeitado; preparaciones para después del afeitado; preparaciones para el afeitado en forma líquida; preparaciones para el afeitado y para después del afeitado; preparacioness no medicinales para después del afeitado; productos para después del afeitado; aceites bronceadores; aceites bronceadores [cosméticos]; aceites bronceadores de uso cosmético; aceites para bronceado [cosméticos]; aceites y lociones bronceadoras; autobronceadores; autobronceadores [cosméticos]; cremas autobronceadoras; cremas bronceadoras; cremas y lociones bronceadoras; cremas, lociones y otras preparaciones cosméticas bronceadoras; geles bronceadores; geles bronceadores [cosméticos]; leche bronceadora; leches bronceadoras; leches bronceadoras [cosméticos]; leches, geles y aceites bronceadores y para después del sol, de uso cosmético; lociones autobronceadoras [cosméticos]; lociones bronceadoras; preparaciones autobronceadoras; preparaciones autobronceadoras [cosméticos]; preparaciones bronceadoras y de protección solar; toallitas impregnadas con preparados de bronceador; aceites de protección solar; aceites de protección solar [cosméticos]; aceites solares de uso cosmético; aceites y lociones con filtro solar; aceites y lociones de protección solar; bloqueador solar [cosméticos]; cremas con filtro solar; cremas con filtro solar para uso cosmético; cremas de protección solar; cremas de protección solar para uso cosmético; cremas solares para bebés; espumas cosméticas con filtro solar; filtro solar [cosméticos]; lociones con filtro solar; lociones con filtro solar para uso cosmético; lociones con pantalla solar; lociones con pantalla solar para uso cosmético; lociones de protección solar; lociones de protección solar para uso cosmético; pomadas no medicinales para prevenir y tratar las quemaduras solares; preparaciones con filtro solar; preparaciones con filtro solar para animales; preparaciones con pantalla solar; preparaciones cosméticas contra las quemaduras solares; preparaciones cosméticas de protección solar; preparaciones de bloqueadores solares para uso cosmético; preparaciones de protección solar; preparaciones de protección solar [productos cosméticos]; preparaciones de protección solar para animales; preparaciones de protección solar para uso cosmético; preparaciones no medicinales para aliviar las quemaduras solares; productos con filtro solar; productos con filtro solar a prueba de agua; productos con filtro solar para uso cosmético; productos con filtro solar resistentes al agua; productos con pantalla solar; protectores solares en barra; protectores solares en stick; protectores solares para bebés; aerosoles depilatorios; depilatorios; geles depilatorios; productos depilatorios; sprays depilatorios; productos para aclarar el cabello.
</x:t>
        </x:is>
      </x:c>
      <x:c r="L259" s="3" t="inlineStr">
        <x:is>
          <x:t>Sí</x:t>
        </x:is>
      </x:c>
      <x:c r="M259" s="3" t="inlineStr">
        <x:is>
          <x:t>HEIDY DANIELA GOMEZ MUETE, CLL 2B #23-72, BOGOTÁ, D.C. 110111, CO</x:t>
        </x:is>
      </x:c>
      <x:c r="N259" s="3" t="inlineStr">
        <x:is>
          <x:t/>
        </x:is>
      </x:c>
      <x:c r="O259" s="3" t="inlineStr">
        <x:is>
          <x:t>30 jun. 2022</x:t>
        </x:is>
      </x:c>
      <x:c r="P259" s="3" t="inlineStr">
        <x:is>
          <x:t/>
        </x:is>
      </x:c>
      <x:c r="Q259" s="3" t="inlineStr">
        <x:is>
          <x:t/>
        </x:is>
      </x:c>
    </x:row>
    <x:row r="260">
      <x:c r="A260" s="10" t="inlineStr">
        <x:f xml:space="preserve">HYPERLINK("http://sipi.sic.gov.co/sipi/View.ashx?4192664","SD2022/0053348")</x:f>
      </x:c>
      <x:c r="B260" s="3" t="inlineStr">
        <x:is>
          <x:t>Zebra</x:t>
        </x:is>
      </x:c>
      <x:c r="C260" s="3" t="inlineStr">
        <x:is>
          <x:t/>
        </x:is>
      </x:c>
      <x:c r="D260" s="3" t="inlineStr">
        <x:is>
          <x:t>28 may. 2022</x:t>
        </x:is>
      </x:c>
      <x:c r="E260" s="3" t="inlineStr">
        <x:is>
          <x:t/>
        </x:is>
      </x:c>
      <x:c r="F260" s="3" t="inlineStr">
        <x:is>
          <x:t>Negada</x:t>
        </x:is>
      </x:c>
      <x:c r="G260" s="3" t="inlineStr">
        <x:is>
          <x:t>20220528-1</x:t>
        </x:is>
      </x:c>
      <x:c r="H260" s="3" t="inlineStr">
        <x:is>
          <x:t>OSCAR FELIPE MORENO FEO , CALLE 2B #23 72, BOGOTA, CUNDINAMARCA 111411, CO</x:t>
        </x:is>
      </x:c>
      <x:c r="I260" s="3" t="inlineStr">
        <x:is>
          <x:t>3</x:t>
        </x:is>
      </x:c>
      <x:c r="J260" s="3" t="inlineStr">
        <x:is>
          <x:t>11</x:t>
        </x:is>
      </x:c>
      <x:c r="K260" s="3" t="inlineStr">
        <x:is>
          <x:t>3. Cosméticos para tratamiento de belleza cosméticos para el cuidado de belleza; Productos cosméticos para niños; correctores de ojos; cremas cosméticas reafirmantes para el contorno de ojos; cremas multiactivas para el contorno de los ojos; cremas para los ojos; cremas para los ojos de uso cosmético; cremas reparadoras para contornos de ojos; desmaquilladores de ojos; desmaquillantes de ojos; geles para los ojos; geles para los ojos de uso cosmético; lociones para los ojos; lociones para los ojos de uso cosmético; lápices de ojos; lápices de ojos para uso cosmético; lápices perfiladores de ojos; líquidos para limpiar anteojos; maquillaje para los ojos; maquillajes de ojos; mascarillas de belleza para el contorno de los ojos; máscaras calentadoras en gel para los ojos; máscaras refrigerantes en gel para los ojos; máscaras refrigerantes para los ojos; parches de gel para los ojos con fines cosméticos; parches de gel para los ojos de uso cosmético; parches refrigerantes en gel para los ojos; perfiladores de ojos; serum de corrección para el contorno de los ojos; serum para el contorno de ojos; soluciones para limpiar lentes de anteojos; sombras de ojos; sombras de ojos en polvo o en lápiz; sueros para el contorno de los ojos; cosméticos para tratamiento de belleza cosméticos para el cuidado de belleza; cremas cosméticas para el tratamiento de los labios; cremas no medicinales para el tratamiento del cuero cabelludo; preparaciones cosméticas no medicamentosas para tratamientos capilares; preparaciones cosméticas no medicinales para tratamientos capilares; preparaciones cosméticas para el cuidado y el tratamiento de la piel; preparaciones cosméticas para el tratamiento de la piel; preparaciones para el tratamiento de coloración permanente del cabello; preparaciones para el tratamiento de permanente de coloración del cabello; preparaciones para tratamientos capilares; preparados cosméticos para el tratamiento de la piel; preparados para el tratamiento de coloración permanente del cabello; preparados para el tratamiento de permanente de coloración del cabello; tratamientos de permanente para el cabello; tratamientos de queratina para el cabello; tratamientos para permanentes capilares; preparaciones para el tratamiento de pulido de la madera; tratamientos de alisado para el cabello; tratamientos de cera para el cabello; tratamientos de permanente del cabello; acondicionadores de cabello; acondicionadores de cabello a base de cáñamo; acondicionadores de cutícula; acondicionadores en barritas sólidas para el cabello; acondicionadores labiales; acondicionadores para el cabello; acondicionadores para el cabello para bebés; acondicionadores para la piel; acondicionadores para uso en el cabello; bálsamo acondicionador; champús acondicionadores; champús y acondicionadores; champús y acondicionadores para el cabello; cremas acondicionadoras; cremas acondicionadoras para la piel, de uso cosmético; productos de enjuague para el cabello [champús acondicionadores]; aceites cosméticos para la piel; aceites para el bronceado de la piel; aceites perfumados para el cuidado de la piel; aerosoles cosméticos de uso tópico para la piel; bases de maquillaje para la piel; bronceadores para la piel; bálsamos [cremas] para disimular las imperfecciones de la piel; bálsamos para disimular las imperfecciones de la piel; composiciones para aclarar la piel [cosméticos]; correctores para disimular manchas e imperfecciones de la piel; cosméticos funcionales en cuanto preparaciones para blanquear la piel; crema en gel para matificar la piel; crema para aclarar la piel; cremas bronceadoras para la piel; cremas cosméticas para el cuidado de la piel; cremas cosméticas para la piel; cremas cosméticas para pieles secas; cremas cosméticas para reafirmar la piel; cremas cosméticas para tonificar la piel; cremas de bálsamo para disimular las imperfecciones de la piel; cremas emolientes reparadoras para el cuidado diario de la piel; cremas hidratantes para la piel [cosméticos]; cremas limpiadoras para la piel; cremas líquidas y sólidas para la piel; cremas no medicadas para aliviar la piel;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el cuidado de la piel; cremas no medicinales para la piel; cremas para aclarar la piel; cremas para broncear la piel; cremas para el cuidado de la piel que no sean de uso médico; cremas para el cuidado de la piel que no sean para uso médico; cremas para el cuidado de la piel, no medicinales; cremas para la piel; cremas para la piel de uso cosmético; cremas para la piel no medicinales a base de aceites esenciales para uso en aromaterapia; cremas para limpiar la piel [no medicinales]; cremas reparadoras para la piel [cosméticos]; cremas reparadoras para la piel de uso cosmético; cremas revitalizantes para la piel; emolientes para la piel; emolientes para la piel de uso cosmético; emulsiones, geles y lociones para el cuidado de la piel; espumas limpiadoras para la piel; espumas para el cuidado de la piel; exfoliantes para la piel; geles para acelerar, realzar y prolongar el bronceado de la piel; geles para el bronceado de la piel; hidratante para la piel; hidratantes para la piel; hidratantes para la piel utilizados como cosméticos; jabones para la piel; joyas de piel autoadhesivas para uso cosmético; joyas de piel en cuanto motivos decorativos para uso cosmético; joyas de piel en cuanto transferencias decorativas para uso cosmético; joyas de piel para uso cosmético; joyería de piel autoadhesivas para uso cosmético; joyería de piel en cuanto motivos decorativos para uso cosmético; joyería de piel en cuanto transferencias decorativas para uso cosmético; joyería de piel para uso cosmético; leches limpiadoras para el cuidado de la piel; limpiadores cosméticos para la piel; limpiadores de la piel; limpiadores de la piel [cosméticos]; limpiadores de la piel [productos cosméticos]; limpiadores de la piel a base de cáñamo; limpiadores de la piel no medicinales; limpiadores líquidos para la piel; limpiadores no medicinales para la piel; lociones cosméticas para el bronceado de la piel; lociones cosméticas para el cuidado de la piel; lociones cosméticas para la piel; lociones estimulantes no medicinales para la piel; lociones hidratantes para la piel; lociones hidratantes para la piel [cosméticos]; lociones lechosas para el cuidado de la piel; lociones limpiadoras para la piel; lociones lácteas para el cuidado de la piel; lociones no medicinales para aclarar la piel; lociones no medicinales para el cuidado de la piel [cosméticos]; lociones no medicinales para la piel; lociones para el bronceado de la piel; lociones para el cuidado de la piel; lociones para el cuidado de la piel [cosméticos]; lociones para la piel; lociones para la piel [productos cosméticos]; lociones para la piel no medicadas; lociones, cremas y aceites de aplicación tópica para la piel y el cuerpo, de uso cosmético; maquillaje para la piel; mascarillas faciales para tonificar la piel; mascarillas hidratantes para la piel; mascarillas para el cuidado de la piel de las manos; mascarillas para el cuidado de la piel de los pies; mascarillas para hidratar la piel; mascarillas para la piel; mascarillas para la piel [cosméticos]; mascarillas para la piel de uso cosmético; mascarillas para pieles grasas; papel secante para pieles grasas; parches cosméticos con filtro y pantalla solar para aplicar sobre la piel; paños impregnados de productos de limpieza para la piel; paños impregnados de productos limpiadores para la piel; paños o toallitas impregnados de productos limpiadores para la piel; preparaciones antiarrugas para el cuidado de la piel; preparaciones antienvejecimiento para el cuidado de la piel; preparaciones blanqueadoras para la piel [productos cosméticos]; preparaciones cosméticas contra la sequedad de la piel durante el embarazo; preparaciones cosméticas para el bronceado de la piel; preparaciones cosméticas para el cuidado de la piel; preparaciones cosméticas para el cuidado de la piel en forma de geles; preparaciones cosméticas para la regeneración de la piel; preparaciones cosméticas para proteger la piel de los rayos del sol; preparaciones cosméticas termoactivas para el cuidado de la piel; preparaciones desengrasantes para uso en la piel; preparaciones exfoliantes y de limpieza para la piel; preparaciones limpiadoras no medicamentosas para la piel; preparaciones limpiadoras no medicinales para la piel; preparaciones limpiadoras para pieles curtidas; preparaciones no medicinales para el cuidado de la piel; preparaciones no medicinales para el cuidado de la piel, el cabello y el cuero cabelludo; preparaciones para aclarar la piel [cosméticos]; preparaciones para blanquear la piel; preparaciones para blanquear la piel [cosméticos]; preparaciones para el bronceado de la piel; preparaciones para el cuidado de la piel; preparaciones para el cuidado de la piel [productos cosméticos]; preparaciones para el cuidado de la piel a base de cbd; preparaciones para el cuidado de la piel, no medicinales; preparados no medicinales para el cuidado de la piel; preparados para el cuidado de la piel a base de cbd; productos cosméticos en aerosol para el cuidado de la piel; productos cosméticos para el cuidado de la piel; productos cosméticos para el cuidado de la piel de los perros; productos cosméticos para la piel; productos cosméticos para proteger la piel contra los rayos del sol; productos no medicinales para el cuidado de la piel; productos para aclarar la piel; productos para afinar el grano de la piel; productos para el cuidado de la piel, no medicinales; productos para lustrar pieles curtidas; productos para mejorar la textura de la piel; productos para refrescar la piel; productos y preparaciones cosméticos para el cuidado de la piel; productos y preparaciones no medicinales para el cuidado de la piel; revitalizantes para la piel; serum calmante para la piel; serum para calmar la piel [cosmético]; sueros no medicados para la piel de la cara; sueros no medicinales para la piel; sueros para la piel a base de cáñamo; toallitas impregnadas con preparados para el cuidado de la piel; toallitas impregnadas con un limpiador de la piel; toallitas impregnadas de productos limpiadores para la piel; toallitas o paños impregnados de productos limpiadores para la piel; tónicos no medicinales para la piel; tónicos para la piel para uso cosmético; barras de labios; barras de labios con protección solar [cosméticos]; barras de labios en stick con protección solar [cosméticos]; barras de labios hidratantes; bases neutralizantes para labios; brillos de labios; colorantes de labios; colorantes de labios [cosméticos]; colorantes para los labios; colorantes para los labios [productos cosméticos]; cosméticos para los labios; cremas para los labios; cremas para los labios de uso cosmético; estuches para lápices de labios; estuches para pintalabios; exfoliantes para labios;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que consisten principalmente en bases de maquillaje, rímeles, coloretes, brillos de labios y lápices de labios [sin incluir pinceles ni esponjas]; lápices de labios; lápices de labios [pintalabios]; lápices de labios [pintalabios] hidratantes; lápices de labios hidratantes;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neutralizadores de color para labios; perfiladores de labios; pintalabios; pintalabios hidratantes; pomadas para los labios; preparaciones no medicinales para el cuidado de los labios; preparaciones para el cuidado de los labios; protectores solares para los labios; protectores solares para los labios [productos cosméticos]; tintes de labios; tintes de labios [cosméticos]; tintes de labios para uso cosmético; tintes para los labios; tintes para los labios [productos cosméticos]; desodorantes de bola [artículos de aseo]; desodorantes roll-on [artículos de aseo]; preparaciones no medicinales para el aseo de animales que no sean productos para lavarlos; duchas vaginales para la higiene íntima o en cuanto desodorantes; paños desechables impregnados de productos químicos o compuestos limpiadores para la higiene personal; preparaciones de higiene en cuanto productos de tocador; preparaciones de higiene personal para refrescar el aliento; preparaciones de higiene íntima para uso sanitario o utilizadas como desodorantes; preparaciones de limpieza nasal para la higiene personal; preparaciones limpiadoras no medicinales para la higiene íntima; preparaciones para la higiene dental; toallitas para la higiene femenina; desodorantes a base de cáñamo para seres humanos; desodorantes antitranspirantes; desodorantes corporales; desodorantes corporales [perfumería]; desodorantes corporales [productos de perfumería]; desodorantes corporales en comprimidos; desodorantes de alumbre; desodorantes para animales; desodorantes para animales de compañía; desodorantes para el cuerpo; desodorantes para los pies; desodorantes para mascotas; desodorantes para personas o animales; desodorantes para personas o animales [productos de perfumería]; desodorantes para seres humanos; desodorantes para uso personal; desodorantes para uso personal [perfumería]; desodorantes para uso personal y animal; desodorantes y antitranspirantes para uso personal; espráis desodorantes para los pies; espráis desodorantes para mujeres; espráis utilizados como desodorantes y perfumes corporales; jabones desodorantes; jabones desodorantes a base de cáñamo; productos limpiadores con desodorante para lechos higiénicos de animales; toallitas impregnadas con desodorantes para uso personal; antitranspirantes de uso personal; antitranspirantes no medicinales; jabones antitranspirantes; jabones antitranspirantes para los pies; productos antitranspirantes [artículos de tocador]; toallitas impregnadas con preparados antitranspirantes para uso personal;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de tintes capilares; productos de perfumería, aceites esenciales, cosméticos no medicinales, lociones capilares no medicinales; productos de perfumería, aceites esenciales, cosméticos, lociones capilares; aclaradores de uñas; adhesivos para fijar uñas postizas; adhesivos para fijar uñas y pestañas postizas; adhesivos para pegar las uñas postizas; adhesivos para pestañas, cabello y uñas postizos; adhesivos para uñas postizas; bases para esmaltes de uñas; blanqueadores para las uñas; brillantina para las uñas; brillos de uñas para aplicar sobre el esmalte; calcomanías decorativas para uñas; calcomanías para las uñas; cremas para las uñas; cremas para las uñas de uso cosmético; endurecedores de uñas; endurecedores de uñas [cosméticos]; escarcha para las uñas; esmaltes de base para las uñas [productos cosméticos]; esmaltes de uñas; esmaltes de uñas en gel; kits para el cuidado de las uñas que comprenden principalmente lacas de uñas, quitaesmaltes y uñas postizas; lacas de uñas; lacas para las uñas; lociones para fortalecer las uñas; lociones, cremas y preparaciones para el cuidado de la cara, cuerpo, cuero cabelludo, uñas y cabello; lociones, cremas y preparaciones para el cuidado del rostro, cuerpo, cuero cabelludo, uñas y cabello; lápices para aplicar el esmalte de uñas; lápices quitaesmaltes de uñas; pegatinas decorativas para uñas; plumas de esmalte de uñas; preparaciones cosméticas para el cuidado de las uñas; preparaciones cosméticas para las uñas; preparaciones cosméticas para secar esmaltes de uñas; preparaciones para el cuidado de las uñas; preparaciones para pulir las uñas; preparaciones para retirar uñas de gel; preparaciones y productos para el cuidado de las uñas; productos de revestimiento para esculpir uñas; productos de revestimiento para esculpir uñas [productos cosméticos]; productos para ablandar las uñas; productos para el cuidado de las uñas; puntas de uñas; purpurina para las uñas; quitaesmalte para uñas [cosméticos]; quitaesmaltes de uñas [cosméticos]; reparadores de uñas; uñas postizas; uñas postizas de metales preciosos; uñas postizas para los dedos de los pies; esmaltes de uñas para uso cosmético; esmaltes de uñas y quitaesmaltes; fortalecedores de uñas;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difusores de perfumes de ambiente con varillas; eau de parfum [agua de perfume]; extractos de flores [productos de perfumería]; extractos de flores en cuanto perfumes; extractos de flores en cuanto productos de perfumería; fragancias y productos de perfumería; iononas [productos de perfumería]; menta para perfumería; mezclas de perfumería; perfumería para cosméticos; perfumería y fragancias; perfumes; perfumes líquidos; perfumes para uso industrial; perfumes sólidos; perfumes y aguas de colonia; perfumes y aguas de tocador; aceites de perfumería; aceites esenciales en cuanto perfumes de lavandería; aceites para perfumes y fragancias; agua de perfume; almizcle [producto de perfumería]; bases para perfumes de flores; colonias, perfumes y productos cosméticos; perfumes y colonias; perfumes, aguas de colonia y productos para después del afeitado; preparaciones ambientadoras (perfumes); productos de fumigación [perfumes];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fragancias e incienso; productos de perfumería, fragancias e incienso que no sean perfumes para uso personal; productos de perfumería, inciensos y fragancias; recambios de perfumes para difusores de aceites esenciales enchufables; recambios de perfumes para difusores electrónicos de aceites esenciales; vainillina sintética [productos de perfumería]; aceite de menta [perfumería]; ámbar [productos de perfumería]; ámbar gris [perfume]; aerosoles bucales no medicinales; aerosoles bucales, que no sean no para uso médico; dentífricos y enjuagues bucales; dentífricos y enjuagues bucales no medicinales; enjuagues bucales no medicinales; enjuagues bucales no medicinales para animales de compañía; enjuagues bucales para prevenir las caries que no sean de uso médico; enjuagues bucales que no sean para uso médico; esprays bucales no medicinales; esprays bucales, que no sean no para uso médico; limpiadores con pulverizador para refrescar protectores bucales para deportes; preparaciones cosméticas para el cuidado bucal; preparaciones no medicinales para el cuidado bucal; preparaciones para el cuidado bucal [no medicinales]; preparaciones para el cuidado bucal, no medicinales; productos de limpieza en aerosoles para refrescar protectores bucales para deportes; geles blanqueadores para uso dental; lociones de limpieza dental; pasta dental en pastillas; polvos dentales; polvos dentales hidratados; polvos dentales para uso cosmético; preparaciones de limpieza dental; preparaciones no medicinales para el cuidado dental; preparaciones no medicinales para el cuidado dental de los animales; preparaciones para el cuidado dental; preparaciones para el cuidado dental de las personas; preparaciones para el cuidado dental de los animales; preparaciones para limpiar prótesis dentales; preparaciones para pulir prótesis dentales; tiras blanqueadoras dentales; aguas de colonia para después del afeitado; bálsamos no medicinales para después del afeitado; bálsamos para después del afeitado; bálsamos para el afeitado; colonias para después del afeitado; cremas hidratantes para después del afeitado; cremas para antes del afeitado; cremas para después del afeitado; cremas para después del afeitado (no medicinales); emulsiones para después del afeitado; geles no medicinales para después del afeitado; geles para antes del afeitado; geles para después del afeitado; geles para el afeitado; leche hidratante para después del afeitado; leche para después del afeitado; lociones para después del afeitado; lociones para el afeitado; piedras astringentes para después del afeitado; piedras astringentes para después del afeitado para uso cosmético; piedras de alumbre para el afeitado; piedras para el afeitado [astringentes]; piedras para el afeitado en cuanto astringentes; piedras para el afeitado en cuanto astringentes para uso cosmético; preparaciones hidratantes para después del afeitado; preparaciones para antes y después del afeitado; preparaciones para después del afeitado; preparaciones para el afeitado en forma líquida; preparaciones para el afeitado y para después del afeitado; preparacioness no medicinales para después del afeitado; productos para después del afeitado; aceites bronceadores; aceites bronceadores [cosméticos]; aceites bronceadores de uso cosmético; aceites para bronceado [cosméticos]; aceites y lociones bronceadoras; autobronceadores; autobronceadores [cosméticos]; cremas autobronceadoras; cremas bronceadoras; cremas y lociones bronceadoras; cremas, lociones y otras preparaciones cosméticas bronceadoras; geles bronceadores; geles bronceadores [cosméticos]; leche bronceadora; leches bronceadoras; leches bronceadoras [cosméticos]; leches, geles y aceites bronceadores y para después del sol, de uso cosmético; lociones autobronceadoras [cosméticos]; lociones bronceadoras; preparaciones autobronceadoras; preparaciones autobronceadoras [cosméticos]; preparaciones bronceadoras y de protección solar; toallitas impregnadas con preparados de bronceador; aceites de protección solar; aceites de protección solar [cosméticos]; aceites solares de uso cosmético; aceites y lociones con filtro solar; aceites y lociones de protección solar; bloqueador solar [cosméticos]; cremas con filtro solar; cremas con filtro solar para uso cosmético; cremas de protección solar; cremas de protección solar para uso cosmético; cremas solares para bebés; espumas cosméticas con filtro solar; filtro solar [cosméticos]; lociones con filtro solar; lociones con filtro solar para uso cosmético; lociones con pantalla solar; lociones con pantalla solar para uso cosmético; lociones de protección solar; lociones de protección solar para uso cosmético; pomadas no medicinales para prevenir y tratar las quemaduras solares; preparaciones con filtro solar; preparaciones con filtro solar para animales; preparaciones con pantalla solar; preparaciones cosméticas contra las quemaduras solares; preparaciones cosméticas de protección solar; preparaciones de bloqueadores solares para uso cosmético; preparaciones de protección solar; preparaciones de protección solar [productos cosméticos]; preparaciones de protección solar para animales; preparaciones de protección solar para uso cosmético; preparaciones no medicinales para aliviar las quemaduras solares; productos con filtro solar; productos con filtro solar a prueba de agua; productos con filtro solar para uso cosmético; productos con filtro solar resistentes al agua; productos con pantalla solar; protectores solares en barra; protectores solares en stick; protectores solares para bebés; aerosoles depilatorios; depilatorios; geles depilatorios; productos depilatorios; sprays depilatorios; productos para aclarar el cabello.
</x:t>
        </x:is>
      </x:c>
      <x:c r="L260" s="3" t="inlineStr">
        <x:is>
          <x:t>No</x:t>
        </x:is>
      </x:c>
      <x:c r="M260" s="3" t="inlineStr">
        <x:is>
          <x:t>HEIDY DANIELA GOMEZ MUETE, CLL 2B #23-72, BOGOTÁ, D.C. 110111, CO</x:t>
        </x:is>
      </x:c>
      <x:c r="N260" s="3" t="inlineStr">
        <x:is>
          <x:t/>
        </x:is>
      </x:c>
      <x:c r="O260" s="3" t="inlineStr">
        <x:is>
          <x:t>30 jun. 2022</x:t>
        </x:is>
      </x:c>
      <x:c r="P260" s="3" t="inlineStr">
        <x:is>
          <x:t/>
        </x:is>
      </x:c>
      <x:c r="Q260" s="3" t="inlineStr">
        <x:is>
          <x:t/>
        </x:is>
      </x:c>
    </x:row>
    <x:row r="261">
      <x:c r="A261" s="10" t="inlineStr">
        <x:f xml:space="preserve">HYPERLINK("http://sipi.sic.gov.co/sipi/View.ashx?4193693","SD2022/0053471")</x:f>
      </x:c>
      <x:c r="B261" s="3" t="inlineStr">
        <x:is>
          <x:t>ACARAMELADOS</x:t>
        </x:is>
      </x:c>
      <x:c r="C261" s="9" t="inlineStr">
        <x:is>
          <x:t/>
        </x:is>
      </x:c>
      <x:c r="D261" s="3" t="inlineStr">
        <x:is>
          <x:t>30 may. 2022</x:t>
        </x:is>
      </x:c>
      <x:c r="E261" s="3" t="inlineStr">
        <x:is>
          <x:t/>
        </x:is>
      </x:c>
      <x:c r="F261" s="3" t="inlineStr">
        <x:is>
          <x:t>Negada</x:t>
        </x:is>
      </x:c>
      <x:c r="G261" s="3" t="inlineStr">
        <x:is>
          <x:t>ACARAMELADOS</x:t>
        </x:is>
      </x:c>
      <x:c r="H261" s="3" t="inlineStr">
        <x:is>
          <x:t>SEBASTIAN RINCON GIRALDO, CRA 44 #67 SUR 62, SABANETA, ANTIOQUIA 055450, CO</x:t>
        </x:is>
      </x:c>
      <x:c r="I261" s="3" t="inlineStr">
        <x:is>
          <x:t>3</x:t>
        </x:is>
      </x:c>
      <x:c r="J261" s="3" t="inlineStr">
        <x:is>
          <x:t>11</x:t>
        </x:is>
      </x:c>
      <x:c r="K261" s="3" t="inlineStr">
        <x:is>
          <x:t>3. Aceites cosméticos; aceites de protección solar [cosméticos]; aceites para bronceado [cosméticos]; aceites perfumados para la fabricación de productos cosméticos; aerosoles cosméticos de uso tópico para la piel; almohadillas de limpieza impregnadas con productos cosméticos; apitoxina [veneno de abeja melífera] con fines cosméticos; autobronceadores [cosméticos]; barras de labios con protección solar [cosméticos]; bloqueador solar [cosméticos]; colorantes labiales [productos cosméticos]; correctores de imperfecciones [productos cosméticos]; cosméticos; cosméticos a base de cannabis; cosméticos a base de hierbas; cosméticos en forma de polvos; cosméticos funcionales en cuanto preparaciones para blanquear la piel; cosméticos orgánicos; cosméticos para broncear la piel; cosméticos para cuidados corporales y estéticos; cosméticos para el cabello; cosméticos para las cejas; cosméticos para los labios; cosméticos para pestañas; cosméticos para tratamiento de belleza cosméticos para el cuidado de belleza; cosméticos y preparaciones de cuidado personal; cremas hidratantes para la piel [cosméticos]; cremas para la cara [cosméticos]; cremas y geles cosméticos para cara, manos y cuerpo; endurecedores de uñas [cosméticos]; exfoliantes corporales cosméticos; geles bronceadores [cosméticos]; geles para el cuerpo y la cara [cosméticos]; hidratantes [cosméticos]; hidratantes para la piel utilizados como cosméticos; jabones cosméticos; kits de cosméticos que comprenden principalmente máscara de pestañas, lápices de labios, lápices de cejas, maquillaje, fundación de maquillaje y brillos de labios; lociones autobronceadoras [cosméticos]; lociones hidratantes [cosméticos]; lociones no medicinales para el cuidado de la piel [cosméticos]; maquillaje [cosméticos]; mascarillas faciales [productos cosméticos]; pañitos cosméticos prehumedecidos; perfumería para cosméticos; polvos compactos para polveras [cosméticos]; productos cosméticos de cbd; productos cosméticos de baño y ducha; productos cosméticos decorativos; productos cosméticos en aerosol para el cuidado de la piel; productos cosméticos para el baño y la ducha; productos cosméticos para el cuidado de la piel de los perros; productos cosméticos para niños; productos de perfumería, aceites esenciales, cosméticos, lociones capilares; tintes cosméticos; toallitas desechables impregnadas con preparados cosméticos para bebés; toallitas impregnadas con preparados cosméticos; tónicos cosméticos; tónicos cosméticos para la cara; veneno de abeja con fines cosméticos; cremas autobronceadoras; cremas bronceadoras; preparaciones autobronceadoras [cosméticos]; toallitas impregnadas con preparados de bronceador.
</x:t>
        </x:is>
      </x:c>
      <x:c r="L261" s="3" t="inlineStr">
        <x:is>
          <x:t>No</x:t>
        </x:is>
      </x:c>
      <x:c r="M261" s="3" t="inlineStr">
        <x:is>
          <x:t/>
        </x:is>
      </x:c>
      <x:c r="N261" s="3" t="inlineStr">
        <x:is>
          <x:t/>
        </x:is>
      </x:c>
      <x:c r="O261" s="3" t="inlineStr">
        <x:is>
          <x:t>08 jul. 2022</x:t>
        </x:is>
      </x:c>
      <x:c r="P261" s="3" t="inlineStr">
        <x:is>
          <x:t/>
        </x:is>
      </x:c>
      <x:c r="Q261" s="3" t="inlineStr">
        <x:is>
          <x:t/>
        </x:is>
      </x:c>
    </x:row>
    <x:row r="262">
      <x:c r="A262" s="10" t="inlineStr">
        <x:f xml:space="preserve">HYPERLINK("http://sipi.sic.gov.co/sipi/View.ashx?4193738","SD2022/0053474")</x:f>
      </x:c>
      <x:c r="B262" s="3" t="inlineStr">
        <x:is>
          <x:t>ZELVATIC</x:t>
        </x:is>
      </x:c>
      <x:c r="C262" s="9" t="inlineStr">
        <x:is>
          <x:t/>
        </x:is>
      </x:c>
      <x:c r="D262" s="3" t="inlineStr">
        <x:is>
          <x:t>30 may. 2022</x:t>
        </x:is>
      </x:c>
      <x:c r="E262" s="3" t="inlineStr">
        <x:is>
          <x:t/>
        </x:is>
      </x:c>
      <x:c r="F262" s="3" t="inlineStr">
        <x:is>
          <x:t>Negada</x:t>
        </x:is>
      </x:c>
      <x:c r="G262" s="3" t="inlineStr">
        <x:is>
          <x:t>ZELVATIC</x:t>
        </x:is>
      </x:c>
      <x:c r="H262" s="3" t="inlineStr">
        <x:is>
          <x:t>SEBASTIAN RINCON GIRALDO, CRA 44 #67 SUR 62, SABANETA, ANTIOQUIA 055450, CO</x:t>
        </x:is>
      </x:c>
      <x:c r="I262" s="3" t="inlineStr">
        <x:is>
          <x:t>3</x:t>
        </x:is>
      </x:c>
      <x:c r="J262" s="3" t="inlineStr">
        <x:is>
          <x:t>11</x:t>
        </x:is>
      </x:c>
      <x:c r="K262" s="3" t="inlineStr">
        <x:is>
          <x:t>3. Aceites de protección solar; aceites para después del sol; autobronceadores; barras de labios con protección solar; bloqueador solar; colorantes labiales; composiciones para aclarar la piel; correctores de imperfecciones; cremas de limpieza de la piel a base de cannabis y cáñamo; cremas hidratantes para la piel a base de cannabis y cáñamo; cremas y geles para rostro, manos y cuerpo; geles hidratantes; geles para el cuerpo y la cara; kits de cosméticos que comprenden principalmente máscara de pestañas, lápices de labios, lápices de cejas, maquillaje, fundación de maquillaje y brillos de labios; limpiadores cutáneos con propiedades suavizantes; lociones para la piel; maquillaje; mascarillas faciales; papel secante anti-brillo; parches cosméticos con filtro y pantalla solar para aplicar sobre la piel; perfumería para cosméticos; polvos compactos para polveras; preparaciones autobronceadoras; productos cosméticos para el cabello y el cuero cabelludo; productos cosméticos para las pestañas; productos de perfumería, aceites esenciales, lociones capilares no medicinales; productos de perfumería, aceites esenciales, cosméticos, lociones capilares; productos para el cuidado de la piel; tintes; tónicos faciales; veneno de abeja con fines cosméticos.
</x:t>
        </x:is>
      </x:c>
      <x:c r="L262" s="3" t="inlineStr">
        <x:is>
          <x:t>No</x:t>
        </x:is>
      </x:c>
      <x:c r="M262" s="3" t="inlineStr">
        <x:is>
          <x:t/>
        </x:is>
      </x:c>
      <x:c r="N262" s="3" t="inlineStr">
        <x:is>
          <x:t/>
        </x:is>
      </x:c>
      <x:c r="O262" s="3" t="inlineStr">
        <x:is>
          <x:t>30 ago. 2022</x:t>
        </x:is>
      </x:c>
      <x:c r="P262" s="3" t="inlineStr">
        <x:is>
          <x:t/>
        </x:is>
      </x:c>
      <x:c r="Q262" s="3" t="inlineStr">
        <x:is>
          <x:t/>
        </x:is>
      </x:c>
    </x:row>
    <x:row r="263">
      <x:c r="A263" s="10" t="inlineStr">
        <x:f xml:space="preserve">HYPERLINK("http://sipi.sic.gov.co/sipi/View.ashx?4194038","SD2022/0053515")</x:f>
      </x:c>
      <x:c r="B263" s="3" t="inlineStr">
        <x:is>
          <x:t>Capricci Club Co</x:t>
        </x:is>
      </x:c>
      <x:c r="C263" s="9" t="inlineStr">
        <x:is>
          <x:t/>
        </x:is>
      </x:c>
      <x:c r="D263" s="3" t="inlineStr">
        <x:is>
          <x:t>31 may. 2022</x:t>
        </x:is>
      </x:c>
      <x:c r="E263" s="3" t="inlineStr">
        <x:is>
          <x:t/>
        </x:is>
      </x:c>
      <x:c r="F263" s="3" t="inlineStr">
        <x:is>
          <x:t>Negada</x:t>
        </x:is>
      </x:c>
      <x:c r="G263" s="3" t="inlineStr">
        <x:is>
          <x:t>Capricci Club</x:t>
        </x:is>
      </x:c>
      <x:c r="H263" s="3" t="inlineStr">
        <x:is>
          <x:t>Lis Jhoana  Navarro Yanez, Manzana 3 casa 120, CANDELARIA, VALLE DEL CAUCA, CO</x:t>
        </x:is>
      </x:c>
      <x:c r="I263" s="3" t="inlineStr">
        <x:is>
          <x:t>3</x:t>
        </x:is>
      </x:c>
      <x:c r="J263" s="3" t="inlineStr">
        <x:is>
          <x:t>11</x:t>
        </x:is>
      </x:c>
      <x:c r="K263" s="3" t="inlineStr">
        <x:is>
          <x:t>3. Bálsamos capilares; champús capilares; cremas capilares; fijadores capilares; lociones capilares*; productos de perfumería, aceites esenciales, cosméticos no medicinales, lociones capilares no medicinales.
</x:t>
        </x:is>
      </x:c>
      <x:c r="L263" s="3" t="inlineStr">
        <x:is>
          <x:t>No</x:t>
        </x:is>
      </x:c>
      <x:c r="M263" s="3" t="inlineStr">
        <x:is>
          <x:t/>
        </x:is>
      </x:c>
      <x:c r="N263" s="3" t="inlineStr">
        <x:is>
          <x:t/>
        </x:is>
      </x:c>
      <x:c r="O263" s="3" t="inlineStr">
        <x:is>
          <x:t>11 oct. 2022</x:t>
        </x:is>
      </x:c>
      <x:c r="P263" s="3" t="inlineStr">
        <x:is>
          <x:t/>
        </x:is>
      </x:c>
      <x:c r="Q263" s="3" t="inlineStr">
        <x:is>
          <x:t/>
        </x:is>
      </x:c>
    </x:row>
    <x:row r="264">
      <x:c r="A264" s="10" t="inlineStr">
        <x:f xml:space="preserve">HYPERLINK("http://sipi.sic.gov.co/sipi/View.ashx?4195495","SD2022/0054710")</x:f>
      </x:c>
      <x:c r="B264" s="3" t="inlineStr">
        <x:is>
          <x:t>INTIMA-V</x:t>
        </x:is>
      </x:c>
      <x:c r="C264" s="3" t="inlineStr">
        <x:is>
          <x:t/>
        </x:is>
      </x:c>
      <x:c r="D264" s="3" t="inlineStr">
        <x:is>
          <x:t>01 jun. 2022</x:t>
        </x:is>
      </x:c>
      <x:c r="E264" s="3" t="inlineStr">
        <x:is>
          <x:t/>
        </x:is>
      </x:c>
      <x:c r="F264" s="3" t="inlineStr">
        <x:is>
          <x:t>Negada</x:t>
        </x:is>
      </x:c>
      <x:c r="G264" s="3" t="inlineStr">
        <x:is>
          <x:t>665198577REG</x:t>
        </x:is>
      </x:c>
      <x:c r="H264" s="3" t="inlineStr">
        <x:is>
          <x:t> DR. AUGUST WOLFF GMBH &amp; CO. KG ARZNEIMITTEL, SUDBRACKSTRASSE 56, 33611 BIELEFELD, ALEMANIA, BIELEFELD, NORDRHEIN-WESTFALEN, DE</x:t>
        </x:is>
      </x:c>
      <x:c r="I264" s="3" t="inlineStr">
        <x:is>
          <x:t>3, 5, 10</x:t>
        </x:is>
      </x:c>
      <x:c r="J264" s="3" t="inlineStr">
        <x:is>
          <x:t>11</x:t>
        </x:is>
      </x:c>
      <x:c r="K264" s="3" t="inlineStr">
        <x:is>
          <x:t>3. Artículos de tocador; preparaciones para la limpieza y el cuidado del cuerpo; jabones y geles; preparaciones para el baño; humectantes vaginales no medicados; humectantes vaginales no medicados en forma de crema o crema que contiene pesario.
5. Preparaciones médicas; suplementos dietéticos y preparaciones dietéticas; productos farmacéuticos y remedios naturales; humectantes vaginales; humectantes vaginales en forma de crema o cremas que contienen pesario; preparaciones y artículos sanitarios; desinfectantes y antisépticos; jabones y detergentes medicinales y desinfectantes; preparaciones de baño para uso médico.
10. Copas menstruales.
</x:t>
        </x:is>
      </x:c>
      <x:c r="L264" s="3" t="inlineStr">
        <x:is>
          <x:t>Sí</x:t>
        </x:is>
      </x:c>
      <x:c r="M264" s="3" t="inlineStr">
        <x:is>
          <x:t>JUAN CARLOS URIBE RESTREPO, CALLE 93B No. 12-48 PISO 4, BOGOTÁ, D.C., CO</x:t>
        </x:is>
      </x:c>
      <x:c r="N264" s="3" t="inlineStr">
        <x:is>
          <x:t/>
        </x:is>
      </x:c>
      <x:c r="O264" s="3" t="inlineStr">
        <x:is>
          <x:t>30 jun. 2022</x:t>
        </x:is>
      </x:c>
      <x:c r="P264" s="3" t="inlineStr">
        <x:is>
          <x:t>08 dic. 2021</x:t>
        </x:is>
      </x:c>
      <x:c r="Q264" s="3" t="inlineStr">
        <x:is>
          <x:t/>
        </x:is>
      </x:c>
    </x:row>
    <x:row r="265">
      <x:c r="A265" s="10" t="inlineStr">
        <x:f xml:space="preserve">HYPERLINK("http://sipi.sic.gov.co/sipi/View.ashx?4196054","SD2022/0054016")</x:f>
      </x:c>
      <x:c r="B265" s="3" t="inlineStr">
        <x:is>
          <x:t>BIOCLAR SKIN COSMETICS</x:t>
        </x:is>
      </x:c>
      <x:c r="C265" s="9" t="inlineStr">
        <x:is>
          <x:t/>
        </x:is>
      </x:c>
      <x:c r="D265" s="3" t="inlineStr">
        <x:is>
          <x:t>31 may. 2022</x:t>
        </x:is>
      </x:c>
      <x:c r="E265" s="3" t="inlineStr">
        <x:is>
          <x:t/>
        </x:is>
      </x:c>
      <x:c r="F265" s="3" t="inlineStr">
        <x:is>
          <x:t>Negada</x:t>
        </x:is>
      </x:c>
      <x:c r="G265" s="3" t="inlineStr">
        <x:is>
          <x:t>SD - BIOCLAR SKIN COSMETICS</x:t>
        </x:is>
      </x:c>
      <x:c r="H265" s="3" t="inlineStr">
        <x:is>
          <x:t>MARCELA  RUIZ RODRÍGUEZ, Carrera 12 No. 119 - 08. PISO 4, BOGOTÁ, D.C., CO</x:t>
        </x:is>
      </x:c>
      <x:c r="I265" s="3" t="inlineStr">
        <x:is>
          <x:t>3</x:t>
        </x:is>
      </x:c>
      <x:c r="J265" s="3" t="inlineStr">
        <x:is>
          <x:t>11</x:t>
        </x:is>
      </x:c>
      <x:c r="K265" s="3" t="inlineStr">
        <x:is>
          <x:t>3. Productos cosméticos y preparaciones de tocador no medicinales; dentífricos no medicinales; productos de perfumería, aceites esenciales.
</x:t>
        </x:is>
      </x:c>
      <x:c r="L265" s="3" t="inlineStr">
        <x:is>
          <x:t>No</x:t>
        </x:is>
      </x:c>
      <x:c r="M265" s="3" t="inlineStr">
        <x:is>
          <x:t>WILLIAM ORLANDO  QUIROGA, Carrera 13 No. 32-93. Torre 3, Oficina 708. Parque Central Baviera., BOGOTA, CUNDINAMARCA, CO</x:t>
        </x:is>
      </x:c>
      <x:c r="N265" s="3" t="inlineStr">
        <x:is>
          <x:t/>
        </x:is>
      </x:c>
      <x:c r="O265" s="3" t="inlineStr">
        <x:is>
          <x:t>08 jul. 2022</x:t>
        </x:is>
      </x:c>
      <x:c r="P265" s="3" t="inlineStr">
        <x:is>
          <x:t/>
        </x:is>
      </x:c>
      <x:c r="Q265" s="3" t="inlineStr">
        <x:is>
          <x:t/>
        </x:is>
      </x:c>
    </x:row>
    <x:row r="266">
      <x:c r="A266" s="10" t="inlineStr">
        <x:f xml:space="preserve">HYPERLINK("http://sipi.sic.gov.co/sipi/View.ashx?4197069","SD2022/0054172")</x:f>
      </x:c>
      <x:c r="B266" s="3" t="inlineStr">
        <x:is>
          <x:t>DERMA NATURAL </x:t>
        </x:is>
      </x:c>
      <x:c r="C266" s="9" t="inlineStr">
        <x:is>
          <x:t/>
        </x:is>
      </x:c>
      <x:c r="D266" s="3" t="inlineStr">
        <x:is>
          <x:t>01 jun. 2022</x:t>
        </x:is>
      </x:c>
      <x:c r="E266" s="3" t="inlineStr">
        <x:is>
          <x:t/>
        </x:is>
      </x:c>
      <x:c r="F266" s="3" t="inlineStr">
        <x:is>
          <x:t>Negada</x:t>
        </x:is>
      </x:c>
      <x:c r="G266" s="3" t="inlineStr">
        <x:is>
          <x:t>DERMA NATURAL</x:t>
        </x:is>
      </x:c>
      <x:c r="H266" s="3" t="inlineStr">
        <x:is>
          <x:t> GRUPO FARINTER IP SRL, BARRIO LA GRANJA EDIFICIO FARINTER , TEGUCIGALPA, DISTRITO CENTRAL, HN</x:t>
        </x:is>
      </x:c>
      <x:c r="I266" s="3" t="inlineStr">
        <x:is>
          <x:t>3, 5</x:t>
        </x:is>
      </x:c>
      <x:c r="J266" s="3" t="inlineStr">
        <x:is>
          <x:t>11</x:t>
        </x:is>
      </x:c>
      <x:c r="K266" s="3" t="inlineStr">
        <x:is>
          <x:t>3. Productos cosméticos para el cuidado de la piel; productos cosméticos para la piel; productos cosméticos y de maquillaje.
5. Preparaciones farmacéuticas; preparaciones parafarmacéuticas para uso dermatológico; lociones farmacéuticas para la piel; preparaciones farmacéuticas para cuidar la piel; preparaciones farmacéuticas para el cuidado de la salud; cremas medicamentosas para hidratar la piel; cremas medicamentosas para la hidratación de la piel; cremas medicamentosas para la piel; cremas medicinales para la piel; cremas para el cuidado de la piel, medicinales; jabones antibacterianos para la piel; lociones y cremas medicamentosas para el cuerpo, piel, cara y manos; lociones y cremas medicamentosas para el cuerpo, piel, rostro y manos; lociones y cremas medicinales para el cuerpo, piel, cara y manos; preparaciones de uso médico para limpiar la piel; preparaciones farmacológicas para cuidar la piel.
</x:t>
        </x:is>
      </x:c>
      <x:c r="L266" s="3" t="inlineStr">
        <x:is>
          <x:t>Sí</x:t>
        </x:is>
      </x:c>
      <x:c r="M266" s="3" t="inlineStr">
        <x:is>
          <x:t>FELIPE ABELLO MONSALVO, Carrera 10 No. 97A - 13, Torre A, Oficina 506, BOGOTÁ, D.C., CO</x:t>
        </x:is>
      </x:c>
      <x:c r="N266" s="3" t="inlineStr">
        <x:is>
          <x:t/>
        </x:is>
      </x:c>
      <x:c r="O266" s="3" t="inlineStr">
        <x:is>
          <x:t>10 jun. 2022</x:t>
        </x:is>
      </x:c>
      <x:c r="P266" s="3" t="inlineStr">
        <x:is>
          <x:t/>
        </x:is>
      </x:c>
      <x:c r="Q266" s="3" t="inlineStr">
        <x:is>
          <x:t/>
        </x:is>
      </x:c>
    </x:row>
    <x:row r="267">
      <x:c r="A267" s="10" t="inlineStr">
        <x:f xml:space="preserve">HYPERLINK("http://sipi.sic.gov.co/sipi/View.ashx?4198586","SD2022/0054647")</x:f>
      </x:c>
      <x:c r="B267" s="3" t="inlineStr">
        <x:is>
          <x:t>CANNAVIT</x:t>
        </x:is>
      </x:c>
      <x:c r="C267" s="3" t="inlineStr">
        <x:is>
          <x:t/>
        </x:is>
      </x:c>
      <x:c r="D267" s="3" t="inlineStr">
        <x:is>
          <x:t>01 jun. 2022</x:t>
        </x:is>
      </x:c>
      <x:c r="E267" s="3" t="inlineStr">
        <x:is>
          <x:t/>
        </x:is>
      </x:c>
      <x:c r="F267" s="3" t="inlineStr">
        <x:is>
          <x:t>Negada</x:t>
        </x:is>
      </x:c>
      <x:c r="G267" s="3" t="inlineStr">
        <x:is>
          <x:t/>
        </x:is>
      </x:c>
      <x:c r="H267" s="3" t="inlineStr">
        <x:is>
          <x:t> SOCIEDAD DE COMERCIALIZACION INTERNACIONAL COLLECTIONS S.A.S., CL 52 # 1 N - 100 PI 2, CALI, VALLE DEL CAUCA, CO</x:t>
        </x:is>
      </x:c>
      <x:c r="I267" s="3" t="inlineStr">
        <x:is>
          <x:t>3</x:t>
        </x:is>
      </x:c>
      <x:c r="J267" s="3" t="inlineStr">
        <x:is>
          <x:t>11</x:t>
        </x:is>
      </x:c>
      <x:c r="K267" s="3" t="inlineStr">
        <x:is>
          <x:t>3. Cosméticos a base de cannabis; aceites cosméticos; cosméticos; aceites de cáñamo a base de cbd para uso cosmético; preparaciones para el cuidado de la piel a base de cbd; preparados para el cuidado de la piel a base de cbd; productos cosméticos de cbd.
</x:t>
        </x:is>
      </x:c>
      <x:c r="L267" s="3" t="inlineStr">
        <x:is>
          <x:t>No</x:t>
        </x:is>
      </x:c>
      <x:c r="M267" s="3" t="inlineStr">
        <x:is>
          <x:t>AIDA LUCIA CERTUCHE CANDELO, CL 64N 5BN 145 OF 314A, CALI, VALLE DEL CAUCA, CO</x:t>
        </x:is>
      </x:c>
      <x:c r="N267" s="3" t="inlineStr">
        <x:is>
          <x:t/>
        </x:is>
      </x:c>
      <x:c r="O267" s="3" t="inlineStr">
        <x:is>
          <x:t>31 oct. 2022</x:t>
        </x:is>
      </x:c>
      <x:c r="P267" s="3" t="inlineStr">
        <x:is>
          <x:t/>
        </x:is>
      </x:c>
      <x:c r="Q267" s="3" t="inlineStr">
        <x:is>
          <x:t/>
        </x:is>
      </x:c>
    </x:row>
    <x:row r="268">
      <x:c r="A268" s="10" t="inlineStr">
        <x:f xml:space="preserve">HYPERLINK("http://sipi.sic.gov.co/sipi/View.ashx?4198866","SD2022/0054728")</x:f>
      </x:c>
      <x:c r="B268" s="3" t="inlineStr">
        <x:is>
          <x:t>ENTHEIA</x:t>
        </x:is>
      </x:c>
      <x:c r="C268" s="9" t="inlineStr">
        <x:is>
          <x:t/>
        </x:is>
      </x:c>
      <x:c r="D268" s="3" t="inlineStr">
        <x:is>
          <x:t>01 jun. 2022</x:t>
        </x:is>
      </x:c>
      <x:c r="E268" s="3" t="inlineStr">
        <x:is>
          <x:t/>
        </x:is>
      </x:c>
      <x:c r="F268" s="3" t="inlineStr">
        <x:is>
          <x:t>Negada</x:t>
        </x:is>
      </x:c>
      <x:c r="G268" s="3" t="inlineStr">
        <x:is>
          <x:t>entheia</x:t>
        </x:is>
      </x:c>
      <x:c r="H268" s="3" t="inlineStr">
        <x:is>
          <x:t>ERICKA LORENA  CARO CARDENAS, CALLE 187 # 11- 41, BOGOTÁ, D.C., CO</x:t>
        </x:is>
      </x:c>
      <x:c r="I268" s="3" t="inlineStr">
        <x:is>
          <x:t>3</x:t>
        </x:is>
      </x:c>
      <x:c r="J268" s="3" t="inlineStr">
        <x:is>
          <x:t>11</x:t>
        </x:is>
      </x:c>
      <x:c r="K268" s="3" t="inlineStr">
        <x:is>
          <x:t>3. Aceites aromáticos; aceites aromáticos para el baño; aceites brillantes para el cuerpo; aceites bronceadores; aceites bronceadores [cosméticos]; aceites bronceadores de uso cosmético; aceites cosméticos; aceites cosméticos para la piel; aceites de aromaterapia; aceites de baño; aceites de baño no medicados; aceites de baño no medicinales; aceites de baño para uso cosmético; aceites de baño que no sean medicinales; aceites de baño, que no sean para uso médico; aceites de cáñamo a base de cbd para uso cosmético; aceites de ducha a base de cáñamo; aceites de limpieza; aceites de masaje, no medicinales; aceites de perfumería; aceites de pino para la limpieza de suelos; aceites de protección solar; aceites de protección solar [cosméticos]; aceites de tocador; aceites destilados para el cuidado de belleza;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en cuanto aromatizantes alimentarios; aceites esenciales en cuanto fragancias de lavandería; aceites esenciales en cuanto perfumes de lavandería; aceites esenciales industriales para uso en la fabricación de productos de tabaco; aceites esenciales naturales; aceites esenciales para ambientadores de interior; aceites esenciales para aparatos ambientadores de interior; aceites esenciales para aromatizar bebidas; aceites esenciales para aromatizar el tabaco; aceites esenciales para aromatizar las bebidas; aceites esenciales para aromatizar los alimentos; aceites esenciales para cigarrillos electrónicos; aceites esenciales para uso cosmético; aceites esenciales para uso doméstico; aceites esenciales para uso en aromaterapia; aceites esenciales para uso personal; aceites esenciales que no sean para uso médico o terapéutico; velas de masaje para uso cosmético; aceite de menta [perfumería]; aceites para perfumes y fragancias; agua de perfume; almizcle [producto de perfumería]; bases para perfumes de flores; colonias, perfumes y productos cosméticos; desodorantes corporales [perfumería]; desodorantes corporales [productos de perfumería]; desodorantes para personas o animales [productos de perfumería]; desodorantes para uso personal [perfumería]; difusores de perfumes de ambiente con varillas; eau de parfum [agua de perfume]; espráis utilizados como desodorantes y perfumes corporales; extractos de flores [productos de perfumería]; extractos de flores en cuanto perfumes; extractos de flores en cuanto productos de perfumería; fragancias y productos de perfumería; iononas [productos de perfumería]; menta para perfumería; mezclas de perfumería; perfumería para cosméticos; perfumería y fragancias;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perfumería, inciensos y fragancias; recambios de perfumes para difusores de aceites esenciales enchufables; recambios de perfumes para difusores electrónicos de aceites esenciales; vainillina sintética [productos de perfumería]; ámbar [productos de perfumería]; ámbar gris [perfume].
</x:t>
        </x:is>
      </x:c>
      <x:c r="L268" s="3" t="inlineStr">
        <x:is>
          <x:t>No</x:t>
        </x:is>
      </x:c>
      <x:c r="M268" s="3" t="inlineStr">
        <x:is>
          <x:t>CARLOS EDUARDO PUERTO HURTADO, Cr 17 No 150-52 ofc 301, BOGOTA, CUNDINAMARCA, CO</x:t>
        </x:is>
      </x:c>
      <x:c r="N268" s="3" t="inlineStr">
        <x:is>
          <x:t/>
        </x:is>
      </x:c>
      <x:c r="O268" s="3" t="inlineStr">
        <x:is>
          <x:t>10 jun. 2022</x:t>
        </x:is>
      </x:c>
      <x:c r="P268" s="3" t="inlineStr">
        <x:is>
          <x:t/>
        </x:is>
      </x:c>
      <x:c r="Q268" s="3" t="inlineStr">
        <x:is>
          <x:t/>
        </x:is>
      </x:c>
    </x:row>
    <x:row r="269">
      <x:c r="A269" s="10" t="inlineStr">
        <x:f xml:space="preserve">HYPERLINK("http://sipi.sic.gov.co/sipi/View.ashx?4198981","SD2022/0054770")</x:f>
      </x:c>
      <x:c r="B269" s="3" t="inlineStr">
        <x:is>
          <x:t>B BLSD DIG POMBO</x:t>
        </x:is>
      </x:c>
      <x:c r="C269" s="9" t="inlineStr">
        <x:is>
          <x:t/>
        </x:is>
      </x:c>
      <x:c r="D269" s="3" t="inlineStr">
        <x:is>
          <x:t>01 jun. 2022</x:t>
        </x:is>
      </x:c>
      <x:c r="E269" s="3" t="inlineStr">
        <x:is>
          <x:t/>
        </x:is>
      </x:c>
      <x:c r="F269" s="3" t="inlineStr">
        <x:is>
          <x:t>Negada</x:t>
        </x:is>
      </x:c>
      <x:c r="G269" s="3" t="inlineStr">
        <x:is>
          <x:t/>
        </x:is>
      </x:c>
      <x:c r="H269" s="3" t="inlineStr">
        <x:is>
          <x:t>DIGNA MARIA POMBO MANGA, Carrera 9 No. 7-30, PALMAR D VARELA, ATLÁNTICO, CO</x:t>
        </x:is>
      </x:c>
      <x:c r="I269" s="3" t="inlineStr">
        <x:is>
          <x:t>3, 18, 25, 35</x:t>
        </x:is>
      </x:c>
      <x:c r="J269" s="3" t="inlineStr">
        <x:is>
          <x:t>11</x:t>
        </x:is>
      </x:c>
      <x:c r="K26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18. Cuero y cuero de imitación; pieles de animales; artículos de equipaje y bolsas de transporte; paraguas y sombrillas; bastones; fustas, arneses y artículos de guarnicionería; collares, correas y ropa para animales.
25. Prendas de vestir, calzado, artículos de sombrerería.
35. Publicidad; gestión de negocios comerciales; administración comercial; trabajos de oficina.
</x:t>
        </x:is>
      </x:c>
      <x:c r="L269" s="3" t="inlineStr">
        <x:is>
          <x:t>No</x:t>
        </x:is>
      </x:c>
      <x:c r="M269" s="3" t="inlineStr">
        <x:is>
          <x:t/>
        </x:is>
      </x:c>
      <x:c r="N269" s="3" t="inlineStr">
        <x:is>
          <x:t/>
        </x:is>
      </x:c>
      <x:c r="O269" s="3" t="inlineStr">
        <x:is>
          <x:t>30 jun. 2022</x:t>
        </x:is>
      </x:c>
      <x:c r="P269" s="3" t="inlineStr">
        <x:is>
          <x:t/>
        </x:is>
      </x:c>
      <x:c r="Q269" s="3" t="inlineStr">
        <x:is>
          <x:t/>
        </x:is>
      </x:c>
    </x:row>
    <x:row r="270">
      <x:c r="A270" s="10" t="inlineStr">
        <x:f xml:space="preserve">HYPERLINK("http://sipi.sic.gov.co/sipi/View.ashx?4199002","SD2022/0054776")</x:f>
      </x:c>
      <x:c r="B270" s="3" t="inlineStr">
        <x:is>
          <x:t>B</x:t>
        </x:is>
      </x:c>
      <x:c r="C270" s="9" t="inlineStr">
        <x:is>
          <x:t/>
        </x:is>
      </x:c>
      <x:c r="D270" s="3" t="inlineStr">
        <x:is>
          <x:t>01 jun. 2022</x:t>
        </x:is>
      </x:c>
      <x:c r="E270" s="3" t="inlineStr">
        <x:is>
          <x:t/>
        </x:is>
      </x:c>
      <x:c r="F270" s="3" t="inlineStr">
        <x:is>
          <x:t>Negada</x:t>
        </x:is>
      </x:c>
      <x:c r="G270" s="3" t="inlineStr">
        <x:is>
          <x:t/>
        </x:is>
      </x:c>
      <x:c r="H270" s="3" t="inlineStr">
        <x:is>
          <x:t>DIGNA MARIA POMBO MANGA, Carrera 9 No. 7-30, PALMAR D VARELA, ATLÁNTICO, CO</x:t>
        </x:is>
      </x:c>
      <x:c r="I270" s="3" t="inlineStr">
        <x:is>
          <x:t>3, 18, 25, 35</x:t>
        </x:is>
      </x:c>
      <x:c r="J270" s="3" t="inlineStr">
        <x:is>
          <x:t>11</x:t>
        </x:is>
      </x:c>
      <x:c r="K270"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18. Cuero y cuero de imitación; pieles de animales; artículos de equipaje y bolsas de transporte; paraguas y sombrillas; bastones; fustas, arneses y artículos de guarnicionería; collares, correas y ropa para animales.
25. Prendas de vestir, calzado, artículos de sombrerería.
35. Publicidad; gestión de negocios comerciales; administración comercial; trabajos de oficina.
</x:t>
        </x:is>
      </x:c>
      <x:c r="L270" s="3" t="inlineStr">
        <x:is>
          <x:t>No</x:t>
        </x:is>
      </x:c>
      <x:c r="M270" s="3" t="inlineStr">
        <x:is>
          <x:t/>
        </x:is>
      </x:c>
      <x:c r="N270" s="3" t="inlineStr">
        <x:is>
          <x:t/>
        </x:is>
      </x:c>
      <x:c r="O270" s="3" t="inlineStr">
        <x:is>
          <x:t>30 jun. 2022</x:t>
        </x:is>
      </x:c>
      <x:c r="P270" s="3" t="inlineStr">
        <x:is>
          <x:t/>
        </x:is>
      </x:c>
      <x:c r="Q270" s="3" t="inlineStr">
        <x:is>
          <x:t/>
        </x:is>
      </x:c>
    </x:row>
    <x:row r="271">
      <x:c r="A271" s="10" t="inlineStr">
        <x:f xml:space="preserve">HYPERLINK("http://sipi.sic.gov.co/sipi/View.ashx?4199008","SD2022/0054779")</x:f>
      </x:c>
      <x:c r="B271" s="3" t="inlineStr">
        <x:is>
          <x:t>DIG POMBO</x:t>
        </x:is>
      </x:c>
      <x:c r="C271" s="3" t="inlineStr">
        <x:is>
          <x:t/>
        </x:is>
      </x:c>
      <x:c r="D271" s="3" t="inlineStr">
        <x:is>
          <x:t>01 jun. 2022</x:t>
        </x:is>
      </x:c>
      <x:c r="E271" s="3" t="inlineStr">
        <x:is>
          <x:t/>
        </x:is>
      </x:c>
      <x:c r="F271" s="3" t="inlineStr">
        <x:is>
          <x:t>Negada</x:t>
        </x:is>
      </x:c>
      <x:c r="G271" s="3" t="inlineStr">
        <x:is>
          <x:t/>
        </x:is>
      </x:c>
      <x:c r="H271" s="3" t="inlineStr">
        <x:is>
          <x:t>DIGNA MARIA POMBO MANGA, Carrera 9 No. 7-30, PALMAR D VARELA, ATLÁNTICO, CO</x:t>
        </x:is>
      </x:c>
      <x:c r="I271" s="3" t="inlineStr">
        <x:is>
          <x:t>3, 18, 25, 35</x:t>
        </x:is>
      </x:c>
      <x:c r="J271" s="3" t="inlineStr">
        <x:is>
          <x:t>11</x:t>
        </x:is>
      </x:c>
      <x:c r="K271"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18. Cuero y cuero de imitación; pieles de animales; artículos de equipaje y bolsas de transporte; paraguas y sombrillas; bastones; fustas, arneses y artículos de guarnicionería; collares, correas y ropa para animales.
25. Prendas de vestir, calzado, artículos de sombrerería.
35. Publicidad; gestión de negocios comerciales; administración comercial; trabajos de oficina.
</x:t>
        </x:is>
      </x:c>
      <x:c r="L271" s="3" t="inlineStr">
        <x:is>
          <x:t>No</x:t>
        </x:is>
      </x:c>
      <x:c r="M271" s="3" t="inlineStr">
        <x:is>
          <x:t/>
        </x:is>
      </x:c>
      <x:c r="N271" s="3" t="inlineStr">
        <x:is>
          <x:t/>
        </x:is>
      </x:c>
      <x:c r="O271" s="3" t="inlineStr">
        <x:is>
          <x:t>19 jul. 2022</x:t>
        </x:is>
      </x:c>
      <x:c r="P271" s="3" t="inlineStr">
        <x:is>
          <x:t/>
        </x:is>
      </x:c>
      <x:c r="Q271" s="3" t="inlineStr">
        <x:is>
          <x:t/>
        </x:is>
      </x:c>
    </x:row>
    <x:row r="272">
      <x:c r="A272" s="10" t="inlineStr">
        <x:f xml:space="preserve">HYPERLINK("http://sipi.sic.gov.co/sipi/View.ashx?4199010","SD2022/0054780")</x:f>
      </x:c>
      <x:c r="B272" s="3" t="inlineStr">
        <x:is>
          <x:t>BLSD</x:t>
        </x:is>
      </x:c>
      <x:c r="C272" s="3" t="inlineStr">
        <x:is>
          <x:t/>
        </x:is>
      </x:c>
      <x:c r="D272" s="3" t="inlineStr">
        <x:is>
          <x:t>01 jun. 2022</x:t>
        </x:is>
      </x:c>
      <x:c r="E272" s="3" t="inlineStr">
        <x:is>
          <x:t/>
        </x:is>
      </x:c>
      <x:c r="F272" s="3" t="inlineStr">
        <x:is>
          <x:t>Negada</x:t>
        </x:is>
      </x:c>
      <x:c r="G272" s="3" t="inlineStr">
        <x:is>
          <x:t/>
        </x:is>
      </x:c>
      <x:c r="H272" s="3" t="inlineStr">
        <x:is>
          <x:t>DIGNA MARIA POMBO MANGA, Carrera 9 No. 7-30, PALMAR D VARELA, ATLÁNTICO, CO</x:t>
        </x:is>
      </x:c>
      <x:c r="I272" s="3" t="inlineStr">
        <x:is>
          <x:t>3, 18, 25, 35</x:t>
        </x:is>
      </x:c>
      <x:c r="J272" s="3" t="inlineStr">
        <x:is>
          <x:t>11</x:t>
        </x:is>
      </x:c>
      <x:c r="K272"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18. Cuero y cuero de imitación; pieles de animales; artículos de equipaje y bolsas de transporte; paraguas y sombrillas; bastones; fustas, arneses y artículos de guarnicionería; collares, correas y ropa para animales.
25. Prendas de vestir, calzado, artículos de sombrerería.
35. Publicidad; gestión de negocios comerciales; administración comercial; trabajos de oficina.
</x:t>
        </x:is>
      </x:c>
      <x:c r="L272" s="3" t="inlineStr">
        <x:is>
          <x:t>No</x:t>
        </x:is>
      </x:c>
      <x:c r="M272" s="3" t="inlineStr">
        <x:is>
          <x:t/>
        </x:is>
      </x:c>
      <x:c r="N272" s="3" t="inlineStr">
        <x:is>
          <x:t/>
        </x:is>
      </x:c>
      <x:c r="O272" s="3" t="inlineStr">
        <x:is>
          <x:t>21 jun. 2022</x:t>
        </x:is>
      </x:c>
      <x:c r="P272" s="3" t="inlineStr">
        <x:is>
          <x:t/>
        </x:is>
      </x:c>
      <x:c r="Q272" s="3" t="inlineStr">
        <x:is>
          <x:t/>
        </x:is>
      </x:c>
    </x:row>
    <x:row r="273">
      <x:c r="A273" s="10" t="inlineStr">
        <x:f xml:space="preserve">HYPERLINK("http://sipi.sic.gov.co/sipi/View.ashx?4200177","SD2022/0055191")</x:f>
      </x:c>
      <x:c r="B273" s="3" t="inlineStr">
        <x:is>
          <x:t>MAGILAB</x:t>
        </x:is>
      </x:c>
      <x:c r="C273" s="9" t="inlineStr">
        <x:is>
          <x:t/>
        </x:is>
      </x:c>
      <x:c r="D273" s="3" t="inlineStr">
        <x:is>
          <x:t>02 jun. 2022</x:t>
        </x:is>
      </x:c>
      <x:c r="E273" s="3" t="inlineStr">
        <x:is>
          <x:t/>
        </x:is>
      </x:c>
      <x:c r="F273" s="3" t="inlineStr">
        <x:is>
          <x:t>Negada</x:t>
        </x:is>
      </x:c>
      <x:c r="G273" s="3" t="inlineStr">
        <x:is>
          <x:t/>
        </x:is>
      </x:c>
      <x:c r="H273" s="3" t="inlineStr">
        <x:is>
          <x:t> I LAB S.A.S., Calle 104A No. 45A - 45, BOGOTÁ, D.C., CO</x:t>
        </x:is>
      </x:c>
      <x:c r="I273" s="3" t="inlineStr">
        <x:is>
          <x:t>3</x:t>
        </x:is>
      </x:c>
      <x:c r="J273" s="3" t="inlineStr">
        <x:is>
          <x:t>11</x:t>
        </x:is>
      </x:c>
      <x:c r="K27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273" s="3" t="inlineStr">
        <x:is>
          <x:t>No</x:t>
        </x:is>
      </x:c>
      <x:c r="M273" s="3" t="inlineStr">
        <x:is>
          <x:t>FABIO LEON DIAZ DUQUE, Calle 94A No. 62 - 30, BOGOTÁ, D.C., CO</x:t>
        </x:is>
      </x:c>
      <x:c r="N273" s="3" t="inlineStr">
        <x:is>
          <x:t/>
        </x:is>
      </x:c>
      <x:c r="O273" s="3" t="inlineStr">
        <x:is>
          <x:t>30 jun. 2022</x:t>
        </x:is>
      </x:c>
      <x:c r="P273" s="3" t="inlineStr">
        <x:is>
          <x:t/>
        </x:is>
      </x:c>
      <x:c r="Q273" s="3" t="inlineStr">
        <x:is>
          <x:t/>
        </x:is>
      </x:c>
    </x:row>
    <x:row r="274">
      <x:c r="A274" s="10" t="inlineStr">
        <x:f xml:space="preserve">HYPERLINK("http://sipi.sic.gov.co/sipi/View.ashx?4202615","SD2022/0055886")</x:f>
      </x:c>
      <x:c r="B274" s="3" t="inlineStr">
        <x:is>
          <x:t>TECNOLOGÍA PRO-CERAMIDAS</x:t>
        </x:is>
      </x:c>
      <x:c r="C274" s="9" t="inlineStr">
        <x:is>
          <x:t/>
        </x:is>
      </x:c>
      <x:c r="D274" s="3" t="inlineStr">
        <x:is>
          <x:t>03 jun. 2022</x:t>
        </x:is>
      </x:c>
      <x:c r="E274" s="3" t="inlineStr">
        <x:is>
          <x:t/>
        </x:is>
      </x:c>
      <x:c r="F274" s="3" t="inlineStr">
        <x:is>
          <x:t>Negada</x:t>
        </x:is>
      </x:c>
      <x:c r="G274" s="3" t="inlineStr">
        <x:is>
          <x:t>LLC42068</x:t>
        </x:is>
      </x:c>
      <x:c r="H274" s="3" t="inlineStr">
        <x:is>
          <x:t> Kenvue Inc., 1 Kenvue Way, Summit, New Jersey 07901, Estados Unidos de América, SUMMIT, NEW JERSEY 07901, US</x:t>
        </x:is>
      </x:c>
      <x:c r="I274" s="3" t="inlineStr">
        <x:is>
          <x:t>3</x:t>
        </x:is>
      </x:c>
      <x:c r="J274" s="3" t="inlineStr">
        <x:is>
          <x:t>11</x:t>
        </x:is>
      </x:c>
      <x:c r="K274" s="3" t="inlineStr">
        <x:is>
          <x:t>3. Lociones y humectantes para la piel.
</x:t>
        </x:is>
      </x:c>
      <x:c r="L274" s="3" t="inlineStr">
        <x:is>
          <x:t>No</x:t>
        </x:is>
      </x:c>
      <x:c r="M274" s="3" t="inlineStr">
        <x:is>
          <x:t>ALICIA LLOREDA RICAURTE, CALLE 72A No. 5-83, PISO 3, BOGOTÁ, D.C., CO</x:t>
        </x:is>
      </x:c>
      <x:c r="N274" s="3" t="inlineStr">
        <x:is>
          <x:t/>
        </x:is>
      </x:c>
      <x:c r="O274" s="3" t="inlineStr">
        <x:is>
          <x:t>09 ago. 2022</x:t>
        </x:is>
      </x:c>
      <x:c r="P274" s="3" t="inlineStr">
        <x:is>
          <x:t/>
        </x:is>
      </x:c>
      <x:c r="Q274" s="3" t="inlineStr">
        <x:is>
          <x:t/>
        </x:is>
      </x:c>
    </x:row>
    <x:row r="275">
      <x:c r="A275" s="10" t="inlineStr">
        <x:f xml:space="preserve">HYPERLINK("http://sipi.sic.gov.co/sipi/View.ashx?4202650","SD2022/0056498")</x:f>
      </x:c>
      <x:c r="B275" s="3" t="inlineStr">
        <x:is>
          <x:t>DERMA STAGE</x:t>
        </x:is>
      </x:c>
      <x:c r="C275" s="9" t="inlineStr">
        <x:is>
          <x:t/>
        </x:is>
      </x:c>
      <x:c r="D275" s="3" t="inlineStr">
        <x:is>
          <x:t>06 jun. 2022</x:t>
        </x:is>
      </x:c>
      <x:c r="E275" s="3" t="inlineStr">
        <x:is>
          <x:t/>
        </x:is>
      </x:c>
      <x:c r="F275" s="3" t="inlineStr">
        <x:is>
          <x:t>Negada</x:t>
        </x:is>
      </x:c>
      <x:c r="G275" s="3" t="inlineStr">
        <x:is>
          <x:t>LLC42069</x:t>
        </x:is>
      </x:c>
      <x:c r="H275" s="3" t="inlineStr">
        <x:is>
          <x:t> Kenvue Inc., 1 Kenvue Way, Summit, New Jersey 07901, Estados Unidos de América, SUMMIT, NEW JERSEY 07901, US</x:t>
        </x:is>
      </x:c>
      <x:c r="I275" s="3" t="inlineStr">
        <x:is>
          <x:t>3</x:t>
        </x:is>
      </x:c>
      <x:c r="J275" s="3" t="inlineStr">
        <x:is>
          <x:t>11</x:t>
        </x:is>
      </x:c>
      <x:c r="K275" s="3" t="inlineStr">
        <x:is>
          <x:t>3. Lociones y humectantes para la piel.
</x:t>
        </x:is>
      </x:c>
      <x:c r="L275" s="3" t="inlineStr">
        <x:is>
          <x:t>No</x:t>
        </x:is>
      </x:c>
      <x:c r="M275" s="3" t="inlineStr">
        <x:is>
          <x:t>ALICIA LLOREDA RICAURTE, CALLE 72A No. 5-83, PISO 3, BOGOTÁ, D.C., CO</x:t>
        </x:is>
      </x:c>
      <x:c r="N275" s="3" t="inlineStr">
        <x:is>
          <x:t/>
        </x:is>
      </x:c>
      <x:c r="O275" s="3" t="inlineStr">
        <x:is>
          <x:t>29 jul. 2022</x:t>
        </x:is>
      </x:c>
      <x:c r="P275" s="3" t="inlineStr">
        <x:is>
          <x:t/>
        </x:is>
      </x:c>
      <x:c r="Q275" s="3" t="inlineStr">
        <x:is>
          <x:t/>
        </x:is>
      </x:c>
    </x:row>
    <x:row r="276">
      <x:c r="A276" s="10" t="inlineStr">
        <x:f xml:space="preserve">HYPERLINK("http://sipi.sic.gov.co/sipi/View.ashx?4203775","SD2022/0056088")</x:f>
      </x:c>
      <x:c r="B276" s="3" t="inlineStr">
        <x:is>
          <x:t>PRMM CAPIPLEX BRND</x:t>
        </x:is>
      </x:c>
      <x:c r="C276" s="9" t="inlineStr">
        <x:is>
          <x:t/>
        </x:is>
      </x:c>
      <x:c r="D276" s="3" t="inlineStr">
        <x:is>
          <x:t>06 jun. 2022</x:t>
        </x:is>
      </x:c>
      <x:c r="E276" s="3" t="inlineStr">
        <x:is>
          <x:t/>
        </x:is>
      </x:c>
      <x:c r="F276" s="3" t="inlineStr">
        <x:is>
          <x:t>Negada</x:t>
        </x:is>
      </x:c>
      <x:c r="G276" s="3" t="inlineStr">
        <x:is>
          <x:t/>
        </x:is>
      </x:c>
      <x:c r="H276" s="3" t="inlineStr">
        <x:is>
          <x:t> CAPIPLEX SAS, BARRIO 60 CASAS CALLE 3 # 21 - 53, ARMENIA, QUINDIO, CO</x:t>
        </x:is>
      </x:c>
      <x:c r="I276" s="3" t="inlineStr">
        <x:is>
          <x:t>3</x:t>
        </x:is>
      </x:c>
      <x:c r="J276" s="3" t="inlineStr">
        <x:is>
          <x:t>11</x:t>
        </x:is>
      </x:c>
      <x:c r="K27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276" s="3" t="inlineStr">
        <x:is>
          <x:t>No</x:t>
        </x:is>
      </x:c>
      <x:c r="M276" s="3" t="inlineStr">
        <x:is>
          <x:t>ORLANDO  MOSQUERA FORERO, BARRIO 60 CASAS CALLE 3 # 21 - 53, ARMENIA, QUINDIO, CO</x:t>
        </x:is>
      </x:c>
      <x:c r="N276" s="3" t="inlineStr">
        <x:is>
          <x:t/>
        </x:is>
      </x:c>
      <x:c r="O276" s="3" t="inlineStr">
        <x:is>
          <x:t>19 jul. 2022</x:t>
        </x:is>
      </x:c>
      <x:c r="P276" s="3" t="inlineStr">
        <x:is>
          <x:t/>
        </x:is>
      </x:c>
      <x:c r="Q276" s="3" t="inlineStr">
        <x:is>
          <x:t/>
        </x:is>
      </x:c>
    </x:row>
    <x:row r="277">
      <x:c r="A277" s="10" t="inlineStr">
        <x:f xml:space="preserve">HYPERLINK("http://sipi.sic.gov.co/sipi/View.ashx?4204576","SD2022/0056299")</x:f>
      </x:c>
      <x:c r="B277" s="3" t="inlineStr">
        <x:is>
          <x:t>MA-WI WELLNESS SPA</x:t>
        </x:is>
      </x:c>
      <x:c r="C277" s="9" t="inlineStr">
        <x:is>
          <x:t/>
        </x:is>
      </x:c>
      <x:c r="D277" s="3" t="inlineStr">
        <x:is>
          <x:t>06 jun. 2022</x:t>
        </x:is>
      </x:c>
      <x:c r="E277" s="3" t="inlineStr">
        <x:is>
          <x:t/>
        </x:is>
      </x:c>
      <x:c r="F277" s="3" t="inlineStr">
        <x:is>
          <x:t>Negada</x:t>
        </x:is>
      </x:c>
      <x:c r="G277" s="3" t="inlineStr">
        <x:is>
          <x:t>MA-WI</x:t>
        </x:is>
      </x:c>
      <x:c r="H277" s="3" t="inlineStr">
        <x:is>
          <x:t>LINA MARCELA BELTRÁN NAVARRO, Carrera 37A No. 15B50 Ap. 1402 Torre 3, Urbanización Font Living, MEDELLIN, ANTIOQUIA, CO</x:t>
        </x:is>
      </x:c>
      <x:c r="I277" s="3" t="inlineStr">
        <x:is>
          <x:t>3, 44</x:t>
        </x:is>
      </x:c>
      <x:c r="J277" s="3" t="inlineStr">
        <x:is>
          <x:t>11</x:t>
        </x:is>
      </x:c>
      <x:c r="K277" s="3" t="inlineStr">
        <x:is>
          <x:t>3. Productos cosméticos y preparaciones de tocador no medicinales; dentífricos no medicinales; productos de perfumería, aceites esenciales; preparaciones para blanquear y otras sustancias para lavar la ropa; preparaciones para limpiar, pulir, desengrasar y raspar.
44. Servicios de Spa, servicios de masajes, tratamientos faciales de belleza y de higiene; servicio de peluquería; salón de belleza.
</x:t>
        </x:is>
      </x:c>
      <x:c r="L277" s="3" t="inlineStr">
        <x:is>
          <x:t>Sí</x:t>
        </x:is>
      </x:c>
      <x:c r="M277" s="3" t="inlineStr">
        <x:is>
          <x:t>DANIEL PEÑA VALENZUELA, Calle 93 B # 12 28 Of 203, BOGOTÁ, D.C., CO</x:t>
        </x:is>
      </x:c>
      <x:c r="N277" s="3" t="inlineStr">
        <x:is>
          <x:t/>
        </x:is>
      </x:c>
      <x:c r="O277" s="3" t="inlineStr">
        <x:is>
          <x:t>09 ago. 2022</x:t>
        </x:is>
      </x:c>
      <x:c r="P277" s="3" t="inlineStr">
        <x:is>
          <x:t/>
        </x:is>
      </x:c>
      <x:c r="Q277" s="3" t="inlineStr">
        <x:is>
          <x:t/>
        </x:is>
      </x:c>
    </x:row>
    <x:row r="278">
      <x:c r="A278" s="10" t="inlineStr">
        <x:f xml:space="preserve">HYPERLINK("http://sipi.sic.gov.co/sipi/View.ashx?4204851","SD2022/0056397")</x:f>
      </x:c>
      <x:c r="B278" s="3" t="inlineStr">
        <x:is>
          <x:t>ANGEL DE MAR</x:t>
        </x:is>
      </x:c>
      <x:c r="C278" s="9" t="inlineStr">
        <x:is>
          <x:t/>
        </x:is>
      </x:c>
      <x:c r="D278" s="3" t="inlineStr">
        <x:is>
          <x:t>06 jun. 2022</x:t>
        </x:is>
      </x:c>
      <x:c r="E278" s="3" t="inlineStr">
        <x:is>
          <x:t/>
        </x:is>
      </x:c>
      <x:c r="F278" s="3" t="inlineStr">
        <x:is>
          <x:t>Negada</x:t>
        </x:is>
      </x:c>
      <x:c r="G278" s="3" t="inlineStr">
        <x:is>
          <x:t/>
        </x:is>
      </x:c>
      <x:c r="H278" s="3" t="inlineStr">
        <x:is>
          <x:t>angelica isabel  giraldo, calle 56 A 81 33, MEDELLIN, ANTIOQUIA, CO</x:t>
        </x:is>
      </x:c>
      <x:c r="I278" s="3" t="inlineStr">
        <x:is>
          <x:t>3, 35</x:t>
        </x:is>
      </x:c>
      <x:c r="J278" s="3" t="inlineStr">
        <x:is>
          <x:t>11</x:t>
        </x:is>
      </x:c>
      <x:c r="K278" s="3" t="inlineStr">
        <x:is>
          <x:t>3. Cremas de limpieza [cosméticos]; cremas de limpieza [para uso cosmético]; cremas de limpieza [productos cosméticos]; cremas de limpieza para uso cosmético; cremas de mano a base de cáñamo; cremas de masaje cosméticas; cremas de masaje no medicinales; cremas de noche; cremas de protección solar; cremas desmaquillantes; cremas emolientes reparadoras para el cuidado diario de la piel; cremas exfoliantes; cremas exfoliantes para uso cosmético; cremas faciales; cremas faciales para uso cosmético; cremas hidratantes;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el cuidado de la piel; cremas no medicinales para el tratamiento del cuero cabelludo; cremas no medicinales para la piel; cremas para aclarar la piel; cremas para atenuar las manchas de la vejez; cremas para atenuar las manchas de la vejez de uso cosmético; cremas para el cabello; cremas para el cabello de uso cosmético; cremas para el cabello para uso cosmético; cremas para el cuerpo [cosméticos]; cremas para el cuerpo cosméticas; cremas para el cuidado de la piel que no sean de uso médico; cremas para el cuidado de la piel que no sean para uso médico; cremas para el cuidado de la piel, no medicinales; cremas para el rostro; cremas para el rostro de uso cosmético; cremas para la cara [cosméticos]; cremas para la piel; cremas para la piel de uso cosmético; cremas para las manos; cremas para limpiar la piel [no medicinales]; cremas para los labios; cremas para los labios de uso cosmético; cremas para los ojos; cremas para los ojos de uso cosmético; cremas regeneradoras; cremas regenerantes; cremas reparadoras para contornos de ojos; cremas reparadoras para la piel [cosméticos]; cremas reparadoras para la piel de uso cosmético; cremas revitalizantes para la piel; maquillajes de base en crema; productos cosméticos en forma de cremas.
35. Servicios de publicidad online.
</x:t>
        </x:is>
      </x:c>
      <x:c r="L278" s="3" t="inlineStr">
        <x:is>
          <x:t>No</x:t>
        </x:is>
      </x:c>
      <x:c r="M278" s="3" t="inlineStr">
        <x:is>
          <x:t/>
        </x:is>
      </x:c>
      <x:c r="N278" s="3" t="inlineStr">
        <x:is>
          <x:t/>
        </x:is>
      </x:c>
      <x:c r="O278" s="3" t="inlineStr">
        <x:is>
          <x:t>10 jun. 2022</x:t>
        </x:is>
      </x:c>
      <x:c r="P278" s="3" t="inlineStr">
        <x:is>
          <x:t/>
        </x:is>
      </x:c>
      <x:c r="Q278" s="3" t="inlineStr">
        <x:is>
          <x:t/>
        </x:is>
      </x:c>
    </x:row>
    <x:row r="279">
      <x:c r="A279" s="10" t="inlineStr">
        <x:f xml:space="preserve">HYPERLINK("http://sipi.sic.gov.co/sipi/View.ashx?4205933","SD2022/0056711")</x:f>
      </x:c>
      <x:c r="B279" s="3" t="inlineStr">
        <x:is>
          <x:t>MELU</x:t>
        </x:is>
      </x:c>
      <x:c r="C279" s="3" t="inlineStr">
        <x:is>
          <x:t/>
        </x:is>
      </x:c>
      <x:c r="D279" s="3" t="inlineStr">
        <x:is>
          <x:t>07 jun. 2022</x:t>
        </x:is>
      </x:c>
      <x:c r="E279" s="3" t="inlineStr">
        <x:is>
          <x:t/>
        </x:is>
      </x:c>
      <x:c r="F279" s="3" t="inlineStr">
        <x:is>
          <x:t>Negada</x:t>
        </x:is>
      </x:c>
      <x:c r="G279" s="3" t="inlineStr">
        <x:is>
          <x:t/>
        </x:is>
      </x:c>
      <x:c r="H279" s="3" t="inlineStr">
        <x:is>
          <x:t>CARMEN EMILIA  HIGUITA RUIZ, CARRERA9 No. 27 - 95. CONDOMINIO PORTOFINO CASA 19, CHIA, CUNDINAMARCA, CO</x:t>
        </x:is>
      </x:c>
      <x:c r="I279" s="3" t="inlineStr">
        <x:is>
          <x:t>3, 5, 14, 18, 35</x:t>
        </x:is>
      </x:c>
      <x:c r="J279" s="3" t="inlineStr">
        <x:is>
          <x:t>11</x:t>
        </x:is>
      </x:c>
      <x:c r="K279" s="3" t="inlineStr">
        <x:is>
          <x:t>3. Cosméticos. Maquillaje. Cremas, geles, aceites, tónicos, espumas, aerosoles para: el cuerpo, el rostro, los brazos, las manos y el cabello.
5. Productos para el cuidado de la piel.
14. Joyería, bisutería, accesorios para dama.
18. Morrales, bolsos, carteras, estuches de maquillaje.
35. Administración y gestión comercial de tiendas especializadas en venta de productos cosméticos, de tocador, y cuidado de la piel.
</x:t>
        </x:is>
      </x:c>
      <x:c r="L279" s="3" t="inlineStr">
        <x:is>
          <x:t>Sí</x:t>
        </x:is>
      </x:c>
      <x:c r="M279" s="3" t="inlineStr">
        <x:is>
          <x:t>FERNANDO ANDRÉS  VALDERRAMA GRIJALBA , CL. 97 No. 23-60, OFICINA 603, BOGOTÁ, D.C., CO</x:t>
        </x:is>
      </x:c>
      <x:c r="N279" s="3" t="inlineStr">
        <x:is>
          <x:t/>
        </x:is>
      </x:c>
      <x:c r="O279" s="3" t="inlineStr">
        <x:is>
          <x:t>30 ago. 2022</x:t>
        </x:is>
      </x:c>
      <x:c r="P279" s="3" t="inlineStr">
        <x:is>
          <x:t/>
        </x:is>
      </x:c>
      <x:c r="Q279" s="3" t="inlineStr">
        <x:is>
          <x:t/>
        </x:is>
      </x:c>
    </x:row>
    <x:row r="280">
      <x:c r="A280" s="10" t="inlineStr">
        <x:f xml:space="preserve">HYPERLINK("http://sipi.sic.gov.co/sipi/View.ashx?4206416","SD2022/0056751")</x:f>
      </x:c>
      <x:c r="B280" s="3" t="inlineStr">
        <x:is>
          <x:t>Benneva</x:t>
        </x:is>
      </x:c>
      <x:c r="C280" s="9" t="inlineStr">
        <x:is>
          <x:t/>
        </x:is>
      </x:c>
      <x:c r="D280" s="3" t="inlineStr">
        <x:is>
          <x:t>07 jun. 2022</x:t>
        </x:is>
      </x:c>
      <x:c r="E280" s="3" t="inlineStr">
        <x:is>
          <x:t/>
        </x:is>
      </x:c>
      <x:c r="F280" s="3" t="inlineStr">
        <x:is>
          <x:t>Negada</x:t>
        </x:is>
      </x:c>
      <x:c r="G280" s="3" t="inlineStr">
        <x:is>
          <x:t/>
        </x:is>
      </x:c>
      <x:c r="H280" s="3" t="inlineStr">
        <x:is>
          <x:t>SEBASTIAN DAVID SUAREZ SAENZ, CR 70 # 52 67, BOGOTA, CUNDINAMARCA, CO</x:t>
        </x:is>
      </x:c>
      <x:c r="I280" s="3" t="inlineStr">
        <x:is>
          <x:t>3</x:t>
        </x:is>
      </x:c>
      <x:c r="J280" s="3" t="inlineStr">
        <x:is>
          <x:t>11</x:t>
        </x:is>
      </x:c>
      <x:c r="K280" s="3" t="inlineStr">
        <x:is>
          <x:t>3. Preparaciones de tocador no medicinales; productos de tocador; preparaciones para el cuidado de la piel; hidratantes para la piel; tónicos para la piel; preparaciones para cuidados corporales y de belleza; polvos, cremas y lociones para la cara, las manos y el cuerpo; exfoliantes para uso cosmético; jabones; preparaciones de baño y ducha; geles de baño, aceites de baño, sales de baño, perlas de baño, y productos efervescentes para el baño; mascarillas de belleza; talco; lacas de uñas; quitaesmaltes; uñas postizas; adhesivos para uso cosmético; productos cosméticos; cremas para los ojos; geles para los ojos; lociones para los ojos; desmaquillantes de ojos; sombras de ojos; perfiladores de ojos; cosméticos para las cejas; máscara de pestañas; barras de labios; perfiladores de labios; brillos de labios; bálsamos labiales; bases de maquillaje; antiojeras; colorete; toallitas impregnadas de lociones cosméticas; toallitas impregnadas de polvos cosméticos; bastoncillos de algodón para uso cosmético; algodón para uso cosmético; piedra pómez; preparaciones para limpiar, hidratar, colorear y peinar el cabello; champús, acondicionadores, lacas y geles para el cabello; preparaciones para el afeitado y para después del afeitado; perfumes; fragancias; aguas de tocador; colonias; ambientadores; bastoncillos de incienso; desodorantes personales; antitranspirantes para uso personal (productos de tocador); aceites esenciales (cosméticos); aceites de perfumería; popurrís aromáticos; neceseres de cosmética.
</x:t>
        </x:is>
      </x:c>
      <x:c r="L280" s="3" t="inlineStr">
        <x:is>
          <x:t>Sí</x:t>
        </x:is>
      </x:c>
      <x:c r="M280" s="3" t="inlineStr">
        <x:is>
          <x:t>JORGE ARTURO ROMERO PRIETO, Carrera  13 No. 32-51 TORRE 1 OF 501, BOGOTÁ, D.C., CO</x:t>
        </x:is>
      </x:c>
      <x:c r="N280" s="3" t="inlineStr">
        <x:is>
          <x:t/>
        </x:is>
      </x:c>
      <x:c r="O280" s="3" t="inlineStr">
        <x:is>
          <x:t>29 jul. 2022</x:t>
        </x:is>
      </x:c>
      <x:c r="P280" s="3" t="inlineStr">
        <x:is>
          <x:t/>
        </x:is>
      </x:c>
      <x:c r="Q280" s="3" t="inlineStr">
        <x:is>
          <x:t/>
        </x:is>
      </x:c>
    </x:row>
    <x:row r="281">
      <x:c r="A281" s="10" t="inlineStr">
        <x:f xml:space="preserve">HYPERLINK("http://sipi.sic.gov.co/sipi/View.ashx?4206688","SD2022/0056845")</x:f>
      </x:c>
      <x:c r="B281" s="3" t="inlineStr">
        <x:is>
          <x:t>By You</x:t>
        </x:is>
      </x:c>
      <x:c r="C281" s="9" t="inlineStr">
        <x:is>
          <x:t/>
        </x:is>
      </x:c>
      <x:c r="D281" s="3" t="inlineStr">
        <x:is>
          <x:t>07 jun. 2022</x:t>
        </x:is>
      </x:c>
      <x:c r="E281" s="3" t="inlineStr">
        <x:is>
          <x:t/>
        </x:is>
      </x:c>
      <x:c r="F281" s="3" t="inlineStr">
        <x:is>
          <x:t>Negada</x:t>
        </x:is>
      </x:c>
      <x:c r="G281" s="3" t="inlineStr">
        <x:is>
          <x:t>ByYou</x:t>
        </x:is>
      </x:c>
      <x:c r="H281" s="3" t="inlineStr">
        <x:is>
          <x:t>andres david  murillo ruiz, cra 39 # 42-360, PALMIRA, VALLE DEL CAUCA, CO</x:t>
        </x:is>
      </x:c>
      <x:c r="I281" s="3" t="inlineStr">
        <x:is>
          <x:t>3, 9</x:t>
        </x:is>
      </x:c>
      <x:c r="J281" s="3" t="inlineStr">
        <x:is>
          <x:t>11</x:t>
        </x:is>
      </x:c>
      <x:c r="K281" s="3" t="inlineStr">
        <x:is>
          <x:t>3. Aceites de limpieza; aceites de pino para la limpieza de suelos; agentes de limpieza para uso doméstico; agentes y preparaciones de limpieza; agua micelar de limpieza; almidón para uso de limpieza; almohadillas de limpieza impregnadas con cosméticos; almohadillas de limpieza impregnadas con productos cosméticos; almohadillas de limpieza impregnadas de cosméticos; almohadillas de limpieza prehumedecidas; almohadillas de limpieza preimpregnadas; almohadillas, toallitas o pañitos de limpieza prehumedecidos o impregnados; amoníaco de limpieza; cremas de limpieza; cremas de limpieza [cosméticos]; cremas de limpieza [para uso cosmético]; cremas de limpieza [productos cosméticos]; cremas de limpieza para uso cosmético; detergentes para la limpieza de la ropa para uso doméstico; detergentes para la limpieza que no sean para procesos de fabricación; esponjas impregnadas con preparaciones para la limpieza; espuma de limpieza; espumas de limpieza; geles de limpieza de inodoros; geles de limpieza para los dientes; geles para la limpieza de los dientes; granulados de limpieza facial; leches de limpieza facial; lejía para uso en la limpieza; lociones de limpieza dental; líquidos de limpieza; líquidos de limpieza en seco; líquidos de limpieza para objetivos de cámaras; mascarillas faciales de limpieza profunda; materiales de chorreado para la limpieza de superficies; materiales de limpieza por chorro que contienen minerales triturados; materiales de limpieza por granallado; materiales en forma de granallado para la limpieza a chorro; pañitos de limpieza impregnados con preparaciones de tocador; pañitos de limpieza prehumedecidos; pañitos de limpieza preimpregnados; paños de limpieza húmedos; paños de limpieza impregnados con detergente; paños impregnados con preparaciones de limpieza; paños impregnados de detergentes para la limpieza de objetivos de cámaras; paños impregnados de preparaciones de limpieza; paños impregnados de productos de limpieza para la piel; preparaciones de limpieza; preparaciones de limpieza dental; preparaciones de limpieza nasal para la higiene personal; preparaciones de limpieza no medicadas; preparaciones de limpieza no medicadas para el cuerpo; preparaciones de limpieza no saponáceas; preparaciones de limpieza para azulejos; preparaciones de limpieza para cristales; preparaciones de limpieza para el baño; preparaciones de limpieza para el cuerpo; preparaciones de limpieza para el hogar; preparaciones de limpieza para gomas y ruedas de automóviles; preparaciones de limpieza para gomas y ruedas de vehículos; preparaciones de limpieza para las manos; preparaciones de limpieza para neumáticos de vehículos, llantas y cubos de ruedas; preparaciones de limpieza para neumáticos y ruedas de automóviles; preparaciones de limpieza para neumáticos y ruedas de vehículos; preparaciones de limpieza para uso doméstico; preparaciones de limpieza para uso en los inodoros; preparaciones de limpieza para vidrios; preparaciones de limpieza polivalentes; preparaciones exfoliantes y de limpieza para la piel; preparaciones para el cuidado y la limpieza del cabello; preparaciones para el cuidado y limpieza de los animales; preparaciones para la limpieza de dentaduras postizas; preparaciones para la limpieza de los platos; preparaciones para la limpieza de superficies duras; preparaciones para la limpieza del baño; preparaciones para la limpieza del cabello; preparaciones químicas de limpieza para uso doméstico;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productos de limpieza para uso en azulejos; productos de limpieza para vidrios; productos de limpieza químicos en forma de gel para desagües; productos de limpieza químicos en forma de polvo para desagües; productos de limpieza químicos en forma líquida para desagües; productos de limpieza químicos para desagües; productos de limpieza ácidos para desagües; sustancias blanqueadoras para uso en la limpieza doméstica; sustancias de limpieza para uso doméstico; toallitas de limpieza prehumedecidas; toallitas de limpieza preimpregnadas; toallitas desechables impregnadas con preparados de limpieza para bebés; toallitas húmedas con preparaciones de limpieza para uso doméstico; toallitas impregnadas con preparaciones de limpieza para animales de compañía; toallitas impregnadas con preparaciones de limpieza para mascotas; toallitas impregnadas con preparados de limpieza personal; toallitas para bebés impregnadas de preparaciones de limpieza.
9. Programas de aplicación; software de aplicación; software de aplicación descargable para smartphones; software de aplicación descargable para teléfonos celulares; software de aplicación descargable para teléfonos inteligentes; software de aplicación descargable para teléfonos móviles; software de aplicación descargable para teléfonos portátiles; software de aplicación descargables; software de aplicación descargables para smartphones; software de aplicación descargables para teléfonos inteligentes; software de aplicación informática para la implementación de la internet de los objetos [idc]; software de aplicación informática para pruebas de métodos informáticos; software de aplicación informática para pruebas de regresión de software; software de aplicación informática para pruebas de software; software de aplicación para dispositivos inalámbricos; software de aplicación para dispositivos móviles; software de aplicación para móviles; software de aplicación para móviles para reservar taxis; software de aplicación para servicios de computación en la nube; software de aplicación para servicios de redes sociales a través de internet; software de aplicación para servicios informáticos en la nube; software de aplicación para smartphones; software de aplicación para televisores inteligentes; software de aplicación para teléfonos celulares; software de aplicación para teléfonos inteligentes; software de aplicación para teléfonos inteligentes [smartphones]; software de aplicación para teléfonos móviles; software de aplicación para teléfonos portátiles; software de aplicación web; software descargable en forma de una aplicación móvil para realizar entregas y pedidos de comida; software descargable en forma de una aplicación móvil para realizar la entrega y pedido de comida; software descargable en forma de una aplicación móvil para realizar repartos y pedidos de comida; software descargable en forma de una aplicación móvil para recibir pedidos y repartir en restaurantes que solo son de entrega.
</x:t>
        </x:is>
      </x:c>
      <x:c r="L281" s="3" t="inlineStr">
        <x:is>
          <x:t>No</x:t>
        </x:is>
      </x:c>
      <x:c r="M281" s="3" t="inlineStr">
        <x:is>
          <x:t/>
        </x:is>
      </x:c>
      <x:c r="N281" s="3" t="inlineStr">
        <x:is>
          <x:t/>
        </x:is>
      </x:c>
      <x:c r="O281" s="3" t="inlineStr">
        <x:is>
          <x:t>29 jul. 2022</x:t>
        </x:is>
      </x:c>
      <x:c r="P281" s="3" t="inlineStr">
        <x:is>
          <x:t/>
        </x:is>
      </x:c>
      <x:c r="Q281" s="3" t="inlineStr">
        <x:is>
          <x:t/>
        </x:is>
      </x:c>
    </x:row>
    <x:row r="282">
      <x:c r="A282" s="10" t="inlineStr">
        <x:f xml:space="preserve">HYPERLINK("http://sipi.sic.gov.co/sipi/View.ashx?4206730","SD2022/0056834")</x:f>
      </x:c>
      <x:c r="B282" s="3" t="inlineStr">
        <x:is>
          <x:t>MARQUIS DE SAINT CYPRIEN </x:t>
        </x:is>
      </x:c>
      <x:c r="C282" s="3" t="inlineStr">
        <x:is>
          <x:t/>
        </x:is>
      </x:c>
      <x:c r="D282" s="3" t="inlineStr">
        <x:is>
          <x:t>07 jun. 2022</x:t>
        </x:is>
      </x:c>
      <x:c r="E282" s="3" t="inlineStr">
        <x:is>
          <x:t/>
        </x:is>
      </x:c>
      <x:c r="F282" s="3" t="inlineStr">
        <x:is>
          <x:t>Negada</x:t>
        </x:is>
      </x:c>
      <x:c r="G282" s="3" t="inlineStr">
        <x:is>
          <x:t>saint cyprien </x:t>
        </x:is>
      </x:c>
      <x:c r="H282" s="3" t="inlineStr">
        <x:is>
          <x:t> INTEGRAL DE SERVICIOS PROFESIONALES ISP SAS, Calle 109 18C 17 Oficina 605, BOGOTÁ, D.C. 110111, CO</x:t>
        </x:is>
      </x:c>
      <x:c r="I282" s="3" t="inlineStr">
        <x:is>
          <x:t>3, 32, 33</x:t>
        </x:is>
      </x:c>
      <x:c r="J282" s="3" t="inlineStr">
        <x:is>
          <x:t>11</x:t>
        </x:is>
      </x:c>
      <x:c r="K282" s="3" t="inlineStr">
        <x:is>
          <x:t>3. Perfumes.
32. Agua mineral aromatizada; agua mineral con gas; agua mineral gaseosa; agua mineral gasificada.
33. Vinos.
</x:t>
        </x:is>
      </x:c>
      <x:c r="L282" s="3" t="inlineStr">
        <x:is>
          <x:t>No</x:t>
        </x:is>
      </x:c>
      <x:c r="M282" s="3" t="inlineStr">
        <x:is>
          <x:t>RAFAEL LEONARDO PAEZ FUENTES , calle 159 # 54 -81, BOGOTÁ, D.C. 11156, CO</x:t>
        </x:is>
      </x:c>
      <x:c r="N282" s="3" t="inlineStr">
        <x:is>
          <x:t/>
        </x:is>
      </x:c>
      <x:c r="O282" s="3" t="inlineStr">
        <x:is>
          <x:t>21 jun. 2022</x:t>
        </x:is>
      </x:c>
      <x:c r="P282" s="3" t="inlineStr">
        <x:is>
          <x:t/>
        </x:is>
      </x:c>
      <x:c r="Q282" s="3" t="inlineStr">
        <x:is>
          <x:t/>
        </x:is>
      </x:c>
    </x:row>
    <x:row r="283">
      <x:c r="A283" s="10" t="inlineStr">
        <x:f xml:space="preserve">HYPERLINK("http://sipi.sic.gov.co/sipi/View.ashx?4206745","SD2022/0056830")</x:f>
      </x:c>
      <x:c r="B283" s="3" t="inlineStr">
        <x:is>
          <x:t>ALMIN </x:t>
        </x:is>
      </x:c>
      <x:c r="C283" s="9" t="inlineStr">
        <x:is>
          <x:t/>
        </x:is>
      </x:c>
      <x:c r="D283" s="3" t="inlineStr">
        <x:is>
          <x:t>07 jun. 2022</x:t>
        </x:is>
      </x:c>
      <x:c r="E283" s="3" t="inlineStr">
        <x:is>
          <x:t/>
        </x:is>
      </x:c>
      <x:c r="F283" s="3" t="inlineStr">
        <x:is>
          <x:t>Negada</x:t>
        </x:is>
      </x:c>
      <x:c r="G283" s="3" t="inlineStr">
        <x:is>
          <x:t/>
        </x:is>
      </x:c>
      <x:c r="H283" s="3" t="inlineStr">
        <x:is>
          <x:t> ALMIN S.A.S., kra  51 a no. 12 b sur-1'00, MEDELLIN, ANTIOQUIA, CO</x:t>
        </x:is>
      </x:c>
      <x:c r="I283" s="3" t="inlineStr">
        <x:is>
          <x:t>3, 5</x:t>
        </x:is>
      </x:c>
      <x:c r="J283" s="3" t="inlineStr">
        <x:is>
          <x:t>11</x:t>
        </x:is>
      </x:c>
      <x:c r="K28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283" s="3" t="inlineStr">
        <x:is>
          <x:t>Sí</x:t>
        </x:is>
      </x:c>
      <x:c r="M283" s="3" t="inlineStr">
        <x:is>
          <x:t>natalia cardona ruiz, kra 51 no 12a sur -100, MEDELLIN,, ANTIOQUIA 51, CO</x:t>
        </x:is>
      </x:c>
      <x:c r="N283" s="3" t="inlineStr">
        <x:is>
          <x:t/>
        </x:is>
      </x:c>
      <x:c r="O283" s="3" t="inlineStr">
        <x:is>
          <x:t>08 nov. 2022</x:t>
        </x:is>
      </x:c>
      <x:c r="P283" s="3" t="inlineStr">
        <x:is>
          <x:t/>
        </x:is>
      </x:c>
      <x:c r="Q283" s="3" t="inlineStr">
        <x:is>
          <x:t/>
        </x:is>
      </x:c>
    </x:row>
    <x:row r="284">
      <x:c r="A284" s="10" t="inlineStr">
        <x:f xml:space="preserve">HYPERLINK("http://sipi.sic.gov.co/sipi/View.ashx?4209362","SD2022/0057436")</x:f>
      </x:c>
      <x:c r="B284" s="3" t="inlineStr">
        <x:is>
          <x:t>MILK MAKEUP</x:t>
        </x:is>
      </x:c>
      <x:c r="C284" s="9" t="inlineStr">
        <x:is>
          <x:t/>
        </x:is>
      </x:c>
      <x:c r="D284" s="3" t="inlineStr">
        <x:is>
          <x:t>08 jun. 2022</x:t>
        </x:is>
      </x:c>
      <x:c r="E284" s="3" t="inlineStr">
        <x:is>
          <x:t/>
        </x:is>
      </x:c>
      <x:c r="F284" s="3" t="inlineStr">
        <x:is>
          <x:t>Negada</x:t>
        </x:is>
      </x:c>
      <x:c r="G284" s="3" t="inlineStr">
        <x:is>
          <x:t>M19589</x:t>
        </x:is>
      </x:c>
      <x:c r="H284" s="3" t="inlineStr">
        <x:is>
          <x:t> Milk Makeup, LLC  , 450 W. 15th Street, NEW YORK, NEW YORK 10011, US</x:t>
        </x:is>
      </x:c>
      <x:c r="I284" s="3" t="inlineStr">
        <x:is>
          <x:t>3</x:t>
        </x:is>
      </x:c>
      <x:c r="J284" s="3" t="inlineStr">
        <x:is>
          <x:t>11</x:t>
        </x:is>
      </x:c>
      <x:c r="K284" s="3" t="inlineStr">
        <x:is>
          <x:t>3. Maquillaje para la cara y el cuerpo; champú; niebla facial; lápiz labial; brillo de labios; máscara; resaltador de piel; toallitas faciales; bronceadores para la piel; juegos de luces estroboscópicas líquidas; aceite corporal; estuches de cosméticos y maquillaje; sellos de tatuajes; tatuajes temporales con una finalidad cosmética; papeles secantes cosméticos para la cara; limpiadores de la piel; mascarillas cosméticas y de belleza; mascarillas de gel para los ojos; tónicos para la piel; desodorante para uso personal; base de maquillaje; removedor de maquillaje; bastoncillos de algodón para uso cosmético; esmalte de uñas; quitaesmalte; colorete; fundación de maquillaje; corrector facial; aerosoles tópicos para la piel con una finalidad cosmética; sombra; artículos de tocador; preparaciones para el cuidado de la belleza y la limpieza del cuerpo; preparaciones para el baño; preparaciones para el cuidado de la piel, los ojos y las uñas; preparaciones y tratamientos para el cabello; protector solar.
</x:t>
        </x:is>
      </x:c>
      <x:c r="L284" s="3" t="inlineStr">
        <x:is>
          <x:t>No</x:t>
        </x:is>
      </x:c>
      <x:c r="M284" s="3" t="inlineStr">
        <x:is>
          <x:t>XIMENA CASTELLANOS ABONDANO, Calle 117 No. 5A - 35 piso 3, BOGOTÁ, D.C., CO</x:t>
        </x:is>
      </x:c>
      <x:c r="N284" s="3" t="inlineStr">
        <x:is>
          <x:t/>
        </x:is>
      </x:c>
      <x:c r="O284" s="3" t="inlineStr">
        <x:is>
          <x:t>30 jun. 2022</x:t>
        </x:is>
      </x:c>
      <x:c r="P284" s="3" t="inlineStr">
        <x:is>
          <x:t/>
        </x:is>
      </x:c>
      <x:c r="Q284" s="3" t="inlineStr">
        <x:is>
          <x:t/>
        </x:is>
      </x:c>
    </x:row>
    <x:row r="285">
      <x:c r="A285" s="10" t="inlineStr">
        <x:f xml:space="preserve">HYPERLINK("http://sipi.sic.gov.co/sipi/View.ashx?4210032","SD2022/0057616")</x:f>
      </x:c>
      <x:c r="B285" s="3" t="inlineStr">
        <x:is>
          <x:t>Di`varius</x:t>
        </x:is>
      </x:c>
      <x:c r="C285" s="9" t="inlineStr">
        <x:is>
          <x:t/>
        </x:is>
      </x:c>
      <x:c r="D285" s="3" t="inlineStr">
        <x:is>
          <x:t>08 jun. 2022</x:t>
        </x:is>
      </x:c>
      <x:c r="E285" s="3" t="inlineStr">
        <x:is>
          <x:t/>
        </x:is>
      </x:c>
      <x:c r="F285" s="3" t="inlineStr">
        <x:is>
          <x:t>Negada</x:t>
        </x:is>
      </x:c>
      <x:c r="G285" s="3" t="inlineStr">
        <x:is>
          <x:t/>
        </x:is>
      </x:c>
      <x:c r="H285" s="3" t="inlineStr">
        <x:is>
          <x:t>Marcela Maria Giraldo Duque, calle 83 a n 50 a 25, ITAGUI, ANTIOQUIA, CO</x:t>
        </x:is>
      </x:c>
      <x:c r="I285" s="3" t="inlineStr">
        <x:is>
          <x:t>3, 25</x:t>
        </x:is>
      </x:c>
      <x:c r="J285" s="3" t="inlineStr">
        <x:is>
          <x:t>11</x:t>
        </x:is>
      </x:c>
      <x:c r="K28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25. Prendas de vestir, calzado, artículos de sombrerería.
</x:t>
        </x:is>
      </x:c>
      <x:c r="L285" s="3" t="inlineStr">
        <x:is>
          <x:t>Sí</x:t>
        </x:is>
      </x:c>
      <x:c r="M285" s="3" t="inlineStr">
        <x:is>
          <x:t/>
        </x:is>
      </x:c>
      <x:c r="N285" s="3" t="inlineStr">
        <x:is>
          <x:t/>
        </x:is>
      </x:c>
      <x:c r="O285" s="3" t="inlineStr">
        <x:is>
          <x:t>09 ago. 2022</x:t>
        </x:is>
      </x:c>
      <x:c r="P285" s="3" t="inlineStr">
        <x:is>
          <x:t/>
        </x:is>
      </x:c>
      <x:c r="Q285" s="3" t="inlineStr">
        <x:is>
          <x:t/>
        </x:is>
      </x:c>
    </x:row>
    <x:row r="286">
      <x:c r="A286" s="10" t="inlineStr">
        <x:f xml:space="preserve">HYPERLINK("http://sipi.sic.gov.co/sipi/View.ashx?4210804","SD2022/0058739")</x:f>
      </x:c>
      <x:c r="B286" s="3" t="inlineStr">
        <x:is>
          <x:t>WALÁ</x:t>
        </x:is>
      </x:c>
      <x:c r="C286" s="9" t="inlineStr">
        <x:is>
          <x:t/>
        </x:is>
      </x:c>
      <x:c r="D286" s="3" t="inlineStr">
        <x:is>
          <x:t>10 jun. 2022</x:t>
        </x:is>
      </x:c>
      <x:c r="E286" s="3" t="inlineStr">
        <x:is>
          <x:t/>
        </x:is>
      </x:c>
      <x:c r="F286" s="3" t="inlineStr">
        <x:is>
          <x:t>Negada</x:t>
        </x:is>
      </x:c>
      <x:c r="G286" s="3" t="inlineStr">
        <x:is>
          <x:t/>
        </x:is>
      </x:c>
      <x:c r="H286" s="3" t="inlineStr">
        <x:is>
          <x:t> Walá Cosmética S.A.S, cra 52 #123b-06, BOGOTA, CUNDINAMARCA 111111, CO</x:t>
        </x:is>
      </x:c>
      <x:c r="I286" s="3" t="inlineStr">
        <x:is>
          <x:t>3</x:t>
        </x:is>
      </x:c>
      <x:c r="J286" s="3" t="inlineStr">
        <x:is>
          <x:t>11</x:t>
        </x:is>
      </x:c>
      <x:c r="K286" s="3" t="inlineStr">
        <x:is>
          <x:t>3. Aceite fijador para el cabello; aceite para el peinado del cabello; aceites para el cabello; aceites suavizantes para el cabello; acondicionadores para el cabello; acondicionadores para uso en el cabello; baños de aceite para el cuidado del cabello de uso cosmético; bálsamos para el cabello; ceras para el cabello; champúes para el cabello; champús para el cabello; champús para el cabello humano; champús para el cabello y el cuerpo; champús y acondicionadores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geles de protección para el cabello; geles para dar forma al cabello; geles para el cabello; geles para el peinado del cabello; geles y espumas para el cabello; geles, aerosoles, espumas y bálsamos para peinar y cuidar el cabello; geles, espráis, espumas y bálsamos para peinar y cuidar el cabello; hidratantes para el cabello; jabones líquidos para el cabello y el cuerpo; lociones fijadoras para ondular el cabello; lociones para el cabello; lociones para el cabello de uso cosmético; lociones para fortalecer el cabello; lociones para ondular el cabello;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preparaciones cosméticas para el cabello y el cuero cabelludo; preparaciones cosméticas para el cuidado del cabello; preparaciones para alisar el cabello; preparaciones para el cuidado del cabello; preparaciones para el cuidado del cuero cabelludo y del cabello; preparaciones para el cuidado y la limpieza del cabello; preparaciones para el peinado del cabello; preparaciones para la limpieza del cabello; preparaciones para lavar el cabello; preparaciones para limpiar, cuidar y arreglar el cabello; preparaciones para ondular el cabello; preparación nutritiva para el cabello; preparaciónes nutritiva para el cabello; productos cosméticos para el cabello y el cuero cabelludo; productos de enjuague para el cabello; productos de enjuague para el cabello [champús acondicionadores]; productos hidratantes para el cabello; productos y preparaciones para el cuidado del cabello; revitalizantes para el cabello; suavizantes para el cabello; suavizantes para el cabello de uso cosmético; sueros para el cuidado del cabello; sueros para el peinado del cabello; tintes para el cabello; tintes y decolorantes para el cabello; tinturas para el cabello [tintes]; tonificantes para el cabello; tonificantes para el cabello para uso cosmético; tratamientos de alisado para el cabello; aceites cosméticos para la piel; aceites para el bronceado de la piel; aceites perfumados para el cuidado de la piel; acondicionadores para la piel; aerosoles cosméticos de uso tópico para la piel; cremas acondicionadoras para la piel, de uso cosmético; cremas cosméticas para el cuidado de la piel; cremas cosméticas para la piel; cremas cosméticas para pieles secas; cremas de bálsamo para disimular las imperfecciones de la piel; cremas hidratantes para la piel [cosméticos]; cremas limpiadoras para la piel; cremas líquidas y sólidas para la piel; cremas no medicadas para hidratar la piel; cremas no medicadas para la piel; cremas no medicadas para la protección de la piel; cremas no medicadas para suavizar la piel; cremas no medicinales para aclarar la piel; cremas no medicinales para blanquear la piel; cremas no medicinales para el cuidado de la piel; cremas no medicinales para la piel; cremas para aclarar la piel; cremas para limpiar la piel [no medicinales]; cremas revitalizantes para la piel; emolientes para la piel; espumas limpiadoras para la piel; espumas para el cuidado de la piel; exfoliantes para la piel; hidratante para la piel; hidratantes para la piel; jabones para la piel; leches limpiadoras para el cuidado de la piel; limpiadores cosméticos para la piel; limpiadores de la piel; limpiadores de la piel [cosméticos]; limpiadores de la piel [productos cosméticos]; lociones cosméticas para el cuidado de la piel; lociones cosméticas para la piel; lociones hidratantes para la piel; lociones hidratantes para la piel [cosméticos]; lociones lechosas para el cuidado de la piel; lociones limpiadoras para la piel; lociones para el cuidado de la piel; mascarillas faciales para tonificar la piel; mascarillas hidratantes para la piel; mascarillas para el cuidado de la piel de las manos; mascarillas para hidratar la piel; mascarillas para la piel; mascarillas para la piel [cosméticos]; mascarillas para la piel de uso cosmético; mascarillas para pieles grasas; preparaciones cosméticas para el cuidado de la piel; preparaciones cosméticas para el cuidado de la piel en forma de geles; preparaciones cosméticas para el tratamiento de la piel; preparaciones exfoliantes y de limpieza para la piel; preparaciones limpiadoras no medicinales para la piel; preparaciones limpiadoras para pieles curtidas; preparaciones no medicinales para el cuidado de la piel; preparaciones no medicinales para el cuidado de la piel, el cabello y el cuero cabelludo; preparaciones para aclarar la piel [cosméticos]; preparaciones para blanquear la piel; preparaciones para blanquear la piel [cosméticos]; preparaciones para el bronceado de la piel; preparaciones para el cuidado de la piel a base de cbd; preparados para el cuidado de la piel a base de cbd; productos cosméticos para la piel; productos cosméticos para proteger la piel contra los rayos del sol; productos para afinar el grano de la piel; productos para el cuidado de la piel, no medicinales; productos para mejorar la textura de la piel; productos para refrescar la piel; productos y preparaciones cosméticos para el cuidado de la piel; productos y preparaciones no medicinales para el cuidado de la piel; revitalizantes para la piel; serum calmante para la piel; serum para calmar la piel [cosmético]; sueros no medicados para la piel de la cara; sueros no medicinales para la piel; tónicos para la piel para uso cosmético.
</x:t>
        </x:is>
      </x:c>
      <x:c r="L286" s="3" t="inlineStr">
        <x:is>
          <x:t>No</x:t>
        </x:is>
      </x:c>
      <x:c r="M286" s="3" t="inlineStr">
        <x:is>
          <x:t>Madelin Guerrero, CRA 52 123b-06, BOGOTA, CUNDINAMARCA 111111, CO</x:t>
        </x:is>
      </x:c>
      <x:c r="N286" s="3" t="inlineStr">
        <x:is>
          <x:t/>
        </x:is>
      </x:c>
      <x:c r="O286" s="3" t="inlineStr">
        <x:is>
          <x:t>21 jun. 2022</x:t>
        </x:is>
      </x:c>
      <x:c r="P286" s="3" t="inlineStr">
        <x:is>
          <x:t/>
        </x:is>
      </x:c>
      <x:c r="Q286" s="3" t="inlineStr">
        <x:is>
          <x:t/>
        </x:is>
      </x:c>
    </x:row>
    <x:row r="287">
      <x:c r="A287" s="10" t="inlineStr">
        <x:f xml:space="preserve">HYPERLINK("http://sipi.sic.gov.co/sipi/View.ashx?4212722","SD2022/0058380")</x:f>
      </x:c>
      <x:c r="B287" s="3" t="inlineStr">
        <x:is>
          <x:t>BEAUTAMINS</x:t>
        </x:is>
      </x:c>
      <x:c r="C287" s="9" t="inlineStr">
        <x:is>
          <x:t/>
        </x:is>
      </x:c>
      <x:c r="D287" s="3" t="inlineStr">
        <x:is>
          <x:t>10 jun. 2022</x:t>
        </x:is>
      </x:c>
      <x:c r="E287" s="3" t="inlineStr">
        <x:is>
          <x:t/>
        </x:is>
      </x:c>
      <x:c r="F287" s="3" t="inlineStr">
        <x:is>
          <x:t>Negada</x:t>
        </x:is>
      </x:c>
      <x:c r="G287" s="3" t="inlineStr">
        <x:is>
          <x:t>4. BEAUTAMINS (Mixta) en clase 03 y 05 internacional</x:t>
        </x:is>
      </x:c>
      <x:c r="H287" s="3" t="inlineStr">
        <x:is>
          <x:t> GOOD BRANDS LATAM S.A., Samuel Lewis y Calle 53, Edificio Omega, 6° Piso, Oficina 68-888, Panamá, República de Panamá, PANAMA, PANAMA, PA</x:t>
        </x:is>
      </x:c>
      <x:c r="I287" s="3" t="inlineStr">
        <x:is>
          <x:t>3, 5</x:t>
        </x:is>
      </x:c>
      <x:c r="J287" s="3" t="inlineStr">
        <x:is>
          <x:t>11</x:t>
        </x:is>
      </x:c>
      <x:c r="K287" s="3" t="inlineStr">
        <x:is>
          <x:t>3. Preparaciones de colágeno para uso cosmético, Productos cosméticos y preparaciones de tocador no medicinales; dentífricos no medicinales; productos de perfumería, aceites esenciales.
5. Colágeno para uso médico; Colágeno en polvo para uso médico; Suplementos nutricionales para promover una piel sana y con fines anti-envejecimiento; Suplementos proteicos; Suplementos vitamínicos.
</x:t>
        </x:is>
      </x:c>
      <x:c r="L287" s="3" t="inlineStr">
        <x:is>
          <x:t>No</x:t>
        </x:is>
      </x:c>
      <x:c r="M287" s="3" t="inlineStr">
        <x:is>
          <x:t>JUAN CARLOS CUESTA QUINTERO, CLL 72 # 10 -07 OFC 603, BOGOTÁ, D.C., CO</x:t>
        </x:is>
      </x:c>
      <x:c r="N287" s="3" t="inlineStr">
        <x:is>
          <x:t/>
        </x:is>
      </x:c>
      <x:c r="O287" s="3" t="inlineStr">
        <x:is>
          <x:t>09 ago. 2022</x:t>
        </x:is>
      </x:c>
      <x:c r="P287" s="3" t="inlineStr">
        <x:is>
          <x:t/>
        </x:is>
      </x:c>
      <x:c r="Q287" s="3" t="inlineStr">
        <x:is>
          <x:t/>
        </x:is>
      </x:c>
    </x:row>
    <x:row r="288">
      <x:c r="A288" s="10" t="inlineStr">
        <x:f xml:space="preserve">HYPERLINK("http://sipi.sic.gov.co/sipi/View.ashx?4212754","SD2022/0058395")</x:f>
      </x:c>
      <x:c r="B288" s="3" t="inlineStr">
        <x:is>
          <x:t>EKILIVRA</x:t>
        </x:is>
      </x:c>
      <x:c r="C288" s="9" t="inlineStr">
        <x:is>
          <x:t/>
        </x:is>
      </x:c>
      <x:c r="D288" s="3" t="inlineStr">
        <x:is>
          <x:t>10 jun. 2022</x:t>
        </x:is>
      </x:c>
      <x:c r="E288" s="3" t="inlineStr">
        <x:is>
          <x:t/>
        </x:is>
      </x:c>
      <x:c r="F288" s="3" t="inlineStr">
        <x:is>
          <x:t>Negada</x:t>
        </x:is>
      </x:c>
      <x:c r="G288" s="3" t="inlineStr">
        <x:is>
          <x:t>6. EKILIVRA (Mixta) en clases 03 y 05 Internacional</x:t>
        </x:is>
      </x:c>
      <x:c r="H288" s="3" t="inlineStr">
        <x:is>
          <x:t> GOOD BRANDS LATAM S.A., Samuel Lewis y Calle 53, Edificio Omega, 6° Piso, Oficina 68-888, Panamá, República de Panamá, PANAMA, PANAMA, PA</x:t>
        </x:is>
      </x:c>
      <x:c r="I288" s="3" t="inlineStr">
        <x:is>
          <x:t>3, 5</x:t>
        </x:is>
      </x:c>
      <x:c r="J288" s="3" t="inlineStr">
        <x:is>
          <x:t>11</x:t>
        </x:is>
      </x:c>
      <x:c r="K288" s="3" t="inlineStr">
        <x:is>
          <x:t>3. Productos cosméticos y preparaciones de tocador no medicinales; dentífricos no medicinales; productos de perfumería, aceites esenciales.
5. Productos farmacéuticos, preparaciones para uso médico; productos higiénicos y sanitarios para uso médico; alimentos y sustancias dietéticas para uso médico; alimentos para bebés; complementos alimenticios para personas.
</x:t>
        </x:is>
      </x:c>
      <x:c r="L288" s="3" t="inlineStr">
        <x:is>
          <x:t>No</x:t>
        </x:is>
      </x:c>
      <x:c r="M288" s="3" t="inlineStr">
        <x:is>
          <x:t>JUAN CARLOS CUESTA QUINTERO, CLL 72 # 10 -07 OFC 603, BOGOTÁ, D.C., CO</x:t>
        </x:is>
      </x:c>
      <x:c r="N288" s="3" t="inlineStr">
        <x:is>
          <x:t/>
        </x:is>
      </x:c>
      <x:c r="O288" s="3" t="inlineStr">
        <x:is>
          <x:t>09 ago. 2022</x:t>
        </x:is>
      </x:c>
      <x:c r="P288" s="3" t="inlineStr">
        <x:is>
          <x:t/>
        </x:is>
      </x:c>
      <x:c r="Q288" s="3" t="inlineStr">
        <x:is>
          <x:t/>
        </x:is>
      </x:c>
    </x:row>
    <x:row r="289">
      <x:c r="A289" s="10" t="inlineStr">
        <x:f xml:space="preserve">HYPERLINK("http://sipi.sic.gov.co/sipi/View.ashx?4213646","SD2022/0058607")</x:f>
      </x:c>
      <x:c r="B289" s="3" t="inlineStr">
        <x:is>
          <x:t>COLÁGENO HIALURÓNICO</x:t>
        </x:is>
      </x:c>
      <x:c r="C289" s="9" t="inlineStr">
        <x:is>
          <x:t/>
        </x:is>
      </x:c>
      <x:c r="D289" s="3" t="inlineStr">
        <x:is>
          <x:t>10 jun. 2022</x:t>
        </x:is>
      </x:c>
      <x:c r="E289" s="3" t="inlineStr">
        <x:is>
          <x:t/>
        </x:is>
      </x:c>
      <x:c r="F289" s="3" t="inlineStr">
        <x:is>
          <x:t>Negada</x:t>
        </x:is>
      </x:c>
      <x:c r="G289" s="3" t="inlineStr">
        <x:is>
          <x:t>M 2022/17962</x:t>
        </x:is>
      </x:c>
      <x:c r="H289" s="3" t="inlineStr">
        <x:is>
          <x:t> GENOMMA LAB INTERNACIONAL S.A.B  DE C.V., Antonio Dovali Jaime 70, Torre C, piso 2, Despacho A, Col. Santa Fe, C.P. 01210, DELEGACIÓN DE ÁLVARO OBREGÓN, CIUDAD DE MEXICO, MX</x:t>
        </x:is>
      </x:c>
      <x:c r="I289" s="3" t="inlineStr">
        <x:is>
          <x:t>3</x:t>
        </x:is>
      </x:c>
      <x:c r="J289" s="3" t="inlineStr">
        <x:is>
          <x:t>11</x:t>
        </x:is>
      </x:c>
      <x:c r="K289" s="3" t="inlineStr">
        <x:is>
          <x:t>3. Cosméticos; preparaciones cosméticas; jabones cosméticos; cosméticos para el cuidado de la piel, de la cara, pies, piernas; productos cosméticos para el cuidado de la piel en el tratamiento de cicatrices, arrugas, líneas de expresión, estrías, humectación, reafirmantes; productos cosméticos para el cuidado del cabello; productos cosméticos depiladores; cosméticos, a saber, cremas para aclarar la piel, cremas cosméticas, cremas corporales cremas protectoras solares; productos desmaquilladores; productos cosméticos para la afeitada; esencias; lociones para uso cosmético; productos de maquillaje; perfumes, colonias, splash, pomadas para uso cosmético; talcos para el cuerpo; toallitas limpiadoras; agua micelar., cremas, maquillaje y desmaquillantes.
</x:t>
        </x:is>
      </x:c>
      <x:c r="L289" s="3" t="inlineStr">
        <x:is>
          <x:t>No</x:t>
        </x:is>
      </x:c>
      <x:c r="M289" s="3" t="inlineStr">
        <x:is>
          <x:t>CAROLINA MERCEDES DAZA MONTALVO, CARRERA 11 No. 86 - 53 PISO 6, BOGOTÁ, D.C., CO</x:t>
        </x:is>
      </x:c>
      <x:c r="N289" s="3" t="inlineStr">
        <x:is>
          <x:t/>
        </x:is>
      </x:c>
      <x:c r="O289" s="3" t="inlineStr">
        <x:is>
          <x:t>29 jul. 2022</x:t>
        </x:is>
      </x:c>
      <x:c r="P289" s="3" t="inlineStr">
        <x:is>
          <x:t/>
        </x:is>
      </x:c>
      <x:c r="Q289" s="3" t="inlineStr">
        <x:is>
          <x:t/>
        </x:is>
      </x:c>
    </x:row>
    <x:row r="290">
      <x:c r="A290" s="10" t="inlineStr">
        <x:f xml:space="preserve">HYPERLINK("http://sipi.sic.gov.co/sipi/View.ashx?4215061","SD2022/0061646")</x:f>
      </x:c>
      <x:c r="B290" s="3" t="inlineStr">
        <x:is>
          <x:t>RAGAZZE</x:t>
        </x:is>
      </x:c>
      <x:c r="C290" s="9" t="inlineStr">
        <x:is>
          <x:t/>
        </x:is>
      </x:c>
      <x:c r="D290" s="3" t="inlineStr">
        <x:is>
          <x:t>20 jun. 2022</x:t>
        </x:is>
      </x:c>
      <x:c r="E290" s="3" t="inlineStr">
        <x:is>
          <x:t/>
        </x:is>
      </x:c>
      <x:c r="F290" s="3" t="inlineStr">
        <x:is>
          <x:t>Negada</x:t>
        </x:is>
      </x:c>
      <x:c r="G290" s="3" t="inlineStr">
        <x:is>
          <x:t>1127</x:t>
        </x:is>
      </x:c>
      <x:c r="H290" s="3" t="inlineStr">
        <x:is>
          <x:t>ADRIANA ESTHER PEREZ JIMENEZ, CRA 20 # 44 - 182, SOLEDAD, ATLÁNTICO, CO</x:t>
        </x:is>
      </x:c>
      <x:c r="I290" s="3" t="inlineStr">
        <x:is>
          <x:t>3</x:t>
        </x:is>
      </x:c>
      <x:c r="J290" s="3" t="inlineStr">
        <x:is>
          <x:t>11</x:t>
        </x:is>
      </x:c>
      <x:c r="K290" s="3" t="inlineStr">
        <x:is>
          <x:t>3. Aceite de coco para uso cosmético; aceite de lavanda para uso cosmético; aceite de rosas para uso cosmético; aceites cosméticos; aceites cosméticos para la piel; aceites de baño para uso cosmético; aceites de protección solar [cosméticos]; aceites para bronceado [cosméticos]; aceites para después del sol [productos cosméticos]; aceites para el cuerpo de uso cosmético; aceites para uso cosmético; aceites perfumados para fabricar preparaciones cosméticas; aceites perfumados para la fabricación de preparaciones cosméticas; aceites perfumados para la fabricación de preparados cosméticos; aceites perfumados para la fabricación de productos cosméticos; aceites puros para uso cosmético; aceites solares de uso cosmético; adhesivos [pegamentos] para uso cosmético; agua mineral para uso cosmético en forma de pulverizadores de niebla; almohadillas de algodón para uso cosmético; almohadillas de limpieza impregnadas con cosméticos; almohadillas de limpieza impregnadas con productos cosméticos; almohadillas de limpieza impregnadas de cosméticos; almohadillas limpiadoras impregnadas de productos cosméticos; almohadillas para uso cosmético; astringentes para uso cosmético; autobronceadores [cosméticos]; barras de labios con protección solar [cosméticos]; barras de labios en stick con protección solar [cosméticos]; barros corporales para uso cosmético; bastoncillos de algodón para uso cosmético; baños de aceite para el cuidado del cabello de uso cosmético; bloqueador solar [cosméticos]; brillos para uso cosmético; cintas de estiramiento facial para uso cosmético; cola de maquillaje para uso cosmético; colonias, perfumes y productos cosméticos; colorantes de labios [cosméticos]; colorantes labiales [cosméticos]; colorantes labiales [productos cosméticos]; colorantes para los labios [productos cosméticos]; composiciones para aclarar la piel [cosméticos]; compresas oculares para uso cosmético; correctores de imperfecciones [productos cosméticos]; cosméticos; cosméticos biológicos; cosméticos de belleza; cosméticos ecológicos; cosméticos en forma de cremas; cosméticos en forma de polvos; cosméticos naturales; cosméticos no medicinales; cosméticos orgánicos;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para uso cosmético; cremas acondicionadoras para la piel, de uso cosmético; cremas antiarrugas para uso cosmético; cremas con filtro solar para uso cosmético;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limpieza [cosméticos]; cremas de limpieza [para uso cosmético]; cremas de limpieza [productos cosméticos]; cremas de limpieza para uso cosmético; cremas de masaje cosméticas; cremas faciales para uso cosmético; cremas hidratantes para la piel [cosméticos]; cremas limpiadoras [cosméticos]; cremas limpiadoras [productos cosméticos]; cremas limpiadoras para uso cosmético; cremas para el cabello de uso cosmético; cremas para el cabello para uso cosmético; cremas para el cuerpo [cosméticos]; cremas para el cuerpo cosméticas; cremas para el rostro de uso cosmético; cremas para el rostro y el cuerpo de uso cosmético; cremas para la cara [cosméticos]; cremas para la piel de uso cosmético; cremas para las manos de uso cosmético; cremas para los labios de uso cosmético; cremas para los ojos de uso cosmético; cremas para tez clara de uso cosmético; cremas reparadoras para la piel [cosméticos]; cremas reparadoras para la piel de uso cosmético; cremas y geles cosméticos para cara, manos y cuerpo; cremas y geles cosméticos para rostro, manos y cuerpo; cremas y lociones cosméticas; cremas y lociones cosméticas para el cuidado de la cara y el cuerpo; cremas y lociones cosméticas para el cuidado del rostro y el cuerpo; cremas, aceites, lociones, aerosoles, lápices y bálsamos para uso cosmético; cremas, leches, lociones, geles y polvos cosméticos para la cara, el cuerpo y las manos; discos de algodón para uso cosmético; emulsiones faciales para uso cosmético; emulsiones para el cuerpo de uso cosmético; emulsiones térmicas para uso cosmético; espumas [cosméticas]; espumas cosméticas con filtro solar; exfoliantes [preparaciones cosméticas]; exfoliantes corporales cosméticos; exfoliantes corporales para uso cosmético; exfoliantes para el cuerpo de uso cosmético; filtro solar [cosméticos]; geles corporales y faciales [cosméticos]; geles cosméticos; geles de aloe vera para uso cosmético; geles de lavanda para uso cosmético; geles hidratantes [cosméticos]; geles para el cuerpo [cosméticos]; geles para el cuerpo y la cara [cosméticos]; geles para la cara [cosméticos]; geles para los ojos de uso cosmético; geles para uso cosmético; grasas para uso cosmético; hidratantes [cosméticos]; hidratantes cosméticas para el rostro; hidratantes cosméticas para la cara; hidratantes faciales [cosméticos]; hidratantes faciales de uso cosmético; hidratantes para la piel utilizados como cosméticos; hilas para uso cosmético; hisopos de algodón para uso cosmético; hisopos para uso cosmético;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 de almendras para uso cosmético; leches para el cuerpo de uso cosmético; leches para el rostro y el cuerpo de uso cosmético; leches y lociones para el rostro de uso cosmético; leches, geles y aceites bronceadores y para después del sol, de uso cosmético; limpiador cutáneo con propiedades suavizantes [cosmético];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capilares cosméticas; lociones con filtro solar para uso cosmético; lociones cosméticas para el cuidado de la piel; lociones cosméticas para el rostro; lociones cosméticas para la cara; lociones cosméticas para la piel; lociones cosméticas para reducir la aparición de manchas de envejecimiento y pecas; lociones de baño para uso cosmético; lociones de protección solar para uso cosmético; lociones faciales [cosméticos]; lociones hidratantes [cosméticos]; lociones hidratantes para el cuerpo [cosméticos]; lociones hidratantes para la piel [cosméticos]; lociones no medicinales para el cuidado de la piel [cosméticos]; lociones para después del sol de uso cosmético; lociones para el cabello de uso cosmético; lociones para el cuerpo de uso cosmético; lociones para el cuidado de la piel [cosméticos]; lociones para el cuidado del rostro y del cuerpo de uso cosmético; lociones para el rostro y el cuerpo de uso cosmético; lociones para la piel [productos cosméticos]; lociones para las manos de uso cosmético; lociones para los ojos de uso cosmético; lociones para reducir la celulitis de uso cosmético; lociones para uso cosmético; lociones tónicas para el rostro, el cuerpo y las manos de uso cosmético; lociones, cremas y aceites de aplicación tópica para la piel y el cuerpo, de uso cosmético; loción de malagueta para uso cosmético; lodos corporales para uso cosmético; lápices de ojos para uso cosmético; lápices para uso cosmético; maquillaje [cosméticos]; mascarillas corporales en forma de cremas para uso cosmético; mascarillas corporales en forma de lociones para uso cosmético; mascarillas corporales en polvo para uso cosmético; mascarillas corporales para uso cosmético; mascarillas cosméticas; mascarillas cosméticas para el cutis; mascarillas envasadas para uso cosmético; mascarillas faciales [productos cosméticos]; mascarillas faciales cosméticas; mascarillas faciales para uso cosmético; mascarillas oculares para uso cosmético; mascarillas para el cutis [cosméticos]; mascarillas para la piel [cosméticos]; mascarillas para la piel de uso cosmético; motivos decorativos para uso cosmético; máscaras cosméticas de barro; neceseres de cosmética;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papel secante anti-brillo [cosméticos]; papel secante anti-brillo para uso cosmético; papel secante facial [cosméticos]; papel secante facial para uso cosmético; papel secante para uso cosmético;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pastas cosméticas matificantes para la cara; pastas perfumadas para uso cosmético; pañitos cosméticos prehumedecidos; pañitos para bebés para uso cosmético; paños húmedos para bebés de uso cosmético; paños impregnados con sustancias cosméticas; perfumería para cosméticos; piedras astringentes para después del afeitado para uso cosmético; piedras para el afeitado en cuanto astringentes para uso cosmético; polvos compactos para polveras [cosméticos]; polvos compactos para polveras cosméticas; polvos cosméticos; polvos de baño para uso cosmético; polvos de brillo para uso cosmético; polvos dentales para uso cosmético; polvos faciales [cosméticos]; polvos faciales blancos para uso cosmético; polvos faciales cosméticos; polvos faciales cosméticos de color blanco; polvos faciales para uso cosmético; polvos para el cuerpo de uso cosmético; polvos perfumados para uso cosmético; preparaciones cosméticas; preparaciones cosméticas de cuidado facial; preparaciones cosméticas de peluquería; preparaciones cosméticas de uso tópico para atenuar las arrugas faciales; preparaciones cosméticas para el baño; preparaciones cosméticas para el cuidado de la piel; preparaciones cosméticas para el cuidado de la piel en forma de geles; preparaciones cosméticas para el cuidado del cabello; preparaciones cosméticas para el cuidado del cuerpo; preparaciones cosméticas para el cuidado y el tratamiento de la piel; preparaciones cosméticas para el rostro; preparaciones cosméticas para el rostro y el cuerpo; preparaciones cosméticas para el tratamiento de la piel; preparaciones cosméticas para la cara; preparaciones cosméticas para la ducha; preparaciones cosméticas para la regeneración de la piel; preparaciones cosméticas para pestañas; preparaciones cosméticas que contienen colágeno; preparaciones de aloe vera para uso cosmético; preparaciones de bloqueadores solares para uso cosmético; preparaciones de colágeno para uso cosmético; preparaciones de cuidado corporal y de belleza para uso cosmético; preparaciones de cuidado facial [cosméticos]; preparaciones exfoliantes faciales para uso cosmético; preparaciones hidratantes [cosméticos]; preparaciones para aclarar la piel [cosméticos]; preparaciones para el cuidado de la piel [productos cosméticos]; productos cosméticos decorativos;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y preparaciones cosméticos para el cuidado de la piel; protectores solares para los labios [productos cosméticos]; sprays de agua mineral para uso cosmético; sprays para el cuerpo de uso cosmético; suavizantes para el cabello de uso cosmético; sueros faciales para uso cosmético; sueros para uso cosmético; talco para uso cosmético; talco perfumado para uso cosmético; tatuajes temporales con fines cosméticos; tintas para uso cosmético; tintes cosméticos; tintes de labios [cosméticos]; tintes de labios para uso cosmético; tintes labiales [cosméticos]; tintes labiales [productos cosméticos]; tintes labiales para uso cosmético; tintes para los labios [productos cosméticos]; toallas de papel para las manos impregnadas de cosméticos; toallas de papel para las manos impregnadas de productos cosméticos; toallitas cosméticas impregnadas; toallitas cosméticas prehumedecidas; toallitas desechables impregnadas con preparados cosméticos para bebés; toallitas húmedas para uso higiénico y cosmético; toallitas impregnadas con preparados cosméticos; toallitas impregnadas con sustancias cosméticas; toallitas impregnadas de aceites esenciales, para uso cosmético; toallitas impregnadas de lociones cosméticas; toallitas impregnadas de productos cosméticos; tonificantes para el cabello para uso cosmético; tónicos cosméticos; tónicos cosméticos para el rostro; tónicos cosméticos para la cara; tónicos faciales [cosméticos]; tónicos para la piel para uso cosmético; tónicos para uso cosmético; agua de perfume; aguas de tocador perfumadas; jabones perfumados; mascarillas corporales; mascarillas corporales en forma de cremas; mascarillas corporales en forma de lociones; mascarillas corporales en polvo; mascarillas de belleza; mascarillas de belleza para el cabello; mascarillas de belleza para el contorno de los ojos; mascarillas de belleza para las manos; mascarillas desechables calentadas al vapor, que no sean para uso médico; mascarillas faciales;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hidratantes para la piel; mascarillas limpiadoras; mascarillas limpiadoras para corporales; mascarillas limpiadoras para faciales; mascarillas para el cabello; mascarillas para el cabello y el cuero cabelludo; mascarillas para el cuero cabelludo; mascarillas para el cuidado capilar; mascarillas para el cuidado de la piel de las manos; mascarillas para el cuidado de la piel de los pies; mascarillas para el cuidado del cabello; mascarillas para el cutis; mascarillas para el peinado del cabello; mascarillas para eliminar los comedones; mascarillas para eliminar los puntos negros; mascarillas para hidratar la piel; mascarillas para la cara; mascarillas para la piel; mascarillas para pieles grasas; acondicionadores labiales; bálsamos labiales; colorantes labiales; lápices labiales; lápices labiales hidratantes; paletas de brillos labiales; pomadas labiales; protectores labiales no medicinales; tintes labiales; adhesivos para fijar cejas postizas; cejas postizas; cejas postizas autoadhesivas; geles para el peinado de las cejas; geles para el teñido de las cejas; lápices de cejas; polvo de cejas; tintes de cejas; tintes para cejas; adhesivos para falsas pestañas; extensiones de pestañas; máscara de pestañas; máscara para pestañas largas; máscaras para pestañas largas; pestañas postizas; pestañas postizas magnéticas; tintes de pestañas; tintes para pestañas; bases de maquillaje; bases de maquillaje cremosas; bases de maquillaje en crema; bases de maquillaje líquidas; bases de maquillaje para la piel; bases neutralizantes para labios; bases para esmaltes de uñas; bases para perfumes de flores; maquillajes de base; maquillajes de base en crema.
</x:t>
        </x:is>
      </x:c>
      <x:c r="L290" s="3" t="inlineStr">
        <x:is>
          <x:t>No</x:t>
        </x:is>
      </x:c>
      <x:c r="M290" s="3" t="inlineStr">
        <x:is>
          <x:t/>
        </x:is>
      </x:c>
      <x:c r="N290" s="3" t="inlineStr">
        <x:is>
          <x:t/>
        </x:is>
      </x:c>
      <x:c r="O290" s="3" t="inlineStr">
        <x:is>
          <x:t>09 ago. 2022</x:t>
        </x:is>
      </x:c>
      <x:c r="P290" s="3" t="inlineStr">
        <x:is>
          <x:t/>
        </x:is>
      </x:c>
      <x:c r="Q290" s="3" t="inlineStr">
        <x:is>
          <x:t/>
        </x:is>
      </x:c>
    </x:row>
    <x:row r="291">
      <x:c r="A291" s="10" t="inlineStr">
        <x:f xml:space="preserve">HYPERLINK("http://sipi.sic.gov.co/sipi/View.ashx?4215911","SD2022/0059038")</x:f>
      </x:c>
      <x:c r="B291" s="3" t="inlineStr">
        <x:is>
          <x:t>HAN – NABIS By HEALTHY SKIN </x:t>
        </x:is>
      </x:c>
      <x:c r="C291" s="9" t="inlineStr">
        <x:is>
          <x:t/>
        </x:is>
      </x:c>
      <x:c r="D291" s="3" t="inlineStr">
        <x:is>
          <x:t>13 jun. 2022</x:t>
        </x:is>
      </x:c>
      <x:c r="E291" s="3" t="inlineStr">
        <x:is>
          <x:t/>
        </x:is>
      </x:c>
      <x:c r="F291" s="3" t="inlineStr">
        <x:is>
          <x:t>Negada</x:t>
        </x:is>
      </x:c>
      <x:c r="G291" s="3" t="inlineStr">
        <x:is>
          <x:t>HAN – NABIS By HEALTHY SKIN </x:t>
        </x:is>
      </x:c>
      <x:c r="H291" s="3" t="inlineStr">
        <x:is>
          <x:t> HAN-NABIS S.A.S, TV 21 18 11 C U 41 ED TRIADA BRR LA PRADERA, DOSQUEBRADAS, RISARALDA, CO</x:t>
        </x:is>
      </x:c>
      <x:c r="I291" s="3" t="inlineStr">
        <x:is>
          <x:t>3</x:t>
        </x:is>
      </x:c>
      <x:c r="J291" s="3" t="inlineStr">
        <x:is>
          <x:t>11</x:t>
        </x:is>
      </x:c>
      <x:c r="K291" s="3" t="inlineStr">
        <x:is>
          <x:t>3. Cosméticos.
</x:t>
        </x:is>
      </x:c>
      <x:c r="L291" s="3" t="inlineStr">
        <x:is>
          <x:t>Sí</x:t>
        </x:is>
      </x:c>
      <x:c r="M291" s="3" t="inlineStr">
        <x:is>
          <x:t>VIRGINIA GOMEZ FERNANDEZ, Calle 14 No. 15-51 Of. 301, BOGOTÁ, D.C. 11101, CO</x:t>
        </x:is>
      </x:c>
      <x:c r="N291" s="3" t="inlineStr">
        <x:is>
          <x:t/>
        </x:is>
      </x:c>
      <x:c r="O291" s="3" t="inlineStr">
        <x:is>
          <x:t>19 jul. 2022</x:t>
        </x:is>
      </x:c>
      <x:c r="P291" s="3" t="inlineStr">
        <x:is>
          <x:t/>
        </x:is>
      </x:c>
      <x:c r="Q291" s="3" t="inlineStr">
        <x:is>
          <x:t/>
        </x:is>
      </x:c>
    </x:row>
    <x:row r="292">
      <x:c r="A292" s="10" t="inlineStr">
        <x:f xml:space="preserve">HYPERLINK("http://sipi.sic.gov.co/sipi/View.ashx?4216211","SD2022/0059127")</x:f>
      </x:c>
      <x:c r="B292" s="3" t="inlineStr">
        <x:is>
          <x:t>petstar</x:t>
        </x:is>
      </x:c>
      <x:c r="C292" s="9" t="inlineStr">
        <x:is>
          <x:t/>
        </x:is>
      </x:c>
      <x:c r="D292" s="3" t="inlineStr">
        <x:is>
          <x:t>13 jun. 2022</x:t>
        </x:is>
      </x:c>
      <x:c r="E292" s="3" t="inlineStr">
        <x:is>
          <x:t/>
        </x:is>
      </x:c>
      <x:c r="F292" s="3" t="inlineStr">
        <x:is>
          <x:t>Negada</x:t>
        </x:is>
      </x:c>
      <x:c r="G292" s="3" t="inlineStr">
        <x:is>
          <x:t/>
        </x:is>
      </x:c>
      <x:c r="H292" s="3" t="inlineStr">
        <x:is>
          <x:t>Mariana  yepes baena, calle 7d #43a-99, MEDELLIN, ANTIOQUIA 050025, CO</x:t>
        </x:is>
      </x:c>
      <x:c r="I292" s="3" t="inlineStr">
        <x:is>
          <x:t>3, 5, 18</x:t>
        </x:is>
      </x:c>
      <x:c r="J292" s="3" t="inlineStr">
        <x:is>
          <x:t>11</x:t>
        </x:is>
      </x:c>
      <x:c r="K292"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
</x:t>
        </x:is>
      </x:c>
      <x:c r="L292" s="3" t="inlineStr">
        <x:is>
          <x:t>No</x:t>
        </x:is>
      </x:c>
      <x:c r="M292" s="3" t="inlineStr">
        <x:is>
          <x:t/>
        </x:is>
      </x:c>
      <x:c r="N292" s="3" t="inlineStr">
        <x:is>
          <x:t/>
        </x:is>
      </x:c>
      <x:c r="O292" s="3" t="inlineStr">
        <x:is>
          <x:t>30 jun. 2022</x:t>
        </x:is>
      </x:c>
      <x:c r="P292" s="3" t="inlineStr">
        <x:is>
          <x:t/>
        </x:is>
      </x:c>
      <x:c r="Q292" s="3" t="inlineStr">
        <x:is>
          <x:t/>
        </x:is>
      </x:c>
    </x:row>
    <x:row r="293">
      <x:c r="A293" s="10" t="inlineStr">
        <x:f xml:space="preserve">HYPERLINK("http://sipi.sic.gov.co/sipi/View.ashx?4217949","SD2022/0059664")</x:f>
      </x:c>
      <x:c r="B293" s="3" t="inlineStr">
        <x:is>
          <x:t>MichelleFRANK</x:t>
        </x:is>
      </x:c>
      <x:c r="C293" s="9" t="inlineStr">
        <x:is>
          <x:t/>
        </x:is>
      </x:c>
      <x:c r="D293" s="3" t="inlineStr">
        <x:is>
          <x:t>14 jun. 2022</x:t>
        </x:is>
      </x:c>
      <x:c r="E293" s="3" t="inlineStr">
        <x:is>
          <x:t/>
        </x:is>
      </x:c>
      <x:c r="F293" s="3" t="inlineStr">
        <x:is>
          <x:t>Negada</x:t>
        </x:is>
      </x:c>
      <x:c r="G293" s="3" t="inlineStr">
        <x:is>
          <x:t>MichelleFRANK</x:t>
        </x:is>
      </x:c>
      <x:c r="H293" s="3" t="inlineStr">
        <x:is>
          <x:t>Bryan Nicolas  Barrera Cubides , Cra 79 # 19 A -  86 Torre 2 Apto 1313, BOGOTÁ, D.C., CO</x:t>
        </x:is>
      </x:c>
      <x:c r="I293" s="3" t="inlineStr">
        <x:is>
          <x:t>3</x:t>
        </x:is>
      </x:c>
      <x:c r="J293" s="3" t="inlineStr">
        <x:is>
          <x:t>11</x:t>
        </x:is>
      </x:c>
      <x:c r="K293" s="3" t="inlineStr">
        <x:is>
          <x:t>3. Cosméticos.
</x:t>
        </x:is>
      </x:c>
      <x:c r="L293" s="3" t="inlineStr">
        <x:is>
          <x:t>No</x:t>
        </x:is>
      </x:c>
      <x:c r="M293" s="3" t="inlineStr">
        <x:is>
          <x:t>HERNANDO FERNANDEZ CAÑON , CLL 44 14 - 30, BOGOTÁ, D.C., CO</x:t>
        </x:is>
      </x:c>
      <x:c r="N293" s="3" t="inlineStr">
        <x:is>
          <x:t/>
        </x:is>
      </x:c>
      <x:c r="O293" s="3" t="inlineStr">
        <x:is>
          <x:t>29 jul. 2022</x:t>
        </x:is>
      </x:c>
      <x:c r="P293" s="3" t="inlineStr">
        <x:is>
          <x:t/>
        </x:is>
      </x:c>
      <x:c r="Q293" s="3" t="inlineStr">
        <x:is>
          <x:t/>
        </x:is>
      </x:c>
    </x:row>
    <x:row r="294">
      <x:c r="A294" s="10" t="inlineStr">
        <x:f xml:space="preserve">HYPERLINK("http://sipi.sic.gov.co/sipi/View.ashx?4218621","SD2022/0059714")</x:f>
      </x:c>
      <x:c r="B294" s="3" t="inlineStr">
        <x:is>
          <x:t>ANDRÓMEDA</x:t>
        </x:is>
      </x:c>
      <x:c r="C294" s="9" t="inlineStr">
        <x:is>
          <x:t/>
        </x:is>
      </x:c>
      <x:c r="D294" s="3" t="inlineStr">
        <x:is>
          <x:t>14 jun. 2022</x:t>
        </x:is>
      </x:c>
      <x:c r="E294" s="3" t="inlineStr">
        <x:is>
          <x:t/>
        </x:is>
      </x:c>
      <x:c r="F294" s="3" t="inlineStr">
        <x:is>
          <x:t>Negada</x:t>
        </x:is>
      </x:c>
      <x:c r="G294" s="3" t="inlineStr">
        <x:is>
          <x:t/>
        </x:is>
      </x:c>
      <x:c r="H294" s="3" t="inlineStr">
        <x:is>
          <x:t>ERICA YESENIA  SALDARRIAGA ARANGO , CARRERA 33 # 33 A 24 , MEDELLIN, ANTIOQUIA, CO; NEILANS CATALINA FERNANDEZ MONSALVE, DIAGONAL 29 D # 9 SUR 97 , MEDELLIN, ANTIOQUIA, CO</x:t>
        </x:is>
      </x:c>
      <x:c r="I294" s="3" t="inlineStr">
        <x:is>
          <x:t>3</x:t>
        </x:is>
      </x:c>
      <x:c r="J294" s="3" t="inlineStr">
        <x:is>
          <x:t>11</x:t>
        </x:is>
      </x:c>
      <x:c r="K294" s="3" t="inlineStr">
        <x:is>
          <x:t>3. JABONES, PERFUMERIA, ACEITES PARA EL CUERPO, LOCIONES PARA EL CABELLO, LOCIONES COSMETICAS, COSMETICOS, CREMAS CORPORALES PARA USO COSMETICO, MAQUILLAJE, DESODORANTES, TOALLAS HUMEDAS, CREMAS FACIALES Y LOCIONES PARA USO COSMETICOS, TRATAMIENTOS CAPILARES, CHAMPUS Y ACONDICIONADORES PARA EL CABELLO, BALSAMOS CAPILARES, PREPARACIONES COSMETICAS PARA EL CUIDADO DEL CABELLO Y LA PIEL HUMANA, PRODUCTOS PARA EL CUIDADO Y BELLEZA CAPILAR, PRODUCTOS PARA EL CUIDADO Y LA BELLEZA DEL ROSTRO Y LA PIEL, AGUAS DE TOCADOR, MASCARILLAS FACIALES DE BELLEZA, MASCARILLAS FACIALES COSMETICAS, MASCARILLAS HIDRATANTES PARA LA PIEL, COSMETICOS NO MEDICINALES, ACEITES ESENCIALES. DECOLORANTES PARA EL CABELLO, PREPARACIONES PARA ALISAR EL CABELLO.
</x:t>
        </x:is>
      </x:c>
      <x:c r="L294" s="3" t="inlineStr">
        <x:is>
          <x:t>No</x:t>
        </x:is>
      </x:c>
      <x:c r="M294" s="3" t="inlineStr">
        <x:is>
          <x:t>JOHN JAIRO SÁNCHEZ GÓMEZ, CALLE 43 Nº 73 - 91, Int 101, MEDELLIN, ANTIOQUIA, CO</x:t>
        </x:is>
      </x:c>
      <x:c r="N294" s="3" t="inlineStr">
        <x:is>
          <x:t/>
        </x:is>
      </x:c>
      <x:c r="O294" s="3" t="inlineStr">
        <x:is>
          <x:t>08 jul. 2022</x:t>
        </x:is>
      </x:c>
      <x:c r="P294" s="3" t="inlineStr">
        <x:is>
          <x:t/>
        </x:is>
      </x:c>
      <x:c r="Q294" s="3" t="inlineStr">
        <x:is>
          <x:t/>
        </x:is>
      </x:c>
    </x:row>
    <x:row r="295">
      <x:c r="A295" s="10" t="inlineStr">
        <x:f xml:space="preserve">HYPERLINK("http://sipi.sic.gov.co/sipi/View.ashx?4225034","SD2022/0061431")</x:f>
      </x:c>
      <x:c r="B295" s="3" t="inlineStr">
        <x:is>
          <x:t>VENALISA</x:t>
        </x:is>
      </x:c>
      <x:c r="C295" s="9" t="inlineStr">
        <x:is>
          <x:t/>
        </x:is>
      </x:c>
      <x:c r="D295" s="3" t="inlineStr">
        <x:is>
          <x:t>17 jun. 2022</x:t>
        </x:is>
      </x:c>
      <x:c r="E295" s="3" t="inlineStr">
        <x:is>
          <x:t/>
        </x:is>
      </x:c>
      <x:c r="F295" s="3" t="inlineStr">
        <x:is>
          <x:t>Negada</x:t>
        </x:is>
      </x:c>
      <x:c r="G295" s="3" t="inlineStr">
        <x:is>
          <x:t>RM VENALISA (MIXTA) CL. 3 </x:t>
        </x:is>
      </x:c>
      <x:c r="H295" s="3" t="inlineStr">
        <x:is>
          <x:t> CANNI AMERICA S.A.S., Carrera 10 calle 3 # 2-62 , CAJICA, CUNDINAMARCA 250240, CO</x:t>
        </x:is>
      </x:c>
      <x:c r="I295" s="3" t="inlineStr">
        <x:is>
          <x:t>3</x:t>
        </x:is>
      </x:c>
      <x:c r="J295" s="3" t="inlineStr">
        <x:is>
          <x:t>11</x:t>
        </x:is>
      </x:c>
      <x:c r="K295" s="3" t="inlineStr">
        <x:is>
          <x:t>3. Esmalte de uñas; bases para uñas; brillo para uñas; endurecedor de uñas; esmalte semipermanente de uñas; esmaltes de uñas en gel; capa superficial para esmalte de uñas (top coat).
</x:t>
        </x:is>
      </x:c>
      <x:c r="L295" s="3" t="inlineStr">
        <x:is>
          <x:t>Sí</x:t>
        </x:is>
      </x:c>
      <x:c r="M295" s="3" t="inlineStr">
        <x:is>
          <x:t>Natalia Garavito, Carrera 53 A # 127-30  Int. 4 Apto. 312, BOGOTÁ, D.C. 110111, CO</x:t>
        </x:is>
      </x:c>
      <x:c r="N295" s="3" t="inlineStr">
        <x:is>
          <x:t/>
        </x:is>
      </x:c>
      <x:c r="O295" s="3" t="inlineStr">
        <x:is>
          <x:t>19 ago. 2022</x:t>
        </x:is>
      </x:c>
      <x:c r="P295" s="3" t="inlineStr">
        <x:is>
          <x:t/>
        </x:is>
      </x:c>
      <x:c r="Q295" s="3" t="inlineStr">
        <x:is>
          <x:t/>
        </x:is>
      </x:c>
    </x:row>
    <x:row r="296">
      <x:c r="A296" s="10" t="inlineStr">
        <x:f xml:space="preserve">HYPERLINK("http://sipi.sic.gov.co/sipi/View.ashx?4225177","SD2022/0061464")</x:f>
      </x:c>
      <x:c r="B296" s="3" t="inlineStr">
        <x:is>
          <x:t>PRITHWI TIERRA SABIA</x:t>
        </x:is>
      </x:c>
      <x:c r="C296" s="9" t="inlineStr">
        <x:is>
          <x:t/>
        </x:is>
      </x:c>
      <x:c r="D296" s="3" t="inlineStr">
        <x:is>
          <x:t>17 jun. 2022</x:t>
        </x:is>
      </x:c>
      <x:c r="E296" s="3" t="inlineStr">
        <x:is>
          <x:t/>
        </x:is>
      </x:c>
      <x:c r="F296" s="3" t="inlineStr">
        <x:is>
          <x:t>Negada</x:t>
        </x:is>
      </x:c>
      <x:c r="G296" s="3" t="inlineStr">
        <x:is>
          <x:t/>
        </x:is>
      </x:c>
      <x:c r="H296" s="3" t="inlineStr">
        <x:is>
          <x:t>Mariana  Jaramillo Luque, calle 82 # 9-79 apto 201, BOGOTÁ, D.C., CO</x:t>
        </x:is>
      </x:c>
      <x:c r="I296" s="3" t="inlineStr">
        <x:is>
          <x:t>3</x:t>
        </x:is>
      </x:c>
      <x:c r="J296" s="3" t="inlineStr">
        <x:is>
          <x:t>11</x:t>
        </x:is>
      </x:c>
      <x:c r="K296" s="3" t="inlineStr">
        <x:is>
          <x:t>3. Aceites esenciales, cosméticos, productos cosméticos para el cuidado corporal y facial tales como: cremas y serums nutritivos, hidratantes, humectantes, limpiadoras; tónicos astringentes e hidratantes; cremas y aceites cosméticas; preparaciones cosméticas a base de plantas para uso cosmético; mascarillas de belleza; preparaciones cosméticas para el baño que no sean para uso médico; brumas, velas de masaje para uso cosmético, mantequillas corporales.
</x:t>
        </x:is>
      </x:c>
      <x:c r="L296" s="3" t="inlineStr">
        <x:is>
          <x:t>No</x:t>
        </x:is>
      </x:c>
      <x:c r="M296" s="3" t="inlineStr">
        <x:is>
          <x:t>ALEJANDRA ZAMORA BOTERO, CARRERA 9A # 93- 50 , BOGOTA D.C., CUNDINAMARCA, CO</x:t>
        </x:is>
      </x:c>
      <x:c r="N296" s="3" t="inlineStr">
        <x:is>
          <x:t/>
        </x:is>
      </x:c>
      <x:c r="O296" s="3" t="inlineStr">
        <x:is>
          <x:t>19 ago. 2022</x:t>
        </x:is>
      </x:c>
      <x:c r="P296" s="3" t="inlineStr">
        <x:is>
          <x:t/>
        </x:is>
      </x:c>
      <x:c r="Q296" s="3" t="inlineStr">
        <x:is>
          <x:t/>
        </x:is>
      </x:c>
    </x:row>
    <x:row r="297">
      <x:c r="A297" s="10" t="inlineStr">
        <x:f xml:space="preserve">HYPERLINK("http://sipi.sic.gov.co/sipi/View.ashx?4225363","SD2022/0061490")</x:f>
      </x:c>
      <x:c r="B297" s="3" t="inlineStr">
        <x:is>
          <x:t>laboratorio imperio natural</x:t>
        </x:is>
      </x:c>
      <x:c r="C297" s="9" t="inlineStr">
        <x:is>
          <x:t/>
        </x:is>
      </x:c>
      <x:c r="D297" s="3" t="inlineStr">
        <x:is>
          <x:t>18 jun. 2022</x:t>
        </x:is>
      </x:c>
      <x:c r="E297" s="3" t="inlineStr">
        <x:is>
          <x:t/>
        </x:is>
      </x:c>
      <x:c r="F297" s="3" t="inlineStr">
        <x:is>
          <x:t>Negada</x:t>
        </x:is>
      </x:c>
      <x:c r="G297" s="3" t="inlineStr">
        <x:is>
          <x:t/>
        </x:is>
      </x:c>
      <x:c r="H297" s="3" t="inlineStr">
        <x:is>
          <x:t>MARIA JOSE PALACIOS GARZON, via comercial, ciudad country, conjunto alondra, casa 136, JAMUNDI, VALLE DEL CAUCA, CO</x:t>
        </x:is>
      </x:c>
      <x:c r="I297" s="3" t="inlineStr">
        <x:is>
          <x:t>3, 5, 35</x:t>
        </x:is>
      </x:c>
      <x:c r="J297" s="3" t="inlineStr">
        <x:is>
          <x:t>11</x:t>
        </x:is>
      </x:c>
      <x:c r="K29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
</x:t>
        </x:is>
      </x:c>
      <x:c r="L297" s="3" t="inlineStr">
        <x:is>
          <x:t>No</x:t>
        </x:is>
      </x:c>
      <x:c r="M297" s="3" t="inlineStr">
        <x:is>
          <x:t/>
        </x:is>
      </x:c>
      <x:c r="N297" s="3" t="inlineStr">
        <x:is>
          <x:t/>
        </x:is>
      </x:c>
      <x:c r="O297" s="3" t="inlineStr">
        <x:is>
          <x:t>09 ago. 2022</x:t>
        </x:is>
      </x:c>
      <x:c r="P297" s="3" t="inlineStr">
        <x:is>
          <x:t/>
        </x:is>
      </x:c>
      <x:c r="Q297" s="3" t="inlineStr">
        <x:is>
          <x:t/>
        </x:is>
      </x:c>
    </x:row>
    <x:row r="298">
      <x:c r="A298" s="10" t="inlineStr">
        <x:f xml:space="preserve">HYPERLINK("http://sipi.sic.gov.co/sipi/View.ashx?4227385","SD2022/0061905")</x:f>
      </x:c>
      <x:c r="B298" s="3" t="inlineStr">
        <x:is>
          <x:t>LIFEFEM</x:t>
        </x:is>
      </x:c>
      <x:c r="C298" s="3" t="inlineStr">
        <x:is>
          <x:t/>
        </x:is>
      </x:c>
      <x:c r="D298" s="3" t="inlineStr">
        <x:is>
          <x:t>22 jun. 2022</x:t>
        </x:is>
      </x:c>
      <x:c r="E298" s="3" t="inlineStr">
        <x:is>
          <x:t/>
        </x:is>
      </x:c>
      <x:c r="F298" s="3" t="inlineStr">
        <x:is>
          <x:t>Negada</x:t>
        </x:is>
      </x:c>
      <x:c r="G298" s="3" t="inlineStr">
        <x:is>
          <x:t>LifeFem</x:t>
        </x:is>
      </x:c>
      <x:c r="H298" s="3" t="inlineStr">
        <x:is>
          <x:t> LIFE CO S.A.S, Carrera 19C # 88-42 AP 605, BOGOTÁ, D.C., CO</x:t>
        </x:is>
      </x:c>
      <x:c r="I298" s="3" t="inlineStr">
        <x:is>
          <x:t>3</x:t>
        </x:is>
      </x:c>
      <x:c r="J298" s="3" t="inlineStr">
        <x:is>
          <x:t>11</x:t>
        </x:is>
      </x:c>
      <x:c r="K298" s="3" t="inlineStr">
        <x:is>
          <x:t>3. Jabón de aloe vera; jabón de baño; jabón líquido para el cuerpo; preparaciones de jabón no medicinales; productos de jabón; productos de jabón no medicinales; jabones corporales no medicados; jabones cosméticos; jabones de baño; jabones de ducha; jabones de tocador; jabones desodorantes; jabones en crema; jabones faciales; jabones líquidos; jabones líquidos para el baño; jabones líquidos para el cabello y el cuerpo; jabones no medicados para el cuerpo.
</x:t>
        </x:is>
      </x:c>
      <x:c r="L298" s="3" t="inlineStr">
        <x:is>
          <x:t>No</x:t>
        </x:is>
      </x:c>
      <x:c r="M298" s="3" t="inlineStr">
        <x:is>
          <x:t>STEPHANIE PAULA  LARUMBE,  CARRERA 19 C 88 42 AP 605, BOGOTÁ, D.C., CO</x:t>
        </x:is>
      </x:c>
      <x:c r="N298" s="3" t="inlineStr">
        <x:is>
          <x:t/>
        </x:is>
      </x:c>
      <x:c r="O298" s="3" t="inlineStr">
        <x:is>
          <x:t>30 jun. 2022</x:t>
        </x:is>
      </x:c>
      <x:c r="P298" s="3" t="inlineStr">
        <x:is>
          <x:t/>
        </x:is>
      </x:c>
      <x:c r="Q298" s="3" t="inlineStr">
        <x:is>
          <x:t/>
        </x:is>
      </x:c>
    </x:row>
    <x:row r="299">
      <x:c r="A299" s="10" t="inlineStr">
        <x:f xml:space="preserve">HYPERLINK("http://sipi.sic.gov.co/sipi/View.ashx?4228065","SD2022/0064017")</x:f>
      </x:c>
      <x:c r="B299" s="3" t="inlineStr">
        <x:is>
          <x:t>Lili blue COSMETICS</x:t>
        </x:is>
      </x:c>
      <x:c r="C299" s="9" t="inlineStr">
        <x:is>
          <x:t/>
        </x:is>
      </x:c>
      <x:c r="D299" s="3" t="inlineStr">
        <x:is>
          <x:t>05 ago. 2022</x:t>
        </x:is>
      </x:c>
      <x:c r="E299" s="3" t="inlineStr">
        <x:is>
          <x:t/>
        </x:is>
      </x:c>
      <x:c r="F299" s="3" t="inlineStr">
        <x:is>
          <x:t>Negada</x:t>
        </x:is>
      </x:c>
      <x:c r="G299" s="3" t="inlineStr">
        <x:is>
          <x:t>Registro marca Lili Blue</x:t>
        </x:is>
      </x:c>
      <x:c r="H299" s="3" t="inlineStr">
        <x:is>
          <x:t>Adolfo León Idrobo Zapata, callejon Gertrudiz casa 4 corregimiento el overo, BUGALAGRANDE, VALLE DEL CAUCA, CO</x:t>
        </x:is>
      </x:c>
      <x:c r="I299" s="3" t="inlineStr">
        <x:is>
          <x:t>3, 8</x:t>
        </x:is>
      </x:c>
      <x:c r="J299" s="3" t="inlineStr">
        <x:is>
          <x:t>11</x:t>
        </x:is>
      </x:c>
      <x:c r="K29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esmaltes de uñas; bases para esmaltes de uñas; quitaesmaltes; preparaciones cosméticas para secar esmaltes de uñas; kits para el cuidado de las uñas que comprenden esmaltes de uñas y quitaesmaltes.
8. Herramientas e instrumentos de mano accionados manualmente; limas de uñas; cortaúñas; palitos para uñas de madera de naranjo; pulidores de uñas; tijeras de uñas; alicates de uñas; alicates para cutículas; cortacutículas; retiracutículas.
</x:t>
        </x:is>
      </x:c>
      <x:c r="L299" s="3" t="inlineStr">
        <x:is>
          <x:t>Sí</x:t>
        </x:is>
      </x:c>
      <x:c r="M299" s="3" t="inlineStr">
        <x:is>
          <x:t/>
        </x:is>
      </x:c>
      <x:c r="N299" s="3" t="inlineStr">
        <x:is>
          <x:t/>
        </x:is>
      </x:c>
      <x:c r="O299" s="3" t="inlineStr">
        <x:is>
          <x:t>09 dic. 2022</x:t>
        </x:is>
      </x:c>
      <x:c r="P299" s="3" t="inlineStr">
        <x:is>
          <x:t/>
        </x:is>
      </x:c>
      <x:c r="Q299" s="3" t="inlineStr">
        <x:is>
          <x:t/>
        </x:is>
      </x:c>
    </x:row>
    <x:row r="300">
      <x:c r="A300" s="10" t="inlineStr">
        <x:f xml:space="preserve">HYPERLINK("http://sipi.sic.gov.co/sipi/View.ashx?4229226","SD2022/0062412")</x:f>
      </x:c>
      <x:c r="B300" s="3" t="inlineStr">
        <x:is>
          <x:t>TOM FOR MEN DC   </x:t>
        </x:is>
      </x:c>
      <x:c r="C300" s="3" t="inlineStr">
        <x:is>
          <x:t/>
        </x:is>
      </x:c>
      <x:c r="D300" s="3" t="inlineStr">
        <x:is>
          <x:t>22 jun. 2022</x:t>
        </x:is>
      </x:c>
      <x:c r="E300" s="3" t="inlineStr">
        <x:is>
          <x:t/>
        </x:is>
      </x:c>
      <x:c r="F300" s="3" t="inlineStr">
        <x:is>
          <x:t>Negada</x:t>
        </x:is>
      </x:c>
      <x:c r="G300" s="3" t="inlineStr">
        <x:is>
          <x:t/>
        </x:is>
      </x:c>
      <x:c r="H300" s="3" t="inlineStr">
        <x:is>
          <x:t>DAVID GOMEZ URUEÑA, CALLE 13 No. 6-68 OFICINA 701 Edificio Madeira , CALI, VALLE DEL CAUCA, CO</x:t>
        </x:is>
      </x:c>
      <x:c r="I300" s="3" t="inlineStr">
        <x:is>
          <x:t>3</x:t>
        </x:is>
      </x:c>
      <x:c r="J300" s="3" t="inlineStr">
        <x:is>
          <x:t>11</x:t>
        </x:is>
      </x:c>
      <x:c r="K300" s="3" t="inlineStr">
        <x:is>
          <x:t>3. FRAGANCIAS, PRODUCTOS DE PERFUMERÍA, PERFUMES.
</x:t>
        </x:is>
      </x:c>
      <x:c r="L300" s="3" t="inlineStr">
        <x:is>
          <x:t>No</x:t>
        </x:is>
      </x:c>
      <x:c r="M300" s="3" t="inlineStr">
        <x:is>
          <x:t>SERGIO ROBERTO CABRERA TORRES, AVENIDA 4N No. 25N-45 BARRIO SAN VICENTE, CALI, VALLE DEL CAUCA, CO</x:t>
        </x:is>
      </x:c>
      <x:c r="N300" s="3" t="inlineStr">
        <x:is>
          <x:t/>
        </x:is>
      </x:c>
      <x:c r="O300" s="3" t="inlineStr">
        <x:is>
          <x:t>19 ago. 2022</x:t>
        </x:is>
      </x:c>
      <x:c r="P300" s="3" t="inlineStr">
        <x:is>
          <x:t/>
        </x:is>
      </x:c>
      <x:c r="Q300" s="3" t="inlineStr">
        <x:is>
          <x:t/>
        </x:is>
      </x:c>
    </x:row>
    <x:row r="301">
      <x:c r="A301" s="10" t="inlineStr">
        <x:f xml:space="preserve">HYPERLINK("http://sipi.sic.gov.co/sipi/View.ashx?4229358","SD2022/0062446")</x:f>
      </x:c>
      <x:c r="B301" s="3" t="inlineStr">
        <x:is>
          <x:t>CLASSIC BLACK DC </x:t>
        </x:is>
      </x:c>
      <x:c r="C301" s="3" t="inlineStr">
        <x:is>
          <x:t/>
        </x:is>
      </x:c>
      <x:c r="D301" s="3" t="inlineStr">
        <x:is>
          <x:t>22 jun. 2022</x:t>
        </x:is>
      </x:c>
      <x:c r="E301" s="3" t="inlineStr">
        <x:is>
          <x:t/>
        </x:is>
      </x:c>
      <x:c r="F301" s="3" t="inlineStr">
        <x:is>
          <x:t>Negada</x:t>
        </x:is>
      </x:c>
      <x:c r="G301" s="3" t="inlineStr">
        <x:is>
          <x:t/>
        </x:is>
      </x:c>
      <x:c r="H301" s="3" t="inlineStr">
        <x:is>
          <x:t>DAVID GOMEZ URUEÑA, CALLE 13 No. 6-68 OFICINA 701 Edificio Madeira , CALI, VALLE DEL CAUCA, CO</x:t>
        </x:is>
      </x:c>
      <x:c r="I301" s="3" t="inlineStr">
        <x:is>
          <x:t>3</x:t>
        </x:is>
      </x:c>
      <x:c r="J301" s="3" t="inlineStr">
        <x:is>
          <x:t>11</x:t>
        </x:is>
      </x:c>
      <x:c r="K301" s="3" t="inlineStr">
        <x:is>
          <x:t>3. FRAGANCIAS, PRODUCTOS DE PERFUMERÍA, PERFUMES.
</x:t>
        </x:is>
      </x:c>
      <x:c r="L301" s="3" t="inlineStr">
        <x:is>
          <x:t>No</x:t>
        </x:is>
      </x:c>
      <x:c r="M301" s="3" t="inlineStr">
        <x:is>
          <x:t>SERGIO ROBERTO CABRERA TORRES, AVENIDA 4N No. 25N-45 BARRIO SAN VICENTE, CALI, VALLE DEL CAUCA, CO</x:t>
        </x:is>
      </x:c>
      <x:c r="N301" s="3" t="inlineStr">
        <x:is>
          <x:t/>
        </x:is>
      </x:c>
      <x:c r="O301" s="3" t="inlineStr">
        <x:is>
          <x:t>19 ago. 2022</x:t>
        </x:is>
      </x:c>
      <x:c r="P301" s="3" t="inlineStr">
        <x:is>
          <x:t/>
        </x:is>
      </x:c>
      <x:c r="Q301" s="3" t="inlineStr">
        <x:is>
          <x:t/>
        </x:is>
      </x:c>
    </x:row>
    <x:row r="302">
      <x:c r="A302" s="10" t="inlineStr">
        <x:f xml:space="preserve">HYPERLINK("http://sipi.sic.gov.co/sipi/View.ashx?4229391","SD2022/0062457")</x:f>
      </x:c>
      <x:c r="B302" s="3" t="inlineStr">
        <x:is>
          <x:t>LONDON ROSE DC </x:t>
        </x:is>
      </x:c>
      <x:c r="C302" s="3" t="inlineStr">
        <x:is>
          <x:t/>
        </x:is>
      </x:c>
      <x:c r="D302" s="3" t="inlineStr">
        <x:is>
          <x:t>22 jun. 2022</x:t>
        </x:is>
      </x:c>
      <x:c r="E302" s="3" t="inlineStr">
        <x:is>
          <x:t/>
        </x:is>
      </x:c>
      <x:c r="F302" s="3" t="inlineStr">
        <x:is>
          <x:t>Negada</x:t>
        </x:is>
      </x:c>
      <x:c r="G302" s="3" t="inlineStr">
        <x:is>
          <x:t/>
        </x:is>
      </x:c>
      <x:c r="H302" s="3" t="inlineStr">
        <x:is>
          <x:t>DAVID GOMEZ URUEÑA, CALLE 13 No. 6-68 OFICINA 701 Edificio Madeira , CALI, VALLE DEL CAUCA, CO</x:t>
        </x:is>
      </x:c>
      <x:c r="I302" s="3" t="inlineStr">
        <x:is>
          <x:t>3</x:t>
        </x:is>
      </x:c>
      <x:c r="J302" s="3" t="inlineStr">
        <x:is>
          <x:t>11</x:t>
        </x:is>
      </x:c>
      <x:c r="K302" s="3" t="inlineStr">
        <x:is>
          <x:t>3. FRAGANCIAS, PRODUCTOS DE PERFUMERÍA, PERFUMES.
</x:t>
        </x:is>
      </x:c>
      <x:c r="L302" s="3" t="inlineStr">
        <x:is>
          <x:t>No</x:t>
        </x:is>
      </x:c>
      <x:c r="M302" s="3" t="inlineStr">
        <x:is>
          <x:t>SERGIO ROBERTO CABRERA TORRES, AVENIDA 4N No. 25N-45 BARRIO SAN VICENTE, CALI, VALLE DEL CAUCA, CO</x:t>
        </x:is>
      </x:c>
      <x:c r="N302" s="3" t="inlineStr">
        <x:is>
          <x:t/>
        </x:is>
      </x:c>
      <x:c r="O302" s="3" t="inlineStr">
        <x:is>
          <x:t>19 ago. 2022</x:t>
        </x:is>
      </x:c>
      <x:c r="P302" s="3" t="inlineStr">
        <x:is>
          <x:t/>
        </x:is>
      </x:c>
      <x:c r="Q302" s="3" t="inlineStr">
        <x:is>
          <x:t/>
        </x:is>
      </x:c>
    </x:row>
    <x:row r="303">
      <x:c r="A303" s="10" t="inlineStr">
        <x:f xml:space="preserve">HYPERLINK("http://sipi.sic.gov.co/sipi/View.ashx?4229449","SD2022/0062469")</x:f>
      </x:c>
      <x:c r="B303" s="3" t="inlineStr">
        <x:is>
          <x:t>USA ARMY DC </x:t>
        </x:is>
      </x:c>
      <x:c r="C303" s="3" t="inlineStr">
        <x:is>
          <x:t/>
        </x:is>
      </x:c>
      <x:c r="D303" s="3" t="inlineStr">
        <x:is>
          <x:t>22 jun. 2022</x:t>
        </x:is>
      </x:c>
      <x:c r="E303" s="3" t="inlineStr">
        <x:is>
          <x:t/>
        </x:is>
      </x:c>
      <x:c r="F303" s="3" t="inlineStr">
        <x:is>
          <x:t>Negada</x:t>
        </x:is>
      </x:c>
      <x:c r="G303" s="3" t="inlineStr">
        <x:is>
          <x:t/>
        </x:is>
      </x:c>
      <x:c r="H303" s="3" t="inlineStr">
        <x:is>
          <x:t>DAVID GOMEZ URUEÑA, CALLE 13 No. 6-68 OFICINA 701 Edificio Madeira , CALI, VALLE DEL CAUCA, CO</x:t>
        </x:is>
      </x:c>
      <x:c r="I303" s="3" t="inlineStr">
        <x:is>
          <x:t>3</x:t>
        </x:is>
      </x:c>
      <x:c r="J303" s="3" t="inlineStr">
        <x:is>
          <x:t>11</x:t>
        </x:is>
      </x:c>
      <x:c r="K303" s="3" t="inlineStr">
        <x:is>
          <x:t>3. FRAGANCIAS, PRODUCTOS DE PERFUMERÍA, PERFUMES.
</x:t>
        </x:is>
      </x:c>
      <x:c r="L303" s="3" t="inlineStr">
        <x:is>
          <x:t>No</x:t>
        </x:is>
      </x:c>
      <x:c r="M303" s="3" t="inlineStr">
        <x:is>
          <x:t>SERGIO ROBERTO CABRERA TORRES, AVENIDA 4N No. 25N-45 BARRIO SAN VICENTE, CALI, VALLE DEL CAUCA, CO</x:t>
        </x:is>
      </x:c>
      <x:c r="N303" s="3" t="inlineStr">
        <x:is>
          <x:t/>
        </x:is>
      </x:c>
      <x:c r="O303" s="3" t="inlineStr">
        <x:is>
          <x:t>09 sept. 2022</x:t>
        </x:is>
      </x:c>
      <x:c r="P303" s="3" t="inlineStr">
        <x:is>
          <x:t/>
        </x:is>
      </x:c>
      <x:c r="Q303" s="3" t="inlineStr">
        <x:is>
          <x:t/>
        </x:is>
      </x:c>
    </x:row>
    <x:row r="304">
      <x:c r="A304" s="10" t="inlineStr">
        <x:f xml:space="preserve">HYPERLINK("http://sipi.sic.gov.co/sipi/View.ashx?4229505","SD2022/0062480")</x:f>
      </x:c>
      <x:c r="B304" s="3" t="inlineStr">
        <x:is>
          <x:t>1060º DEGREES DC </x:t>
        </x:is>
      </x:c>
      <x:c r="C304" s="3" t="inlineStr">
        <x:is>
          <x:t/>
        </x:is>
      </x:c>
      <x:c r="D304" s="3" t="inlineStr">
        <x:is>
          <x:t>22 jun. 2022</x:t>
        </x:is>
      </x:c>
      <x:c r="E304" s="3" t="inlineStr">
        <x:is>
          <x:t/>
        </x:is>
      </x:c>
      <x:c r="F304" s="3" t="inlineStr">
        <x:is>
          <x:t>Negada</x:t>
        </x:is>
      </x:c>
      <x:c r="G304" s="3" t="inlineStr">
        <x:is>
          <x:t/>
        </x:is>
      </x:c>
      <x:c r="H304" s="3" t="inlineStr">
        <x:is>
          <x:t>DAVID GOMEZ URUEÑA, CALLE 13 No. 6-68 OFICINA 701 Edificio Madeira , CALI, VALLE DEL CAUCA, CO</x:t>
        </x:is>
      </x:c>
      <x:c r="I304" s="3" t="inlineStr">
        <x:is>
          <x:t>3</x:t>
        </x:is>
      </x:c>
      <x:c r="J304" s="3" t="inlineStr">
        <x:is>
          <x:t>11</x:t>
        </x:is>
      </x:c>
      <x:c r="K304" s="3" t="inlineStr">
        <x:is>
          <x:t>3. FRAGANCIAS, PRODUCTOS DE PERFUMERÍA, PERFUMES.
</x:t>
        </x:is>
      </x:c>
      <x:c r="L304" s="3" t="inlineStr">
        <x:is>
          <x:t>No</x:t>
        </x:is>
      </x:c>
      <x:c r="M304" s="3" t="inlineStr">
        <x:is>
          <x:t>SERGIO ROBERTO CABRERA TORRES, AVENIDA 4N No. 25N-45 BARRIO SAN VICENTE, CALI, VALLE DEL CAUCA, CO</x:t>
        </x:is>
      </x:c>
      <x:c r="N304" s="3" t="inlineStr">
        <x:is>
          <x:t/>
        </x:is>
      </x:c>
      <x:c r="O304" s="3" t="inlineStr">
        <x:is>
          <x:t>09 sept. 2022</x:t>
        </x:is>
      </x:c>
      <x:c r="P304" s="3" t="inlineStr">
        <x:is>
          <x:t/>
        </x:is>
      </x:c>
      <x:c r="Q304" s="3" t="inlineStr">
        <x:is>
          <x:t/>
        </x:is>
      </x:c>
    </x:row>
    <x:row r="305">
      <x:c r="A305" s="10" t="inlineStr">
        <x:f xml:space="preserve">HYPERLINK("http://sipi.sic.gov.co/sipi/View.ashx?4229609","SD2022/0062518")</x:f>
      </x:c>
      <x:c r="B305" s="3" t="inlineStr">
        <x:is>
          <x:t>REBECCA DC </x:t>
        </x:is>
      </x:c>
      <x:c r="C305" s="3" t="inlineStr">
        <x:is>
          <x:t/>
        </x:is>
      </x:c>
      <x:c r="D305" s="3" t="inlineStr">
        <x:is>
          <x:t>22 jun. 2022</x:t>
        </x:is>
      </x:c>
      <x:c r="E305" s="3" t="inlineStr">
        <x:is>
          <x:t/>
        </x:is>
      </x:c>
      <x:c r="F305" s="3" t="inlineStr">
        <x:is>
          <x:t>Negada</x:t>
        </x:is>
      </x:c>
      <x:c r="G305" s="3" t="inlineStr">
        <x:is>
          <x:t/>
        </x:is>
      </x:c>
      <x:c r="H305" s="3" t="inlineStr">
        <x:is>
          <x:t>DAVID GOMEZ URUEÑA, CALLE 13 No. 6-68 OFICINA 701 Edificio Madeira , CALI, VALLE DEL CAUCA, CO</x:t>
        </x:is>
      </x:c>
      <x:c r="I305" s="3" t="inlineStr">
        <x:is>
          <x:t>3</x:t>
        </x:is>
      </x:c>
      <x:c r="J305" s="3" t="inlineStr">
        <x:is>
          <x:t>11</x:t>
        </x:is>
      </x:c>
      <x:c r="K305" s="3" t="inlineStr">
        <x:is>
          <x:t>3. FRAGANCIAS, PRODUCTOS DE PERFUMERÍA, PERFUMES.
</x:t>
        </x:is>
      </x:c>
      <x:c r="L305" s="3" t="inlineStr">
        <x:is>
          <x:t>No</x:t>
        </x:is>
      </x:c>
      <x:c r="M305" s="3" t="inlineStr">
        <x:is>
          <x:t>SERGIO ROBERTO CABRERA TORRES, AVENIDA 4N No. 25N-45 BARRIO SAN VICENTE, CALI, VALLE DEL CAUCA, CO</x:t>
        </x:is>
      </x:c>
      <x:c r="N305" s="3" t="inlineStr">
        <x:is>
          <x:t/>
        </x:is>
      </x:c>
      <x:c r="O305" s="3" t="inlineStr">
        <x:is>
          <x:t>09 sept. 2022</x:t>
        </x:is>
      </x:c>
      <x:c r="P305" s="3" t="inlineStr">
        <x:is>
          <x:t/>
        </x:is>
      </x:c>
      <x:c r="Q305" s="3" t="inlineStr">
        <x:is>
          <x:t/>
        </x:is>
      </x:c>
    </x:row>
    <x:row r="306">
      <x:c r="A306" s="10" t="inlineStr">
        <x:f xml:space="preserve">HYPERLINK("http://sipi.sic.gov.co/sipi/View.ashx?4229663","SD2022/0062539")</x:f>
      </x:c>
      <x:c r="B306" s="3" t="inlineStr">
        <x:is>
          <x:t>OK NEW YORK DC </x:t>
        </x:is>
      </x:c>
      <x:c r="C306" s="3" t="inlineStr">
        <x:is>
          <x:t/>
        </x:is>
      </x:c>
      <x:c r="D306" s="3" t="inlineStr">
        <x:is>
          <x:t>22 jun. 2022</x:t>
        </x:is>
      </x:c>
      <x:c r="E306" s="3" t="inlineStr">
        <x:is>
          <x:t/>
        </x:is>
      </x:c>
      <x:c r="F306" s="3" t="inlineStr">
        <x:is>
          <x:t>Negada</x:t>
        </x:is>
      </x:c>
      <x:c r="G306" s="3" t="inlineStr">
        <x:is>
          <x:t/>
        </x:is>
      </x:c>
      <x:c r="H306" s="3" t="inlineStr">
        <x:is>
          <x:t>DAVID GOMEZ URUEÑA, CALLE 13 No. 6-68 OFICINA 701 Edificio Madeira , CALI, VALLE DEL CAUCA, CO</x:t>
        </x:is>
      </x:c>
      <x:c r="I306" s="3" t="inlineStr">
        <x:is>
          <x:t>3</x:t>
        </x:is>
      </x:c>
      <x:c r="J306" s="3" t="inlineStr">
        <x:is>
          <x:t>11</x:t>
        </x:is>
      </x:c>
      <x:c r="K306" s="3" t="inlineStr">
        <x:is>
          <x:t>3. FRAGANCIAS, PRODUCTOS DE PERFUMERÍA, PERFUMES.
</x:t>
        </x:is>
      </x:c>
      <x:c r="L306" s="3" t="inlineStr">
        <x:is>
          <x:t>No</x:t>
        </x:is>
      </x:c>
      <x:c r="M306" s="3" t="inlineStr">
        <x:is>
          <x:t>SERGIO ROBERTO CABRERA TORRES, AVENIDA 4N No. 25N-45 BARRIO SAN VICENTE, CALI, VALLE DEL CAUCA, CO</x:t>
        </x:is>
      </x:c>
      <x:c r="N306" s="3" t="inlineStr">
        <x:is>
          <x:t/>
        </x:is>
      </x:c>
      <x:c r="O306" s="3" t="inlineStr">
        <x:is>
          <x:t>30 ago. 2022</x:t>
        </x:is>
      </x:c>
      <x:c r="P306" s="3" t="inlineStr">
        <x:is>
          <x:t/>
        </x:is>
      </x:c>
      <x:c r="Q306" s="3" t="inlineStr">
        <x:is>
          <x:t/>
        </x:is>
      </x:c>
    </x:row>
    <x:row r="307">
      <x:c r="A307" s="10" t="inlineStr">
        <x:f xml:space="preserve">HYPERLINK("http://sipi.sic.gov.co/sipi/View.ashx?4229712","SD2022/0062551")</x:f>
      </x:c>
      <x:c r="B307" s="3" t="inlineStr">
        <x:is>
          <x:t>SENSATION DC </x:t>
        </x:is>
      </x:c>
      <x:c r="C307" s="3" t="inlineStr">
        <x:is>
          <x:t/>
        </x:is>
      </x:c>
      <x:c r="D307" s="3" t="inlineStr">
        <x:is>
          <x:t>22 jun. 2022</x:t>
        </x:is>
      </x:c>
      <x:c r="E307" s="3" t="inlineStr">
        <x:is>
          <x:t/>
        </x:is>
      </x:c>
      <x:c r="F307" s="3" t="inlineStr">
        <x:is>
          <x:t>Negada</x:t>
        </x:is>
      </x:c>
      <x:c r="G307" s="3" t="inlineStr">
        <x:is>
          <x:t/>
        </x:is>
      </x:c>
      <x:c r="H307" s="3" t="inlineStr">
        <x:is>
          <x:t>DAVID GOMEZ URUEÑA, CALLE 13 No. 6-68 OFICINA 701 Edificio Madeira , CALI, VALLE DEL CAUCA, CO</x:t>
        </x:is>
      </x:c>
      <x:c r="I307" s="3" t="inlineStr">
        <x:is>
          <x:t>3</x:t>
        </x:is>
      </x:c>
      <x:c r="J307" s="3" t="inlineStr">
        <x:is>
          <x:t>11</x:t>
        </x:is>
      </x:c>
      <x:c r="K307" s="3" t="inlineStr">
        <x:is>
          <x:t>3. FRAGANCIAS, PRODUCTOS DE PERFUMERÍA, PERFUMES.
</x:t>
        </x:is>
      </x:c>
      <x:c r="L307" s="3" t="inlineStr">
        <x:is>
          <x:t>No</x:t>
        </x:is>
      </x:c>
      <x:c r="M307" s="3" t="inlineStr">
        <x:is>
          <x:t>SERGIO ROBERTO CABRERA TORRES, AVENIDA 4N No. 25N-45 BARRIO SAN VICENTE, CALI, VALLE DEL CAUCA, CO</x:t>
        </x:is>
      </x:c>
      <x:c r="N307" s="3" t="inlineStr">
        <x:is>
          <x:t/>
        </x:is>
      </x:c>
      <x:c r="O307" s="3" t="inlineStr">
        <x:is>
          <x:t>30 ago. 2022</x:t>
        </x:is>
      </x:c>
      <x:c r="P307" s="3" t="inlineStr">
        <x:is>
          <x:t/>
        </x:is>
      </x:c>
      <x:c r="Q307" s="3" t="inlineStr">
        <x:is>
          <x:t/>
        </x:is>
      </x:c>
    </x:row>
    <x:row r="308">
      <x:c r="A308" s="10" t="inlineStr">
        <x:f xml:space="preserve">HYPERLINK("http://sipi.sic.gov.co/sipi/View.ashx?4229720","SD2022/0062584")</x:f>
      </x:c>
      <x:c r="B308" s="3" t="inlineStr">
        <x:is>
          <x:t>ROCCASHOP</x:t>
        </x:is>
      </x:c>
      <x:c r="C308" s="9" t="inlineStr">
        <x:is>
          <x:t/>
        </x:is>
      </x:c>
      <x:c r="D308" s="3" t="inlineStr">
        <x:is>
          <x:t>22 jun. 2022</x:t>
        </x:is>
      </x:c>
      <x:c r="E308" s="3" t="inlineStr">
        <x:is>
          <x:t/>
        </x:is>
      </x:c>
      <x:c r="F308" s="3" t="inlineStr">
        <x:is>
          <x:t>Negada</x:t>
        </x:is>
      </x:c>
      <x:c r="G308" s="3" t="inlineStr">
        <x:is>
          <x:t>ROCCASHOP</x:t>
        </x:is>
      </x:c>
      <x:c r="H308" s="3" t="inlineStr">
        <x:is>
          <x:t> ROCCA SOLIDA GROUP S.A.S, calle 85 no. 50-159 oficina 504, BARRANQUILLA, ATLÁNTICO, CO</x:t>
        </x:is>
      </x:c>
      <x:c r="I308" s="3" t="inlineStr">
        <x:is>
          <x:t>3</x:t>
        </x:is>
      </x:c>
      <x:c r="J308" s="3" t="inlineStr">
        <x:is>
          <x:t>11</x:t>
        </x:is>
      </x:c>
      <x:c r="K308" s="3" t="inlineStr">
        <x:is>
          <x:t>3. Aceites bronceadores [cosméticos]; autobronceadores; bronceadores para la piel; champús capilares; cremas capilares; mascarillas para el cuidado capilar; preparaciones cosméticas que contienen colágeno; preparaciones de colágeno para uso cosmético; productos cosméticos para el cuidado corporal; fragancias corporales.
</x:t>
        </x:is>
      </x:c>
      <x:c r="L308" s="3" t="inlineStr">
        <x:is>
          <x:t>No</x:t>
        </x:is>
      </x:c>
      <x:c r="M308" s="3" t="inlineStr">
        <x:is>
          <x:t>ANDRES TORRES    NIETO , calle 85 # 50-159 ofc 1003, BARRANQUILLA, ATLÁNTICO, CO</x:t>
        </x:is>
      </x:c>
      <x:c r="N308" s="3" t="inlineStr">
        <x:is>
          <x:t/>
        </x:is>
      </x:c>
      <x:c r="O308" s="3" t="inlineStr">
        <x:is>
          <x:t>19 jul. 2022</x:t>
        </x:is>
      </x:c>
      <x:c r="P308" s="3" t="inlineStr">
        <x:is>
          <x:t/>
        </x:is>
      </x:c>
      <x:c r="Q308" s="3" t="inlineStr">
        <x:is>
          <x:t/>
        </x:is>
      </x:c>
    </x:row>
    <x:row r="309">
      <x:c r="A309" s="10" t="inlineStr">
        <x:f xml:space="preserve">HYPERLINK("http://sipi.sic.gov.co/sipi/View.ashx?4229750","SD2022/0062562")</x:f>
      </x:c>
      <x:c r="B309" s="3" t="inlineStr">
        <x:is>
          <x:t>BLUE SKY DC               </x:t>
        </x:is>
      </x:c>
      <x:c r="C309" s="3" t="inlineStr">
        <x:is>
          <x:t/>
        </x:is>
      </x:c>
      <x:c r="D309" s="3" t="inlineStr">
        <x:is>
          <x:t>22 jun. 2022</x:t>
        </x:is>
      </x:c>
      <x:c r="E309" s="3" t="inlineStr">
        <x:is>
          <x:t/>
        </x:is>
      </x:c>
      <x:c r="F309" s="3" t="inlineStr">
        <x:is>
          <x:t>Negada</x:t>
        </x:is>
      </x:c>
      <x:c r="G309" s="3" t="inlineStr">
        <x:is>
          <x:t/>
        </x:is>
      </x:c>
      <x:c r="H309" s="3" t="inlineStr">
        <x:is>
          <x:t>DAVID GOMEZ URUEÑA, CALLE 13 No. 6-68 OFICINA 701 Edificio Madeira , CALI, VALLE DEL CAUCA, CO</x:t>
        </x:is>
      </x:c>
      <x:c r="I309" s="3" t="inlineStr">
        <x:is>
          <x:t>3</x:t>
        </x:is>
      </x:c>
      <x:c r="J309" s="3" t="inlineStr">
        <x:is>
          <x:t>11</x:t>
        </x:is>
      </x:c>
      <x:c r="K309" s="3" t="inlineStr">
        <x:is>
          <x:t>3. FRAGANCIAS, PRODUCTOS DE PERFUMERÍA, PERFUMES.
</x:t>
        </x:is>
      </x:c>
      <x:c r="L309" s="3" t="inlineStr">
        <x:is>
          <x:t>Sí</x:t>
        </x:is>
      </x:c>
      <x:c r="M309" s="3" t="inlineStr">
        <x:is>
          <x:t>SERGIO ROBERTO CABRERA TORRES, AVENIDA 4N No. 25N-45 BARRIO SAN VICENTE, CALI, VALLE DEL CAUCA, CO</x:t>
        </x:is>
      </x:c>
      <x:c r="N309" s="3" t="inlineStr">
        <x:is>
          <x:t/>
        </x:is>
      </x:c>
      <x:c r="O309" s="3" t="inlineStr">
        <x:is>
          <x:t>30 ago. 2022</x:t>
        </x:is>
      </x:c>
      <x:c r="P309" s="3" t="inlineStr">
        <x:is>
          <x:t/>
        </x:is>
      </x:c>
      <x:c r="Q309" s="3" t="inlineStr">
        <x:is>
          <x:t/>
        </x:is>
      </x:c>
    </x:row>
    <x:row r="310">
      <x:c r="A310" s="10" t="inlineStr">
        <x:f xml:space="preserve">HYPERLINK("http://sipi.sic.gov.co/sipi/View.ashx?4231353","SD2022/0063124")</x:f>
      </x:c>
      <x:c r="B310" s="3" t="inlineStr">
        <x:is>
          <x:t>EDÉN </x:t>
        </x:is>
      </x:c>
      <x:c r="C310" s="9" t="inlineStr">
        <x:is>
          <x:t/>
        </x:is>
      </x:c>
      <x:c r="D310" s="3" t="inlineStr">
        <x:is>
          <x:t>22 jun. 2022</x:t>
        </x:is>
      </x:c>
      <x:c r="E310" s="3" t="inlineStr">
        <x:is>
          <x:t/>
        </x:is>
      </x:c>
      <x:c r="F310" s="3" t="inlineStr">
        <x:is>
          <x:t>Negada</x:t>
        </x:is>
      </x:c>
      <x:c r="G310" s="3" t="inlineStr">
        <x:is>
          <x:t/>
        </x:is>
      </x:c>
      <x:c r="H310" s="3" t="inlineStr">
        <x:is>
          <x:t>Manuel José Restrepo Arboleda , Calle 70 Sur #38-358, SABANETA, ANTIOQUIA 055457, CO</x:t>
        </x:is>
      </x:c>
      <x:c r="I310" s="3" t="inlineStr">
        <x:is>
          <x:t>3, 4</x:t>
        </x:is>
      </x:c>
      <x:c r="J310" s="3" t="inlineStr">
        <x:is>
          <x:t>11</x:t>
        </x:is>
      </x:c>
      <x:c r="K310" s="3" t="inlineStr">
        <x:is>
          <x:t>3. Aceites para perfumes y fragancias; colonias, perfumes y productos cosméticos; difusores de perfumes de ambiente con varillas; perfumes; perfumes líquidos; perfumes y aguas de colonia; perfumes y aguas de tocador; perfumes y colonias; jabones cosméticos; jabones de ducha; jabones de tocador; jabones de tocador perfumados; jabones líquidos; jabones para el cuerpo; jabones para las manos.
4. Velas [iluminación]; velas aromáticas; velas de cera.
</x:t>
        </x:is>
      </x:c>
      <x:c r="L310" s="3" t="inlineStr">
        <x:is>
          <x:t>Sí</x:t>
        </x:is>
      </x:c>
      <x:c r="M310" s="3" t="inlineStr">
        <x:is>
          <x:t/>
        </x:is>
      </x:c>
      <x:c r="N310" s="3" t="inlineStr">
        <x:is>
          <x:t/>
        </x:is>
      </x:c>
      <x:c r="O310" s="3" t="inlineStr">
        <x:is>
          <x:t>09 ago. 2022</x:t>
        </x:is>
      </x:c>
      <x:c r="P310" s="3" t="inlineStr">
        <x:is>
          <x:t/>
        </x:is>
      </x:c>
      <x:c r="Q310" s="3" t="inlineStr">
        <x:is>
          <x:t/>
        </x:is>
      </x:c>
    </x:row>
    <x:row r="311">
      <x:c r="A311" s="10" t="inlineStr">
        <x:f xml:space="preserve">HYPERLINK("http://sipi.sic.gov.co/sipi/View.ashx?4232135","SD2022/0063307")</x:f>
      </x:c>
      <x:c r="B311" s="3" t="inlineStr">
        <x:is>
          <x:t>CELeSTIALS KIDS</x:t>
        </x:is>
      </x:c>
      <x:c r="C311" s="9" t="inlineStr">
        <x:is>
          <x:t/>
        </x:is>
      </x:c>
      <x:c r="D311" s="3" t="inlineStr">
        <x:is>
          <x:t>23 jun. 2022</x:t>
        </x:is>
      </x:c>
      <x:c r="E311" s="3" t="inlineStr">
        <x:is>
          <x:t/>
        </x:is>
      </x:c>
      <x:c r="F311" s="3" t="inlineStr">
        <x:is>
          <x:t>Negada</x:t>
        </x:is>
      </x:c>
      <x:c r="G311" s="3" t="inlineStr">
        <x:is>
          <x:t>CELESTIALS KIDS</x:t>
        </x:is>
      </x:c>
      <x:c r="H311" s="3" t="inlineStr">
        <x:is>
          <x:t> CELESTIAL HOME SAS , CARRERA 27 T 103 38 EDS TERPEL LA CASONA , CALI, VALLE DEL CAUCA, CO</x:t>
        </x:is>
      </x:c>
      <x:c r="I311" s="3" t="inlineStr">
        <x:is>
          <x:t>3</x:t>
        </x:is>
      </x:c>
      <x:c r="J311" s="3" t="inlineStr">
        <x:is>
          <x:t>11</x:t>
        </x:is>
      </x:c>
      <x:c r="K311" s="3" t="inlineStr">
        <x:is>
          <x:t>3. Bálsamos capilares; champús capilares; cremas capilares; geles capilares; acondicionadores de cabello; acondicionadores para el cabello; acondicionadores para el cabello para bebés; acondicionadores para uso en el cabello; bálsamos para el cabello; cera para el cabello; ceras para el cabello; ceras para el cuidado del cabello; ceras para el peinado del cabello; champúes para el cabello; champús para el cabello; champús para el cabello humano; champús y acondicionadores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geles para dar forma al cabello; geles para el cabello; geles para el peinado; geles para el peinado del cabello; champús acondicionadores; champús para bebés; champús para el cabello y el cuerpo; champús y acondicionadores; champús*; productos de enjuague para el cabello [champús acondicionadores].
</x:t>
        </x:is>
      </x:c>
      <x:c r="L311" s="3" t="inlineStr">
        <x:is>
          <x:t>No</x:t>
        </x:is>
      </x:c>
      <x:c r="M311" s="3" t="inlineStr">
        <x:is>
          <x:t>liliana ceron ojeda, carrera 127 # 18-55, CALI, VALLE DEL CAUCA, CO</x:t>
        </x:is>
      </x:c>
      <x:c r="N311" s="3" t="inlineStr">
        <x:is>
          <x:t/>
        </x:is>
      </x:c>
      <x:c r="O311" s="3" t="inlineStr">
        <x:is>
          <x:t>08 jul. 2022</x:t>
        </x:is>
      </x:c>
      <x:c r="P311" s="3" t="inlineStr">
        <x:is>
          <x:t/>
        </x:is>
      </x:c>
      <x:c r="Q311" s="3" t="inlineStr">
        <x:is>
          <x:t/>
        </x:is>
      </x:c>
    </x:row>
    <x:row r="312">
      <x:c r="A312" s="10" t="inlineStr">
        <x:f xml:space="preserve">HYPERLINK("http://sipi.sic.gov.co/sipi/View.ashx?4232363","SD2022/0063380")</x:f>
      </x:c>
      <x:c r="B312" s="3" t="inlineStr">
        <x:is>
          <x:t>M</x:t>
        </x:is>
      </x:c>
      <x:c r="C312" s="9" t="inlineStr">
        <x:is>
          <x:t/>
        </x:is>
      </x:c>
      <x:c r="D312" s="3" t="inlineStr">
        <x:is>
          <x:t>23 jun. 2022</x:t>
        </x:is>
      </x:c>
      <x:c r="E312" s="3" t="inlineStr">
        <x:is>
          <x:t/>
        </x:is>
      </x:c>
      <x:c r="F312" s="3" t="inlineStr">
        <x:is>
          <x:t>Negada</x:t>
        </x:is>
      </x:c>
      <x:c r="G312" s="3" t="inlineStr">
        <x:is>
          <x:t>Proceso de Registro de Marca</x:t>
        </x:is>
      </x:c>
      <x:c r="H312" s="3" t="inlineStr">
        <x:is>
          <x:t>ASBEYDI  JAIMES HURTADO, CALLE 11 # 10-50, CUCUTA, NORTE DE SANTANDER, CO</x:t>
        </x:is>
      </x:c>
      <x:c r="I312" s="3" t="inlineStr">
        <x:is>
          <x:t>3</x:t>
        </x:is>
      </x:c>
      <x:c r="J312" s="3" t="inlineStr">
        <x:is>
          <x:t>11</x:t>
        </x:is>
      </x:c>
      <x:c r="K312" s="3" t="inlineStr">
        <x:is>
          <x:t>3. Correctores de líneas y arrugas faciales; cremas antiarrugas; cremas antiarrugas para uso cosmético; preparaciones cosméticas de uso tópico para atenuar las arrugas faciales; cosméticos; cosméticos de belleza; cosméticos naturales; cosméticos para cuidados corporales y estéticos; cremas de limpieza [cosméticos]; cremas hidratantes para la piel [cosméticos]; cremas limpiadoras [cosméticos]; cremas para la cara [cosméticos]; geles cosméticos; geles para la cara [cosméticos]; hidratantes [cosméticos]; hidratantes faciales [cosméticos]; limpiadores cosméticos faciales; maquillaje para la cara y el cuerpo; maquillajes faciales; cremas no medicinales para el cuidado de la piel; preparaciones cosméticas de cuidado facial.
</x:t>
        </x:is>
      </x:c>
      <x:c r="L312" s="3" t="inlineStr">
        <x:is>
          <x:t>No</x:t>
        </x:is>
      </x:c>
      <x:c r="M312" s="3" t="inlineStr">
        <x:is>
          <x:t>RODRIGO  VANEGAS GAVIRIA, CALLE 52 # 47-28 OF.329, MEDELLIN, ANTIOQUIA 050001, CO</x:t>
        </x:is>
      </x:c>
      <x:c r="N312" s="3" t="inlineStr">
        <x:is>
          <x:t/>
        </x:is>
      </x:c>
      <x:c r="O312" s="3" t="inlineStr">
        <x:is>
          <x:t>30 sept. 2022</x:t>
        </x:is>
      </x:c>
      <x:c r="P312" s="3" t="inlineStr">
        <x:is>
          <x:t/>
        </x:is>
      </x:c>
      <x:c r="Q312" s="3" t="inlineStr">
        <x:is>
          <x:t/>
        </x:is>
      </x:c>
    </x:row>
    <x:row r="313">
      <x:c r="A313" s="10" t="inlineStr">
        <x:f xml:space="preserve">HYPERLINK("http://sipi.sic.gov.co/sipi/View.ashx?4232674","SD2022/0063484")</x:f>
      </x:c>
      <x:c r="B313" s="3" t="inlineStr">
        <x:is>
          <x:t>Connie Cosmetic Tu belleza resplandece</x:t>
        </x:is>
      </x:c>
      <x:c r="C313" s="9" t="inlineStr">
        <x:is>
          <x:t/>
        </x:is>
      </x:c>
      <x:c r="D313" s="3" t="inlineStr">
        <x:is>
          <x:t>23 jun. 2022</x:t>
        </x:is>
      </x:c>
      <x:c r="E313" s="3" t="inlineStr">
        <x:is>
          <x:t/>
        </x:is>
      </x:c>
      <x:c r="F313" s="3" t="inlineStr">
        <x:is>
          <x:t>Negada</x:t>
        </x:is>
      </x:c>
      <x:c r="G313" s="3" t="inlineStr">
        <x:is>
          <x:t>Connie Cosmetic Tu belleza resplandece</x:t>
        </x:is>
      </x:c>
      <x:c r="H313" s="3" t="inlineStr">
        <x:is>
          <x:t>MIGUEL JOSUE FERIA GALVEZ, Calle 25 No 8-36, CALI, VALLE DEL CAUCA, CO</x:t>
        </x:is>
      </x:c>
      <x:c r="I313" s="3" t="inlineStr">
        <x:is>
          <x:t>3</x:t>
        </x:is>
      </x:c>
      <x:c r="J313" s="3" t="inlineStr">
        <x:is>
          <x:t>11</x:t>
        </x:is>
      </x:c>
      <x:c r="K31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313" s="3" t="inlineStr">
        <x:is>
          <x:t>No</x:t>
        </x:is>
      </x:c>
      <x:c r="M313" s="3" t="inlineStr">
        <x:is>
          <x:t>LIBARDO CARDENAS GIRALDO, CARRERA 7 No. 17-51 OFICINA 1009., BOGOTÁ, D.C., CO</x:t>
        </x:is>
      </x:c>
      <x:c r="N313" s="3" t="inlineStr">
        <x:is>
          <x:t/>
        </x:is>
      </x:c>
      <x:c r="O313" s="3" t="inlineStr">
        <x:is>
          <x:t>30 ago. 2022</x:t>
        </x:is>
      </x:c>
      <x:c r="P313" s="3" t="inlineStr">
        <x:is>
          <x:t/>
        </x:is>
      </x:c>
      <x:c r="Q313" s="3" t="inlineStr">
        <x:is>
          <x:t/>
        </x:is>
      </x:c>
    </x:row>
    <x:row r="314">
      <x:c r="A314" s="10" t="inlineStr">
        <x:f xml:space="preserve">HYPERLINK("http://sipi.sic.gov.co/sipi/View.ashx?4233236","SD2022/0063726")</x:f>
      </x:c>
      <x:c r="B314" s="3" t="inlineStr">
        <x:is>
          <x:t>WIZARDMAX</x:t>
        </x:is>
      </x:c>
      <x:c r="C314" s="9" t="inlineStr">
        <x:is>
          <x:t/>
        </x:is>
      </x:c>
      <x:c r="D314" s="3" t="inlineStr">
        <x:is>
          <x:t>23 jun. 2022</x:t>
        </x:is>
      </x:c>
      <x:c r="E314" s="3" t="inlineStr">
        <x:is>
          <x:t/>
        </x:is>
      </x:c>
      <x:c r="F314" s="3" t="inlineStr">
        <x:is>
          <x:t>Negada</x:t>
        </x:is>
      </x:c>
      <x:c r="G314" s="3" t="inlineStr">
        <x:is>
          <x:t/>
        </x:is>
      </x:c>
      <x:c r="H314" s="3" t="inlineStr">
        <x:is>
          <x:t> VENZOTECH CO S.A.S., Transversal 43 # 26 - 103, GIRON, SANTANDER, CO</x:t>
        </x:is>
      </x:c>
      <x:c r="I314" s="3" t="inlineStr">
        <x:is>
          <x:t>3, 5</x:t>
        </x:is>
      </x:c>
      <x:c r="J314" s="3" t="inlineStr">
        <x:is>
          <x:t>11</x:t>
        </x:is>
      </x:c>
      <x:c r="K31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314" s="3" t="inlineStr">
        <x:is>
          <x:t>No</x:t>
        </x:is>
      </x:c>
      <x:c r="M314" s="3" t="inlineStr">
        <x:is>
          <x:t>SANTIAGO MORA RESTREPO, CARRERA 7 # 127-48 Of. 803, BOGOTÁ, D.C., CO</x:t>
        </x:is>
      </x:c>
      <x:c r="N314" s="3" t="inlineStr">
        <x:is>
          <x:t/>
        </x:is>
      </x:c>
      <x:c r="O314" s="3" t="inlineStr">
        <x:is>
          <x:t>09 ago. 2022</x:t>
        </x:is>
      </x:c>
      <x:c r="P314" s="3" t="inlineStr">
        <x:is>
          <x:t/>
        </x:is>
      </x:c>
      <x:c r="Q314" s="3" t="inlineStr">
        <x:is>
          <x:t/>
        </x:is>
      </x:c>
    </x:row>
    <x:row r="315">
      <x:c r="A315" s="10" t="inlineStr">
        <x:f xml:space="preserve">HYPERLINK("http://sipi.sic.gov.co/sipi/View.ashx?4233256","SD2022/0063632")</x:f>
      </x:c>
      <x:c r="B315" s="3" t="inlineStr">
        <x:is>
          <x:t>CICA3+</x:t>
        </x:is>
      </x:c>
      <x:c r="C315" s="9" t="inlineStr">
        <x:is>
          <x:t/>
        </x:is>
      </x:c>
      <x:c r="D315" s="3" t="inlineStr">
        <x:is>
          <x:t>23 jun. 2022</x:t>
        </x:is>
      </x:c>
      <x:c r="E315" s="3" t="inlineStr">
        <x:is>
          <x:t/>
        </x:is>
      </x:c>
      <x:c r="F315" s="3" t="inlineStr">
        <x:is>
          <x:t>Negada</x:t>
        </x:is>
      </x:c>
      <x:c r="G315" s="3" t="inlineStr">
        <x:is>
          <x:t/>
        </x:is>
      </x:c>
      <x:c r="H315" s="3" t="inlineStr">
        <x:is>
          <x:t> VENZOTECH CO S.A.S., Transversal 43 # 26 - 103, GIRON, SANTANDER, CO</x:t>
        </x:is>
      </x:c>
      <x:c r="I315" s="3" t="inlineStr">
        <x:is>
          <x:t>3, 5</x:t>
        </x:is>
      </x:c>
      <x:c r="J315" s="3" t="inlineStr">
        <x:is>
          <x:t>11</x:t>
        </x:is>
      </x:c>
      <x:c r="K31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315" s="3" t="inlineStr">
        <x:is>
          <x:t>No</x:t>
        </x:is>
      </x:c>
      <x:c r="M315" s="3" t="inlineStr">
        <x:is>
          <x:t>SANTIAGO MORA RESTREPO, CARRERA 7 # 127-48 Of. 803, BOGOTÁ, D.C., CO</x:t>
        </x:is>
      </x:c>
      <x:c r="N315" s="3" t="inlineStr">
        <x:is>
          <x:t/>
        </x:is>
      </x:c>
      <x:c r="O315" s="3" t="inlineStr">
        <x:is>
          <x:t>09 ago. 2022</x:t>
        </x:is>
      </x:c>
      <x:c r="P315" s="3" t="inlineStr">
        <x:is>
          <x:t/>
        </x:is>
      </x:c>
      <x:c r="Q315" s="3" t="inlineStr">
        <x:is>
          <x:t/>
        </x:is>
      </x:c>
    </x:row>
    <x:row r="316">
      <x:c r="A316" s="10" t="inlineStr">
        <x:f xml:space="preserve">HYPERLINK("http://sipi.sic.gov.co/sipi/View.ashx?4233273","SD2022/0063729")</x:f>
      </x:c>
      <x:c r="B316" s="3" t="inlineStr">
        <x:is>
          <x:t>LUXOTICAL</x:t>
        </x:is>
      </x:c>
      <x:c r="C316" s="9" t="inlineStr">
        <x:is>
          <x:t/>
        </x:is>
      </x:c>
      <x:c r="D316" s="3" t="inlineStr">
        <x:is>
          <x:t>23 jun. 2022</x:t>
        </x:is>
      </x:c>
      <x:c r="E316" s="3" t="inlineStr">
        <x:is>
          <x:t/>
        </x:is>
      </x:c>
      <x:c r="F316" s="3" t="inlineStr">
        <x:is>
          <x:t>Negada</x:t>
        </x:is>
      </x:c>
      <x:c r="G316" s="3" t="inlineStr">
        <x:is>
          <x:t/>
        </x:is>
      </x:c>
      <x:c r="H316" s="3" t="inlineStr">
        <x:is>
          <x:t> VENZOTECH CO S.A.S., Transversal 43 # 26 - 103, GIRON, SANTANDER, CO</x:t>
        </x:is>
      </x:c>
      <x:c r="I316" s="3" t="inlineStr">
        <x:is>
          <x:t>3, 5</x:t>
        </x:is>
      </x:c>
      <x:c r="J316" s="3" t="inlineStr">
        <x:is>
          <x:t>11</x:t>
        </x:is>
      </x:c>
      <x:c r="K31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316" s="3" t="inlineStr">
        <x:is>
          <x:t>Sí</x:t>
        </x:is>
      </x:c>
      <x:c r="M316" s="3" t="inlineStr">
        <x:is>
          <x:t>SANTIAGO MORA RESTREPO, CARRERA 7 # 127-48 Of. 803, BOGOTÁ, D.C., CO</x:t>
        </x:is>
      </x:c>
      <x:c r="N316" s="3" t="inlineStr">
        <x:is>
          <x:t/>
        </x:is>
      </x:c>
      <x:c r="O316" s="3" t="inlineStr">
        <x:is>
          <x:t>09 ago. 2022</x:t>
        </x:is>
      </x:c>
      <x:c r="P316" s="3" t="inlineStr">
        <x:is>
          <x:t/>
        </x:is>
      </x:c>
      <x:c r="Q316" s="3" t="inlineStr">
        <x:is>
          <x:t/>
        </x:is>
      </x:c>
    </x:row>
    <x:row r="317">
      <x:c r="A317" s="10" t="inlineStr">
        <x:f xml:space="preserve">HYPERLINK("http://sipi.sic.gov.co/sipi/View.ashx?4233540","SD2022/0063715")</x:f>
      </x:c>
      <x:c r="B317" s="3" t="inlineStr">
        <x:is>
          <x:t>HIDROACTIV</x:t>
        </x:is>
      </x:c>
      <x:c r="C317" s="9" t="inlineStr">
        <x:is>
          <x:t/>
        </x:is>
      </x:c>
      <x:c r="D317" s="3" t="inlineStr">
        <x:is>
          <x:t>23 jun. 2022</x:t>
        </x:is>
      </x:c>
      <x:c r="E317" s="3" t="inlineStr">
        <x:is>
          <x:t/>
        </x:is>
      </x:c>
      <x:c r="F317" s="3" t="inlineStr">
        <x:is>
          <x:t>Negada</x:t>
        </x:is>
      </x:c>
      <x:c r="G317" s="3" t="inlineStr">
        <x:is>
          <x:t/>
        </x:is>
      </x:c>
      <x:c r="H317" s="3" t="inlineStr">
        <x:is>
          <x:t> VENZOTECH CO S.A.S., Transversal 43 # 26 - 103, GIRON, SANTANDER, CO</x:t>
        </x:is>
      </x:c>
      <x:c r="I317" s="3" t="inlineStr">
        <x:is>
          <x:t>3, 5</x:t>
        </x:is>
      </x:c>
      <x:c r="J317" s="3" t="inlineStr">
        <x:is>
          <x:t>11</x:t>
        </x:is>
      </x:c>
      <x:c r="K31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317" s="3" t="inlineStr">
        <x:is>
          <x:t>No</x:t>
        </x:is>
      </x:c>
      <x:c r="M317" s="3" t="inlineStr">
        <x:is>
          <x:t>SANTIAGO MORA RESTREPO, CARRERA 7 # 127-48 Of. 803, BOGOTÁ, D.C., CO</x:t>
        </x:is>
      </x:c>
      <x:c r="N317" s="3" t="inlineStr">
        <x:is>
          <x:t/>
        </x:is>
      </x:c>
      <x:c r="O317" s="3" t="inlineStr">
        <x:is>
          <x:t>21 oct. 2022</x:t>
        </x:is>
      </x:c>
      <x:c r="P317" s="3" t="inlineStr">
        <x:is>
          <x:t/>
        </x:is>
      </x:c>
      <x:c r="Q317" s="3" t="inlineStr">
        <x:is>
          <x:t/>
        </x:is>
      </x:c>
    </x:row>
    <x:row r="318">
      <x:c r="A318" s="10" t="inlineStr">
        <x:f xml:space="preserve">HYPERLINK("http://sipi.sic.gov.co/sipi/View.ashx?4234034","SD2022/0064739")</x:f>
      </x:c>
      <x:c r="B318" s="3" t="inlineStr">
        <x:is>
          <x:t>Sirop</x:t>
        </x:is>
      </x:c>
      <x:c r="C318" s="9" t="inlineStr">
        <x:is>
          <x:t/>
        </x:is>
      </x:c>
      <x:c r="D318" s="3" t="inlineStr">
        <x:is>
          <x:t>28 jun. 2022</x:t>
        </x:is>
      </x:c>
      <x:c r="E318" s="3" t="inlineStr">
        <x:is>
          <x:t/>
        </x:is>
      </x:c>
      <x:c r="F318" s="3" t="inlineStr">
        <x:is>
          <x:t>Negada</x:t>
        </x:is>
      </x:c>
      <x:c r="G318" s="3" t="inlineStr">
        <x:is>
          <x:t>Reg. Sirop</x:t>
        </x:is>
      </x:c>
      <x:c r="H318" s="3" t="inlineStr">
        <x:is>
          <x:t> SYAM COSMETICS S.A.S , CALLE 46 A # 57B-15 AP 201, COPACABANA, ANTIOQUIA, CO</x:t>
        </x:is>
      </x:c>
      <x:c r="I318" s="3" t="inlineStr">
        <x:is>
          <x:t>3</x:t>
        </x:is>
      </x:c>
      <x:c r="J318" s="3" t="inlineStr">
        <x:is>
          <x:t>11</x:t>
        </x:is>
      </x:c>
      <x:c r="K318" s="3" t="inlineStr">
        <x:is>
          <x:t>3.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autobronceadores [cosméticos]; barras de labios con protección solar [cosméticos]; barras de labios en stick con protección solar [cosméticos]; bloqueador solar [cosméticos]; colonias, perfumes y productos cosméticos; cosméticos; cosméticos biológicos; cosméticos de belleza; cosméticos ecológicos; cosméticos funcionales en cuanto preparaciones para blanquear la piel; cosméticos naturales; cosméticos no medicinales; cosméticos para broncear la piel; cosméticos para el cabello; cosméticos para el cuero cabelludo; cosméticos para el cuidado del cuerpo; cosméticos para tratamiento de belleza cosméticos para el cuidado de belleza; cosméticos y preparaciones cosméticas; cosméticos y preparaciones de cuidado personal; cremas corporales [cosméticos]; cremas de limpieza [cosméticos]; cremas de limpieza [productos cosméticos]; geles cosméticos; jabones cosméticos; polvos cosméticos; productos cosméticos para uso personal; productos cosméticos y de belleza; productos cosméticos y de maquillaje; tónicos cosméticos.
</x:t>
        </x:is>
      </x:c>
      <x:c r="L318" s="3" t="inlineStr">
        <x:is>
          <x:t>No</x:t>
        </x:is>
      </x:c>
      <x:c r="M318" s="3" t="inlineStr">
        <x:is>
          <x:t>LINA MARIA JARAMILLO SALDARRIAGA , calle 10 30 - 160, MEDELLIN, ANTIOQUIA, CO</x:t>
        </x:is>
      </x:c>
      <x:c r="N318" s="3" t="inlineStr">
        <x:is>
          <x:t/>
        </x:is>
      </x:c>
      <x:c r="O318" s="3" t="inlineStr">
        <x:is>
          <x:t>08 jul. 2022</x:t>
        </x:is>
      </x:c>
      <x:c r="P318" s="3" t="inlineStr">
        <x:is>
          <x:t/>
        </x:is>
      </x:c>
      <x:c r="Q318" s="3" t="inlineStr">
        <x:is>
          <x:t/>
        </x:is>
      </x:c>
    </x:row>
    <x:row r="319">
      <x:c r="A319" s="10" t="inlineStr">
        <x:f xml:space="preserve">HYPERLINK("http://sipi.sic.gov.co/sipi/View.ashx?4234597","SD2022/0064263")</x:f>
      </x:c>
      <x:c r="B319" s="3" t="inlineStr">
        <x:is>
          <x:t>By Ely Rodas</x:t>
        </x:is>
      </x:c>
      <x:c r="C319" s="3" t="inlineStr">
        <x:is>
          <x:t/>
        </x:is>
      </x:c>
      <x:c r="D319" s="3" t="inlineStr">
        <x:is>
          <x:t>25 jun. 2022</x:t>
        </x:is>
      </x:c>
      <x:c r="E319" s="3" t="inlineStr">
        <x:is>
          <x:t/>
        </x:is>
      </x:c>
      <x:c r="F319" s="3" t="inlineStr">
        <x:is>
          <x:t>Negada</x:t>
        </x:is>
      </x:c>
      <x:c r="G319" s="3" t="inlineStr">
        <x:is>
          <x:t>By Ely Rodas</x:t>
        </x:is>
      </x:c>
      <x:c r="H319" s="3" t="inlineStr">
        <x:is>
          <x:t>WILMAR DE JESUS POLO VEGA,  QUINTA AVENIDA AV 6 A 19 OF 206, CARTAGENA, BOLIVAR, CO</x:t>
        </x:is>
      </x:c>
      <x:c r="I319" s="3" t="inlineStr">
        <x:is>
          <x:t>3</x:t>
        </x:is>
      </x:c>
      <x:c r="J319" s="3" t="inlineStr">
        <x:is>
          <x:t>11</x:t>
        </x:is>
      </x:c>
      <x:c r="K319" s="3" t="inlineStr">
        <x:is>
          <x:t>3. Cosméticos.
</x:t>
        </x:is>
      </x:c>
      <x:c r="L319" s="3" t="inlineStr">
        <x:is>
          <x:t>No</x:t>
        </x:is>
      </x:c>
      <x:c r="M319" s="3" t="inlineStr">
        <x:is>
          <x:t/>
        </x:is>
      </x:c>
      <x:c r="N319" s="3" t="inlineStr">
        <x:is>
          <x:t/>
        </x:is>
      </x:c>
      <x:c r="O319" s="3" t="inlineStr">
        <x:is>
          <x:t>19 jul. 2022</x:t>
        </x:is>
      </x:c>
      <x:c r="P319" s="3" t="inlineStr">
        <x:is>
          <x:t/>
        </x:is>
      </x:c>
      <x:c r="Q319" s="3" t="inlineStr">
        <x:is>
          <x:t/>
        </x:is>
      </x:c>
    </x:row>
    <x:row r="320">
      <x:c r="A320" s="10" t="inlineStr">
        <x:f xml:space="preserve">HYPERLINK("http://sipi.sic.gov.co/sipi/View.ashx?4234625","SD2022/0064576")</x:f>
      </x:c>
      <x:c r="B320" s="3" t="inlineStr">
        <x:is>
          <x:t>AmeriColor</x:t>
        </x:is>
      </x:c>
      <x:c r="C320" s="9" t="inlineStr">
        <x:is>
          <x:t/>
        </x:is>
      </x:c>
      <x:c r="D320" s="3" t="inlineStr">
        <x:is>
          <x:t>28 jun. 2022</x:t>
        </x:is>
      </x:c>
      <x:c r="E320" s="3" t="inlineStr">
        <x:is>
          <x:t/>
        </x:is>
      </x:c>
      <x:c r="F320" s="3" t="inlineStr">
        <x:is>
          <x:t>Negada</x:t>
        </x:is>
      </x:c>
      <x:c r="G320" s="3" t="inlineStr">
        <x:is>
          <x:t>AmeriColor</x:t>
        </x:is>
      </x:c>
      <x:c r="H320" s="3" t="inlineStr">
        <x:is>
          <x:t>JUAN CARLOS DUQUE ECHEVERRI, CL 34 17 25, BUCARAMANGA, SANTANDER, CO</x:t>
        </x:is>
      </x:c>
      <x:c r="I320" s="3" t="inlineStr">
        <x:is>
          <x:t>3</x:t>
        </x:is>
      </x:c>
      <x:c r="J320" s="3" t="inlineStr">
        <x:is>
          <x:t>11</x:t>
        </x:is>
      </x:c>
      <x:c r="K320" s="3" t="inlineStr">
        <x:is>
          <x:t>3. Aceite de almendras; aceite de amla para uso cosmético; aceite de coco para uso cosmético; aceite de lavanda para uso cosmético; aceite de ricino para uso cosmético; aceite de rosas para uso cosmético; aceite de veppennai para uso cosmético; aceite fijador para el cabello; aceite japonés para fijar el cabello; aceite para el peinado del cabello; aceites aromáticos; aceites brillantes para el cuerpo; aceites bronceadores; aceites bronceadores [cosméticos]; aceites bronceadores de uso cosmético; aceites cosméticos; aceites cosméticos para la piel; aceites de limpieza; aceites de masaje, no medicinales; aceites de perfumería; aceites de protección solar; aceites de protección solar [cosméticos]; aceites de tocador; aceites destilados para el cuidado de belleza; aceites esenciales; aceites esenciales a base de cáñamo; aceites esenciales aromáticos; aceites esenciales para uso cosmético; aceites esenciales para uso personal; aceites faciales; aceites no medicinales para masajes; aceites para bebés; aceites para bronceado [cosméticos]; aceites para después del sol [productos cosméticos]; aceites para después del sol de uso cosmético; aceites para el cuerpo de uso cosmético; aceites para perfumes y fragancias; aceites para uso cosmético; aceites perfumados; aceites perfumados para el cuidado de la piel; aceites perfumados para fabricar preparaciones cosméticas; aceites perfumados para la fabricación de preparaciones cosméticas; aceites perfumados para la fabricación de preparados cosméticos; aceites perfumados para la fabricación de productos cosméticos; aceites puros para uso cosmético; aceites solares de uso cosmético; aceites y lociones bronceadoras; aceites y lociones con filtro solar; aceites y lociones de masaje; aceites y lociones de protección solar; aceites y sales de baño; aceites y sales de baño que no sean para uso médico; aclaradores de uñas; acondicionadores de cabello; acondicionadores de cutícula; acondicionadores en barritas sólidas para el cabello; acondicionadores labiales; acondicionadores para el cabello; acondicionadores para el cabello para bebés; acondicionadores para la piel; acondicionadores para uso en el cabello; adhesivos [pegamentos] para uso cosmético; adhesivos para falsas pestañas; adhesivos para fijar cejas postizas; adhesivos para fijar postizos; adhesivos para fijar uñas postizas; adhesivos para fijar uñas y pestañas postizas; adhesivos para la fijación de cejas postizas; adhesivos para pegar las pestañas postizas; adhesivos para pegar las uñas postizas; adhesivos para pestañas postizas; adhesivos para pestañas, cabello y uñas postizos; adhesivos para postizos capilares; adhesivos para uñas postizas; aerosoles cosméticos de uso tópico para la piel; agua de colonia; agua de azahar para uso cosmético; agua de perfume; agua micelar; agua micelar de limpieza; aguas de tocador; aguas de tocador perfumadas; aguas de tocador y aguas de colonia; aguas de tocador y colonias; aguas perfumadas; aguas perfumadas para la ropa; algodón para uso cosmético; algodón y bastoncillos de algodón para uso cosmético; almidón para uso de limpieza; almohadillas de algodón para desmaquillar; almohadillas de algodón para uso cosmético; almohadillas de limpieza impregnadas con cosméticos; almohadillas de limpieza impregnadas con productos cosméticos; almohadillas de limpieza impregnadas de cosméticos; almohadillas de limpieza prehumedecidas; almohadillas de limpieza preimpregnadas; almohadillas desmaquillantes de algodón hidrófilo; almohadillas limpiadoras impregnadas de preparaciones de tocador; almohadillas limpiadoras impregnadas de productos cosméticos; almohadillas para uso cosmético; almohadillas, toallitas o pañitos de limpieza prehumedecidos o impregnados; almohadillas, toallitas o pañitos húmedos o impregnados de preparaciones limpiadoras; antifaces de gel; aromas [aceites esenciales]; aromas para fragancias; aromatizantes para fragancias; autobronceadores; autobronceadores [cosméticos]; bandas abrasivas; barras de labios; barras de labios con protección solar [cosméticos]; barras de labios en stick con protección solar [cosméticos]; barros corporales para uso cosmético; bases de maquillaje; bases de maquillaje cremosas; bases de maquillaje en crema; bases de maquillaje líquidas; bases de maquillaje para la piel; bases neutralizantes para labios; bases para esmaltes de uñas; bases para perfumes de flores; basma en cuanto tinte para uso cosmético; basma para uso cosmético; bastoncillos de algodón impregnados de preparaciones desmaquillantes; bastoncillos de algodón impregnados de preparados desmaquilladores; bastoncillos de algodón multiuso para utilización personal; bastoncillos de algodón multiusos para uso personal; bastoncillos de algodón para uso cosmético; baños de aceite para el cuidado del cabello; baños de aceite para el cuidado del cabello de uso cosmético; baños de espuma; baños de espuma para bebés; baños no medicinales para el cuerpo; baños no medicinales para los pies; blanqueadores para las uñas; bloqueador solar [cosméticos]; bolas de algodón impregnadas de preparaciones desmaquillantes; bolas de algodón impregnadas de preparados desmaquilladores; bolas de algodón para uso cosmético; brillantina; brillantina corporal; brillantina para el cabello; brillantina para las uñas; brillos corporales; brillos de labios; brillos de uñas para aplicar sobre el esmalte; brillos faciales; brillos faciales y corporales; brillos para uso cosmético; bronceadores para la piel; bálsamo acondicionador; bálsamos [cremas] para disimular las imperfecciones de la piel; bálsamos capilares; bálsamos capilares no medicinales; bálsamos labiales; bálsamos labiales no medicinales; bálsamos para el cabello; bálsamos que no sean para uso médico; calcomanías decorativas para uso cosmético; calcomanías decorativas para uñas; calcomanías para las uñas; cejas postizas; cejas postizas autoadhesivas; champúes para el cabello; champús capilares; champús corporales; champús en seco*; champús no medicinales; champús para bebés; champús para el cabello; champús para el cabello humano; champús para el cabello y el cuerpo; champús para el cuerpo; champús y acondicionadores; champús y acondicionadores para el cabello; champús*; cintas de estiramiento facial para uso cosmético; cintas de lifting facial para uso cosmético; cintas para fijar las pelucas; colonia; colonias para después del afeitado; colonias, perfumes y productos cosméticos; colorantes de labios; colorantes de labios [cosméticos]; colorantes de tocador; colorantes labiales; colorantes labiales [cosméticos]; colorantes labiales [productos cosméticos]; colorantes para el cabello; colorantes para los labios; colorantes para los labios [productos cosméticos]; colorete; colorete en lápiz; colorete líquido; coloretes; coloretes en crema; composiciones para aclarar la piel [cosméticos]; compresas oculares para uso cosmético; compuestos disolventes de pinturas, lacas y barnices; corrector facial; correctores antiojeras; correctores de imperfecciones [productos cosméticos]; correctores de líneas y arrugas faciales; correctores de ojeras; correctores de ojos; correctores para disimular manchas e imperfecciones de la piel; cosméticos; cosméticos a base de cannabis; cosméticos de belleza; cosméticos en forma de cremas; cosméticos en forma de polvos; cosméticos funcionales en cuanto preparaciones para blanquear la piel; cosméticos no medicinales;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crema corporal para uso cosmético; crema en gel para matificar la piel; crema lavamanos; crema limpiadora; crema para aclarar la piel; crema para las manos; crema para peinar el cabello;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contra las pecas [para uso cosmético]; cremas corporales; cremas corporales [cosméticos]; cremas cosmética para el cuerpo; cremas cosméticas; cremas cosméticas de masaje; cremas cosméticas para el cuidado de la piel; cremas cosméticas para el rostro; cremas cosméticas para el tratamiento de los labios; cremas cosméticas para la piel; cremas cosméticas para pieles secas; cremas cosméticas para reafirmar la piel; cremas cosméticas para tonificar la piel; cremas cosméticas reafirmantes para el contorno de ojos; cremas de belleza; cremas de belleza para el cuerpo; cremas de belleza para el rostro y el cuerpo; cremas de bálsamo para disimular las imperfecciones de la piel; cremas de día; cremas de hidratación intensiva; cremas de limpieza; cremas de limpieza [cosméticos]; cremas de limpieza [para uso cosmético]; cremas de limpieza [productos cosméticos]; cremas de limpieza para uso cosmético; cremas de masaje cosméticas; cremas de masaje no medicinales; cremas de noche; cremas de protección capilar, no medicinales; cremas de protección para el cabello; cremas de protección para el cabello, no medicinales; cremas de protección solar; cremas de protección solar para uso cosmético; cremas depilatorias; cremas desmaquillantes; cremas emolientes reparadoras para el cuidado diario de la piel;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el cuidado de la piel; cremas no medicinales para la piel; cremas no medicinales para los pies; cremas orgánicas de estiramiento facial; cremas para aclarar la piel; cremas para después del sol; cremas para después del sol de uso cosmético; cremas para el cabello; cremas para el cabello de uso cosmético; cremas para el cabello para uso cosmético; cremas para el cuerpo [cosméticos]; cremas para el cuerpo cosméticas;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las botas;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pulir;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solares para bebés; cremas tonificantes [cosméticos];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decolorantes capilares; decolorantes para uso cosmético; depilatorios; desmaquilladores; desmaquilladores de ojos; desmaquillantes de ojos; discos de algodón para uso cosmético; discos desmaquillantes de algodón hidrófilo; emolientes para la piel de uso cosmético; emulsiones faciales; emulsiones faciales para uso cosmético; emulsiones para después del afeitado; emulsiones para el cuerpo; emulsiones para el cuerpo de uso cosmético; emulsiones, geles y lociones para el cuidado de la piel; endurecedores de uñas; endurecedores de uñas [cosméticos]; enjuagues para el cabello; escarcha corporal; escarcha para las uñas; esmaltes de base para las uñas [productos cosméticos]; esmaltes de uñas; esmaltes de uñas en gel; esmaltes de uñas para uso cosmético; esmaltes de uñas y quitaesmaltes; esponjas impregnadas con artículos de tocador; esponjas impregnadas con jabones para uso doméstico; esponjas impregnadas con productos de tocador; espuma de baño; espuma de limpieza; espuma limpiadora; espumas cosméticas con filtro solar; espumas de limpieza; espumas depilatorias; espumas limpiadoras para la piel; espumas para el cabello; espumas para el cabello [productos de tocador]; espumas para el cuidado de la piel; espumas para el peinado; espumas para el peinado del cabello [productos de tocador]; espumas para la ducha; espumas y geles para peinar el cabello; estropajos de acero húmedos para limpiar; estuches para lápices de labios; estuches para pintalabios; exfoliante corporal; exfoliantes; exfoliantes [preparaciones cosméticas]; exfoliantes corporales; exfoliantes corporales cosméticos; exfoliantes corporales para uso cosmético; exfoliantes faciales; exfoliantes faciales y corporales no medicamentosos; exfoliantes faciales y corporales no medicinales; exfoliantes iluminadores; exfoliantes para el cuerpo; exfoliantes para el cuerpo de uso cosmético; exfoliantes para la cara; exfoliantes para la piel; exfoliantes para labios; exfoliantes para las manos; exfoliantes para los pies; exfoliantes para uso cosmético; extensiones de pestañas; extractos de flores [productos de perfumería]; extractos de flores en cuanto perfumes; fijadores capilares; fijadores para el cabello; filtro solar [cosméticos]; fondo de maquillaje; fortalecedores de uñas; fragancias; fragancias corporales; fragancias y productos de perfumería; fundación de maquillaje; gel exfoliante, no medicinal; geles antienvejecimiento; geles antienvejecimiento para uso cosmético; geles bronceadores; geles bronceadores [cosméticos]; geles capilares; geles corporales y faciales [cosméticos]; geles cosméticos; geles de aloe vera para uso cosmético; geles de baño y de ducha; geles de lavanda para uso cosmético; geles desmaquillantes; geles exfoliantes, no medicinales; geles hidratantes; geles hidratantes [cosméticos]; geles no medicinales; geles para después del sol; geles para después del sol [productos cosméticos]; geles para después del sol de uso cosmético; geles para el cuerpo [cosméticos]; geles para el cuerpo y la cara [cosméticos]; geles para el peinado de las cejas; geles para el teñido de las cejas; geles para la cara [cosméticos]; geles para los ojos de uso cosmético; geles para uso cosmético; geles y sales de baño y de ducha no medicinales; geles, aerosoles, espumas y bálsamos para peinar y cuidar el cabello; geles, cremas y aceites de ducha; geles, espráis, espumas y bálsamos para peinar y cuidar el cabello; granulados de limpieza facial; grasas para uso cosmético; guantes pre-humedecidos con preparaciones cosméticas para uso cosmético; guata para uso cosmético; guata y bastoncillos de algodón para uso cosmético; henna [tinte cosmético]; henna para uso cosmético; henna para uso cosmético [alheña]; hidratante para la piel; hidratantes; hidratantes [cosméticos]; hidratantes cosméticas para el rostro; hidratantes cosméticas para la cara; hidratantes faciales; hidratantes faciales [cosméticos]; hidratantes faciales de uso cosmético; hidratantes para el cabello; hidratantes para la piel; hidratantes para la piel utilizados como cosméticos; hilas para uso cosmético; hisopos de algodón para uso cosmético; hisopos impregnados de preparaciones desmaquillantes; hisopos impregnados de preparados desmaquilladores; hisopos para uso cosmético; hojas abrasivas; jabones cosméticos; jabones de tocador; jabones de tocador perfumados; jabones faciales; jabones líquidos; jabones líquidos no medicinales; jabones líquidos para las manos y el rostro; jabones líquidos para las manos, el rostro y el cuerpo; jabones no medicados para el cuerpo; jabones no medicados para la cara; jabones no medicados para las manos; jabones no medicinales; jabones para el cuerpo; jabones para el cuidado del cuerpo; jabones para la piel; jabones para las manos; jabones para lavar la ropa; jabones perfumados; jabones*; joyas de piel autoadhesivas para uso cosmético; joyas de piel en cuanto motivos decorativos para uso cosmético; joyas de piel en cuanto transferencias decorativas para uso cosmético; joyas de piel para uso cosmético; joyas de tatuaje para uso cosmético; joyería de piel autoadhesivas para uso cosmético; joyería de piel en cuanto motivos decorativos para uso cosmético; joyería de piel en cuanto transferencias decorativas para uso cosmético; joyería de piel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kits para el cuidado de las uñas que comprenden principalmente lacas de uñas, quitaesmaltes y uñas postizas; lacas de uñas; lacas para el cabello; lacas para las uñas; lacas y geles fijadores para el cabello; leche bronceadora; leche de almendras para uso cosmético; leches bronceadoras; leches bronceadoras [cosméticos]; leches corporales para bebés; leches de belleza; leches de limpieza facial; leches desmaquillantes; leches hidratantes; leches hidratantes corporales; leches limpiadoras; leches limpiadoras de tocador; leches limpiadoras para el cuidado de la piel; leches para después de tomar el sol para uso cosmético; leches para después del sol; leches para después del sol [productos cosméticos]; leches para después del sol de uso cosmético; leches para el cuerpo; leches para el cuerpo de uso cosmético; leches para el rostro y el cuerpo; leches para el rostro y el cuerpo de uso cosmético; leches y lociones para el rostro; leches y lociones para el rostro de uso cosmético; leches, geles y aceites bronceadores y para después del sol, de uso cosmético; leches, geles, lociones y cremas desmaquillantes; limpiadores cosméticos cutáneos; limpiadores cosméticos faciales; limpiadores cosméticos para la piel; limpiadores cutáneos; limpiadores cutáneos [cosméticos]; limpiadores cutáneos [productos cosméticos]; limpiadores cutáneos con propiedades suavizantes [cosméticos]; limpiadores cutáneos no medicinales; limpiadores de la piel; limpiadores de la piel [cosméticos]; limpiadores de la piel [productos cosméticos]; limpiadores faciales; limpiadores faciales [cosméticos]; limpiadores faciales [productos cosméticos]; limpiadores líquidos para la piel; limpiadores no medicinales para la piel; limpiadores para pinceles cosméticos; lociones antienvejecimiento; lociones antienvejecimiento para uso cosmético; lociones autobronceadoras [cosméticos]; lociones brillantes para el cuerpo; lociones bronceadoras; lociones capilares cosméticas; lociones capilares no medicinales; lociones capilares reparadoras no medicamentosas; lociones capilares reparadoras no medicinales; lociones capilares*; lociones colorantes para el cabello; lociones con filtro solar; lociones con filtro solar para uso cosmético; lociones corporales; lociones cosméticas para el bronceado de la piel; lociones cosméticas para el cuidado de la piel; lociones cosméticas para el rostro; lociones cosméticas para la cara; lociones cosméticas para la piel; lociones cosméticas para reducir la aparición de manchas de envejecimiento y pecas; lociones de baño para uso cosmético; lociones de belleza; lociones de protección para el cabello; lociones de protección solar; lociones depilatorias; lociones desmaquillantes; lociones estimulantes no medicinales para la piel; lociones faciales; lociones faciales [cosméticos]; lociones faciales no medicadas; lociones fijadoras para ondular el cabello; lociones hidratantes; lociones hidratantes [cosméticos]; lociones hidratantes para el cuerpo; lociones hidratantes para el cuerpo [cosméticos]; lociones hidratantes para la piel; lociones hidratantes para la piel [cosméticos]; lociones lechosas; lociones lechosas para el cuidado de la piel; lociones limpiadoras no medicadas; lociones limpiadoras para la piel; lociones lácteas; lociones lácteas para el cuidado de la piel; lociones no medicadas para el rostro; lociones no medicinales para aclarar la piel; lociones no medicinales para el cuidado de la piel [cosméticos]; lociones no medicinales para la piel; lociones no medicinales para los pies; lociones para bebés; lociones para bebés [productos de tocador]; lociones para después del sol; lociones para después del sol de uso cosmético; lociones para el bronceado de la piel; lociones para el cabello de uso cosmético; lociones para el cuerpo de uso cosmético; lociones para el cuidado de la piel; lociones para el cuidado de la piel [cosméticos]; lociones para el cuidado del rostro y del cuerpo; lociones para el cuidado del rostro y del cuerpo de uso cosmético; lociones para el peinado; lociones para el rostro y el cuerpo; lociones para el rostro y el cuerpo de uso cosmético; lociones para fortalecer el cabello; lociones para fortalecer las uñas; lociones para la piel; lociones para la piel [productos cosméticos]; lociones para la piel no medicadas; lociones para las manos; lociones para las manos de uso cosmético; lociones para los ojos; lociones para los ojos de uso cosmético; lociones para ondular el cabello; lociones para ondular el cabello de forma permanente; lociones para reducir la celulitis de uso cosmético; lociones para rizar el cabello; lociones para uso cosmético; lociones perfumadas [preparaciones de tocador]; lociones perfumadas para el cuerpo; lociones tonificantes para el cuerpo; lociones tónicas para el cuerpo; lociones tónicas para el rostro, el cuerpo y las manos de uso cosmético;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lápices de cejas; lápices de labios; lápices de labios [pintalabios]; lápices de labios [pintalabios] hidratantes; lápices de labios hidratantes; lápices de maquillaje; lápices de ojos; lápices de ojos para uso cosmético; lápices de párpados; lápices labiales; lápices labiales hidratantes; lápices para aplicar el esmalte de uñas; lápices para uso cosmético; lápices perfiladores de ojos; lápices quitaesmaltes; lápices quitaesmaltes de uñas; manteca corporal; manteca corporal para uso cosmético; manteca de almendra para uso cosmético; manteca de aloe vera para uso cosmético; manteca de argán para uso cosmético; manteca de cacao para uso cosmético; manteca de coco para uso cosmético; manteca de karité para uso cosmético; maquillaje; maquillaje [cosméticos]; maquillaje para el cuerpo; maquillaje para el rostro; maquillaje para el rostro y el cuerpo; maquillaje para la cara; maquillaje para la cara y el cuerpo; maquillaje para la piel; maquillaje para los ojos; maquillaje para polveras; maquillaje vendido en polveras; maquillajes de base; maquillajes de base en crema; maquillajes de ojos; maquillajes faciales; mascarillas corporales; mascarillas corporales en forma de cremas; mascarillas corporales en forma de cremas para uso cosmético; mascarillas corporales en forma de lociones; mascarillas corporales en forma de lociones para uso cosmético; mascarillas corporales en polvo; mascarillas corporales en polvo para uso cosmético; mascarillas corporales para uso cosmético; mascarillas cosméticas; mascarillas cosméticas para el cutis; mascarillas de belleza; mascarillas de belleza para el cabello; mascarillas de belleza para el contorno de los ojos; mascarillas de belleza para las manos; mascarillas desechables calentadas al vapor, que no sean para uso médico; mascarillas envasadas para uso cosmético;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hidratantes para la piel; mascarillas limpiadoras; mascarillas limpiadoras para corporales; mascarillas limpiadoras para faciales; mascarillas oculares para uso cosmético; mascarillas para el cabello; mascarillas para el cabello y el cuero cabelludo; mascarillas para el cuero cabelludo; mascarillas para el cuidado capilar; mascarillas para el cuidado de la piel de las manos; mascarillas para el cuidado de la piel de los pies; mascarillas para el cuidado del cabello; mascarillas para el peinado del cabello; mascarillas para eliminar los comedones; mascarillas para eliminar los puntos negros; mascarillas para hidratar la piel; mascarillas para la cara; mascarillas para la piel; mascarillas para la piel [cosméticos]; mascarillas para la piel de uso cosmético; mascarillas para pieles grasas; máscara de pestañas; máscara para pestañas largas; máscaras cosméticas de barro; máscaras para el cabello; máscaras para el cuero cabelludo; máscaras para pestañas largas; máscaras refrigerantes en gel para los ojos; máscaras refrigerantes para los ojos;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neutralizadores de color para labios; paletas de brillos labiales; paletas de sombras de párpados; papel de jabón para uso personal; papel secante anti-brillo [cosméticos]; papel secante anti-brillo para uso cosmético; papel secante facial [cosméticos]; papel secante facial para uso cosmético; papel secante para pieles grasas; papel secante para rostros oleosos; papel secante para uso cosmético; papeles abrasivos;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parches que contienen preparaciones no medicinales para el cuidado de la pie; parches refrigerantes en gel para los ojos; pañitos cosméticos prehumedecidos; pañitos de limpieza impregnados con preparaciones de tocador; pañitos de limpieza prehumedecidos; pañitos de limpieza preimpregnados; pañitos para bebés; pañitos para bebés para uso cosmético; paños de limpieza húmedos; paños desechables impregnados de compuestos limpiadores para uso facial; paños húmedos para bebés; paños húmedos para bebés de uso cosmético; paños impregnados con sustancias cosméticas; paños impregnados de preparaciones desmaquilladoras; paños impregnados de productos de limpieza para la piel; paños impregnados de productos limpiadores para la piel; paños o toallitas impregnados de productos limpiadores para la piel; pegatinas de arte corporal; pegatinas decorativas para el cuerpo; pegatinas decorativas para uñas; perfiladores de labios; perfiladores de ojos; perfumería para cosméticos; perfumería y fragancias; perfumes; perfumes líquidos; perfumes y aguas de colonia; perfumes y aguas de tocador; perfumes y colonias; perfumes, aguas de colonia y productos para después del afeitado; perlas de baño; perlas de baño para uso cosmético; perlitas de baño para uso cosmético; pestañas artificiales magnéticas; pestañas postizas; pestañas postizas magnéticas; piedra pómez; piedra pómez artificial; piedra pómez para uso personal; pintalabios; pintalabios hidratantes; pintura corporal de látex líquido para uso cosmético; pintura facial; pintura para la cara y el cuerpo; polveras rellenas; polvo de cejas; polvo para el cabello; polvos brillantes para el cuerpo; polvos compactos para polveras; polvos compactos para polveras [cosméticos]; polvos compactos para polveras cosméticas; polvos cosméticos; polvos de baño para uso cosmético; polvos de brillo para uso cosmético; polvos de henna; polvos de maquillaje; polvos faciales; polvos faciales [cosméticos]; polvos faciales blancos para uso cosmético; polvos faciales compactos; polvos faciales cosméticos; polvos faciales cosméticos de color blanco; polvos faciales en crema; polvos faciales en papel; polvos faciales para uso cosmético; polvos faciales sueltos; polvos para bebés; polvos para el cuerpo; polvos para el cuerpo de uso cosmético; pomadas en barra; pomadas en barra para uso cosmético; pomadas labiales; pomadas para los labios; pomadas para uso cosmético; preparaciones antiarrugas para el cuidado de la piel; preparaciones antienvejecimiento para el cuidado de la piel; preparaciones autobronceadoras; preparaciones autobronceadoras [cosméticos]; preparaciones blanqueadoras; preparaciones bronceadoras y de protección solar; preparaciones capilares de protección solar; preparaciones cosméticas; preparaciones cosméticas colorantes; preparaciones cosméticas de cuidado facial; preparaciones cosméticas de protección solar; preparaciones cosméticas para el bronceado de la piel; preparaciones cosméticas para el cuidado de la piel; preparaciones cosméticas para el cuidado de la piel en forma de geles; preparaciones cosméticas para el cuidado de las uñas; preparaciones cosméticas para el cuidado del cabello; preparaciones cosméticas para el cuidado del cuerpo; preparaciones cosméticas para el cuidado y el tratamiento de la piel; preparaciones cosméticas para el rostro; preparaciones cosméticas para el rostro y el cuerpo; preparaciones cosméticas para el tratamiento de la piel; preparaciones cosméticas para la cara; preparaciones cosméticas para la regeneración de la piel; preparaciones cosméticas para las uñas; preparaciones cosméticas para pestañas; preparaciones cosméticas para proteger la piel de los rayos del sol; preparaciones cosméticas para secar esmaltes de uñas; preparaciones de aloe vera para uso cosmético; preparaciones de bloqueadores solares para uso cosmético; preparaciones de colágeno para uso cosmético; preparaciones de cuidado facial; preparaciones de cuidado facial [cosméticos]; preparaciones de limpieza; preparaciones de limpieza para las manos; preparaciones de maquillaje para el rostro y el cuerpo; preparaciones de maquillaje para la cara y el cuerpo; preparaciones de permanente para ondular el cabello; preparaciones de permanente para ondular y rizar el cabello; preparaciones de permanente para rizar el cabello; preparaciones de protección solar; preparaciones de protección solar [productos cosméticos]; preparaciones de tocador*; preparaciones exfoliantes faciales para uso cosmético; preparaciones exfoliantes y de limpieza para la piel; preparaciones faciales; preparaciones faciales [cosméticos]; preparaciones no medicinales para el cuidado de los pies; preparaciones no medicinales para el cuidado del cabello; preparaciones no medicinales para masajes; preparaciones para ablandar las cutículas; preparaciones para blanquear; preparaciones para blanquear la piel; preparaciones para blanquear la piel [cosméticos]; preparaciones para decolorar el cabello; preparaciones para el bronceado de la piel; preparaciones para el cuidado de la piel; preparaciones para el cuidado de las uñas; preparaciones para el cuidado del cabello; preparaciones para el cuidado del cuero cabelludo y del cabello; preparaciones para el cuidado del cuerpo y la belleza; preparaciones para pulir las uñas; preparaciones para quitar las cutículas; preparaciones para rizar el cabello; preparaciones para teñir el cabello; preparaciones y sustancias depilatorias; preparados cosméticos para el tratamiento de la piel; preparados no medicinales para el cuidado de la piel; productos con filtro solar; productos con filtro solar a prueba de agua; productos con filtro solar para uso cosmético; productos con filtro solar resistentes al agua;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la piel; productos cosméticos para las pestañas; productos cosméticos para niños;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limpieza; productos de limpieza para las pestañas; productos de maquillaje; productos de perfumería;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revestimiento para esculpir uñas; productos de revestimiento para esculpir uñas [productos cosméticos]; productos depilatorios; productos hidratantes antienvejecimiento; productos hidratantes para después del sol; productos hidratantes para el cabello; productos para ablandar las uñas; productos para aclarar el cabello; productos para aclarar la piel; productos para el cuidado de las uñas; productos para suavizar y eliminar las manchas; protectores labiales no medicinales; protectores solares en barra; protectores solares en stick; protectores solares para bebés; protectores solares para los labios; protectores solares para los labios [productos cosméticos]; purpurina corporal; purpurina para las uñas; quitaesmalte para uñas [cosméticos]; quitaesmaltes; quitaesmaltes de uñas [cosméticos]; quitamanchas; quitamanchas en forma de stick; reafirmantes en gel para el cuerpo para uso cosmético; reparadores de uñas; revitalizantes cutáneos para uso cosmético; revitalizantes para el cabello de uso cosmético; revitalizantes para la piel; rubores para las mejillas; sales de baño; sales de baño para uso cosmético; serum calmante para la piel; serum de corrección para el contorno de los ojos; serum para calmar la piel [cosmético]; serum para el contorno de ojos; sombras de ojos; sombras de ojos en polvo o en lápiz; sombras de párpados; sprays de agua mineral para uso cosmético; sprays depilatorios; sprays para el cuerpo de uso cosmético; sprays para fijar el maquillaje; suavizantes para el cabello de uso cosmético; sueros de belleza; sueros faciales; sueros faciales para uso cosmético; sueros no medicados para la piel de la cara; sueros no medicinales para la piel; sueros para el contorno de los ojos; sueros para el cuidado del cabello; sueros para el lifting facial; sueros para el peinado del cabello; sueros para uso cosmético; talco; talco de tocador; talco para bebés; talco para bebés [productos de tocador]; talco para uso cosmético; talco perfumado; talco perfumado para uso cosmético; tatuajes temporales con fines cosméticos; tatuajes temporales para uso cosmético; tintas para uso cosmético; tintes cosméticos; tintes de cejas; tintes de labios; tintes de labios [cosméticos]; tintes de labios para uso cosmético; tintes de pestañas; tintes de tocador; tintes labiales; tintes labiales [cosméticos]; tintes labiales [productos cosméticos]; tintes labiales para uso cosmético; tintes para cejas; tintes para el cabello; tintes para los labios; tintes para los labios [productos cosméticos]; tintes para pestañas; tintes y decolorantes para el cabello; tinturas para el cabello; tinturas para el cabello [tintes]; tiras abrasivas; tiras blanqueadoras de dientes impregnadas con preparaciones blanqueadoras [cosméticos]; tiza para maquillaje; tiza para uso cosmético; toallas de papel para las manos impregnadas de cosméticos; toallas de papel para las manos impregnadas de productos cosméticos; toallitas cosméticas impregnadas; toallitas cosméticas prehumedecidas; toallitas de limpieza prehumedecidas; toallitas de limpieza preimpregnadas; toallitas desechables impregnadas con preparados cosméticos para bebés; toallitas desechables impregnadas con preparados de limpieza para bebés; toallitas desechables impregnadas de agua de colonia; toallitas desechables impregnadas de colonia; toallitas impregnadas con preparados cosméticos; toallitas impregnadas con sustancias cosméticas; toallitas impregnadas con un limpiador de la piel; toallitas impregnadas de aceites esenciales, para uso cosmético; toallitas impregnadas de lociones cosméticas; toallitas impregnadas de preparaciones desmaquillantes; toallitas impregnadas de productos cosméticos; toallitas impregnadas de productos limpiadores para la piel; toallitas limpiadoras para el rostro; toallitas o paños impregnados de productos limpiadores para la piel; toallitas para bebés; toallitas para bebés impregnadas de preparaciones de limpieza; toallitas para el rostro; toallitas para la higiene femenina; tonificantes para el cabello; tonificantes para el cabello para uso cosmético; tónicos clarificadores faciales; tónicos cosméticos; tónicos cosméticos para el rostro; tónicos cosméticos para la cara; tónicos faciales; tónicos faciales [cosméticos]; tónicos faciales clarificantes; tónicos faciales revitalizantes; tónicos no medicinales para la piel; tónicos para la piel para uso cosmético; tónicos para uso cosmético; tónicos revitalizantes faciales; uñas postizas; uñas postizas de metales preciosos; uñas postizas para los dedos de los pies.
</x:t>
        </x:is>
      </x:c>
      <x:c r="L320" s="3" t="inlineStr">
        <x:is>
          <x:t>No</x:t>
        </x:is>
      </x:c>
      <x:c r="M320" s="3" t="inlineStr">
        <x:is>
          <x:t/>
        </x:is>
      </x:c>
      <x:c r="N320" s="3" t="inlineStr">
        <x:is>
          <x:t/>
        </x:is>
      </x:c>
      <x:c r="O320" s="3" t="inlineStr">
        <x:is>
          <x:t>31 oct. 2022</x:t>
        </x:is>
      </x:c>
      <x:c r="P320" s="3" t="inlineStr">
        <x:is>
          <x:t/>
        </x:is>
      </x:c>
      <x:c r="Q320" s="3" t="inlineStr">
        <x:is>
          <x:t/>
        </x:is>
      </x:c>
    </x:row>
    <x:row r="321">
      <x:c r="A321" s="10" t="inlineStr">
        <x:f xml:space="preserve">HYPERLINK("http://sipi.sic.gov.co/sipi/View.ashx?4235173","SD2022/0064104")</x:f>
      </x:c>
      <x:c r="B321" s="3" t="inlineStr">
        <x:is>
          <x:t/>
        </x:is>
      </x:c>
      <x:c r="C321" s="9" t="inlineStr">
        <x:is>
          <x:t/>
        </x:is>
      </x:c>
      <x:c r="D321" s="3" t="inlineStr">
        <x:is>
          <x:t>24 jun. 2022</x:t>
        </x:is>
      </x:c>
      <x:c r="E321" s="3" t="inlineStr">
        <x:is>
          <x:t/>
        </x:is>
      </x:c>
      <x:c r="F321" s="3" t="inlineStr">
        <x:is>
          <x:t>Negada</x:t>
        </x:is>
      </x:c>
      <x:c r="G321" s="3" t="inlineStr">
        <x:is>
          <x:t/>
        </x:is>
      </x:c>
      <x:c r="H321" s="3" t="inlineStr">
        <x:is>
          <x:t> CERESCOS S.A.S., CALLE 19 No. 68 A - 98, BOGOTÁ, D.C., CO</x:t>
        </x:is>
      </x:c>
      <x:c r="I321" s="3" t="inlineStr">
        <x:is>
          <x:t>3</x:t>
        </x:is>
      </x:c>
      <x:c r="J321" s="3" t="inlineStr">
        <x:is>
          <x:t>11</x:t>
        </x:is>
      </x:c>
      <x:c r="K321" s="3" t="inlineStr">
        <x:is>
          <x:t>3. Aceite para uñas; aceite regenerador para cutícula; adhesivos para fijar uña; bases para uñas; brillo para uñas; cola para fortalecer las uñas; cremas para las uñas; dilusor de esmalte; removedor de cutícula; disolvente para quitar esmalte; endurecedor de uñas; esmalte de uñas; esmalte para uñas lacas para las uñas; pegamento para las uñas; quita esmalte de uñas; quita esmalte para las uñas; quitaesmalte; uñas artificiales para uso cosmético.
</x:t>
        </x:is>
      </x:c>
      <x:c r="L321" s="3" t="inlineStr">
        <x:is>
          <x:t>No</x:t>
        </x:is>
      </x:c>
      <x:c r="M321" s="3" t="inlineStr">
        <x:is>
          <x:t>JESUS MARIA MENDEZ BERMUDEZ, AK 7 No. 113-43 Of. 805 Torre Samsung, BOGOTÁ, D.C., CO</x:t>
        </x:is>
      </x:c>
      <x:c r="N321" s="3" t="inlineStr">
        <x:is>
          <x:t/>
        </x:is>
      </x:c>
      <x:c r="O321" s="3" t="inlineStr">
        <x:is>
          <x:t>20 sept. 2022</x:t>
        </x:is>
      </x:c>
      <x:c r="P321" s="3" t="inlineStr">
        <x:is>
          <x:t/>
        </x:is>
      </x:c>
      <x:c r="Q321" s="3" t="inlineStr">
        <x:is>
          <x:t/>
        </x:is>
      </x:c>
    </x:row>
    <x:row r="322">
      <x:c r="A322" s="10" t="inlineStr">
        <x:f xml:space="preserve">HYPERLINK("http://sipi.sic.gov.co/sipi/View.ashx?4235307","SD2022/0064148")</x:f>
      </x:c>
      <x:c r="B322" s="3" t="inlineStr">
        <x:is>
          <x:t>ZIERRA</x:t>
        </x:is>
      </x:c>
      <x:c r="C322" s="9" t="inlineStr">
        <x:is>
          <x:t/>
        </x:is>
      </x:c>
      <x:c r="D322" s="3" t="inlineStr">
        <x:is>
          <x:t>24 jun. 2022</x:t>
        </x:is>
      </x:c>
      <x:c r="E322" s="3" t="inlineStr">
        <x:is>
          <x:t/>
        </x:is>
      </x:c>
      <x:c r="F322" s="3" t="inlineStr">
        <x:is>
          <x:t>Negada</x:t>
        </x:is>
      </x:c>
      <x:c r="G322" s="3" t="inlineStr">
        <x:is>
          <x:t>ZIERRA</x:t>
        </x:is>
      </x:c>
      <x:c r="H322" s="3" t="inlineStr">
        <x:is>
          <x:t> CANNACROP S.A.S., CARRERA 10 # 4 - 23, OFICINA 209, ZIPAQUIRA, CUNDINAMARCA, CO</x:t>
        </x:is>
      </x:c>
      <x:c r="I322" s="3" t="inlineStr">
        <x:is>
          <x:t>3</x:t>
        </x:is>
      </x:c>
      <x:c r="J322" s="3" t="inlineStr">
        <x:is>
          <x:t>11</x:t>
        </x:is>
      </x:c>
      <x:c r="K322" s="3" t="inlineStr">
        <x:is>
          <x:t>3. Aceites cosméticos; brillos para uso cosmético; cosméticos; cosméticos de belleza; cosméticos naturales; cosméticos orgánicos; cosméticos para el cabello; cosméticos y preparaciones cosméticas; cosméticos y preparaciones de cuidado personal; cremas cosméticas; cremas y lociones cosméticas; jabones cosméticos; maquillaje [cosméticos]; mascarillas cosméticas; perfumería para cosméticos; polvos cosméticos; preparaciones cosméticas; preparaciones cosméticas para el baño; tónicos cosméticos.
</x:t>
        </x:is>
      </x:c>
      <x:c r="L322" s="3" t="inlineStr">
        <x:is>
          <x:t>No</x:t>
        </x:is>
      </x:c>
      <x:c r="M322" s="3" t="inlineStr">
        <x:is>
          <x:t>LUIS FERNANDO  PATRON FUENTES, Carrera 17 No. 150 - 52, Oficina 303, BOGOTÁ, D.C., CO</x:t>
        </x:is>
      </x:c>
      <x:c r="N322" s="3" t="inlineStr">
        <x:is>
          <x:t/>
        </x:is>
      </x:c>
      <x:c r="O322" s="3" t="inlineStr">
        <x:is>
          <x:t>30 jun. 2022</x:t>
        </x:is>
      </x:c>
      <x:c r="P322" s="3" t="inlineStr">
        <x:is>
          <x:t/>
        </x:is>
      </x:c>
      <x:c r="Q322" s="3" t="inlineStr">
        <x:is>
          <x:t/>
        </x:is>
      </x:c>
    </x:row>
    <x:row r="323">
      <x:c r="A323" s="10" t="inlineStr">
        <x:f xml:space="preserve">HYPERLINK("http://sipi.sic.gov.co/sipi/View.ashx?4237322","SD2022/0064630")</x:f>
      </x:c>
      <x:c r="B323" s="3" t="inlineStr">
        <x:is>
          <x:t>SHUDAEAUTY</x:t>
        </x:is>
      </x:c>
      <x:c r="C323" s="3" t="inlineStr">
        <x:is>
          <x:t/>
        </x:is>
      </x:c>
      <x:c r="D323" s="3" t="inlineStr">
        <x:is>
          <x:t>28 jun. 2022</x:t>
        </x:is>
      </x:c>
      <x:c r="E323" s="3" t="inlineStr">
        <x:is>
          <x:t/>
        </x:is>
      </x:c>
      <x:c r="F323" s="3" t="inlineStr">
        <x:is>
          <x:t>Negada</x:t>
        </x:is>
      </x:c>
      <x:c r="G323" s="3" t="inlineStr">
        <x:is>
          <x:t>SHUDAEAUTY</x:t>
        </x:is>
      </x:c>
      <x:c r="H323" s="3" t="inlineStr">
        <x:is>
          <x:t>JUAN CARLOS DUQUE ECHEVERRI, CL 34 17 25, BUCARAMANGA, SANTANDER, CO</x:t>
        </x:is>
      </x:c>
      <x:c r="I323" s="3" t="inlineStr">
        <x:is>
          <x:t>3</x:t>
        </x:is>
      </x:c>
      <x:c r="J323" s="3" t="inlineStr">
        <x:is>
          <x:t>11</x:t>
        </x:is>
      </x:c>
      <x:c r="K323" s="3" t="inlineStr">
        <x:is>
          <x:t>3. Aceite de almendras; aceite de amla para uso cosmético; aceite de coco para uso cosmético; aceite de lavanda para uso cosmético; aceite de neem para uso cosmético; aceite de ricino para uso cosmético; aceite de rosas para uso cosmético; aceite fijador para el cabello; aceite japonés para fijar el cabello; aceite para el peinado del cabello; aceites aromáticos; aceites brillantes para el cuerpo; aceites bronceadores; aceites bronceadores [cosméticos]; aceites bronceadores de uso cosmético; aceites cosméticos; aceites cosméticos para la piel; aceites de baño para uso cosmético; aceites de perfumería; aceites de protección solar [cosméticos]; aceites destilados para el cuidado de belleza; aceites esenciales para uso cosmético; aceites faciales; aceites no medicados; aceites para cutículas; aceites para después del sol; aceites para después del sol [productos cosméticos]; aceites para el bronceado de la piel; aceites para el cabello; aceites para el cuerpo de uso cosmético; aceites perfumados; aceites puros para uso cosmético; acondicionadores de cabello; acondicionadores labiales; acondicionadores para el cabello; acondicionadores para uso en el cabello; adhesivos [pegamentos] para uso cosmético; adhesivos para falsas pestañas; adhesivos para fijar cejas postizas; adhesivos para fijar postizos; adhesivos para fijar uñas postizas; adhesivos para fijar uñas y pestañas postizas; adhesivos para la fijación de cejas postizas; adhesivos para pegar las pestañas postizas; adhesivos para pegar las uñas postizas; adhesivos para pestañas postizas; adhesivos para pestañas, cabello y uñas postizos; adhesivos para postizos capilares; adhesivos para uñas postizas; aerosoles cosméticos de uso tópico para la piel; aerosoles depilatorios; aerosoles para afeitar; aerosoles perfumados para el cuerpo; agua de colonia; agua de perfume; agua micelar; agua micelar de limpieza; aguas de tocador; aguas de tocador perfumadas; aguas de tocador y aguas de colonia; aguas de tocador y colonias; aguas perfumadas; aguas perfumadas para la ropa; alheña para uso cosmético; alheña para uso cosmético [henna]; almohadillas de algodón para desmaquillar; almohadillas de algodón para uso cosmético; almohadillas de limpieza impregnadas con cosméticos; almohadillas de limpieza impregnadas con productos cosméticos; almohadillas de limpieza prehumedecidas; almohadillas de limpieza preimpregnadas; almohadillas desmaquillantes de algodón hidrófilo; almohadillas limpiadoras impregnadas de preparaciones de tocador; almohadillas limpiadoras impregnadas de productos cosméticos; almohadillas para uso cosmético; almohadillas, toallitas o pañitos de limpieza prehumedecidos o impregnados; almohadillas, toallitas o pañitos húmedos o impregnados de preparaciones limpiadoras; ambientadores de interior [preparaciones perfumadas]; antifaces de gel; aromas para fragancias; bandas abrasivas; barras de labios; barras de labios con protección solar [cosméticos]; barras de labios en stick con protección solar [cosméticos]; barras de labios hidratantes; barros corporales para uso cosmético; bases de maquillaje; bases de maquillaje cremosas; bases de maquillaje en crema; bases de maquillaje líquidas; bases de maquillaje para la piel; bases neutralizantes para labios; bases para esmaltes de uñas; basma [tinte para uso cosmético]; basma en cuanto tinte para uso cosmético; basma para uso cosmético; bastoncillos de algodón impregnados de preparaciones desmaquillantes; bastoncillos de algodón impregnados de preparados desmaquilladores; bastoncillos de algodón multiuso para utilización personal; bastoncillos de algodón multiusos para uso personal; bastoncillos de algodón para uso cosmético; bastoncillos de incienso; baños de espuma; bloqueador solar [cosméticos]; bolas de algodón impregnadas de preparaciones desmaquillantes; bolas de algodón impregnadas de preparados desmaquilladores; bolas de algodón para uso cosmético; brillantina; brillantina corporal; brillantina para el cabello; brillantina para las uñas; brillos corporales; brillos de labios; brillos de uñas para aplicar sobre el esmalte; brillos faciales; brillos faciales y corporales; brillos para uso cosmético; bronceadores para la piel; cejas postizas; cejas postizas autoadhesivas; ceras para el cuero; ceras para el cuidado del cabello; ceras para el cuidado del pelo; ceras para el peinado del cabello; champúes para el cabello; champús capilares; champús corporales; champús en seco*; champús y acondicionadores; champús*; colonia; colorantes de labios; colorantes de labios [cosméticos]; colorantes de tocador; colorantes labiales; colorantes labiales [cosméticos]; colorantes labiales [productos cosméticos]; colorantes para los labios; colorantes para los labios [productos cosméticos]; colorete; colorete en lápiz; colorete líquido; coloretes; coloretes en crema; composiciones para aclarar la piel [cosméticos]; corrector facial; correctores antiojeras; correctores de imperfecciones [productos cosméticos]; correctores de líneas y arrugas faciales; correctores de ojeras; correctores de ojos; correctores para disimular manchas e imperfecciones de la piel; cosméticos; cosméticos de belleza; cosméticos en forma de cremas; cosméticos en forma de polvos; cosméticos funcionales en cuanto preparaciones para blanquear la piel; cosméticos no medicinales;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crema corporal para uso cosmético; crema en gel para matificar la piel; crema limpiadora; crema para aclarar la piel; crema para las manos; crema para peinar el cabello; cremas acondicionadoras;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corporales; cremas corporales [cosméticos]; cremas cosmética para el cuerpo; cremas cosméticas; cremas cosméticas a base de extractos de plantas; cremas cosméticas de masaje;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belleza; cremas de belleza para el cuerpo; cremas de belleza para el rostro y el cuerpo; cremas de hidratación intensiva; cremas de limpieza; cremas de limpieza [cosméticos]; cremas de limpieza [para uso cosmético]; cremas de limpieza [productos cosméticos]; cremas de limpieza para uso cosmético;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desmaquillantes; cremas emolientes reparadoras para el cuidado diario de la piel; cremas evanescentes; cremas exfoliantes;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botas; cremas para el cuerpo cosméticas; cremas para el rostro; cremas para el rostro y el cuerpo; cremas para la piel; cremas para las manos; cremas para las manos de uso cosmético; cremas para las uñas; cremas para las uñas de uso cosmético; cremas para los labios; cremas para los labios de uso cosmético; cremas para los ojos; cremas para los ojos de uso cosmético; cremas perfumadas; cremas regeneradoras; cremas regenerantes; depilatorios; desmaquilladores; desmaquilladores de ojos; desmaquillantes de ojos; emulsiones faciales; emulsiones faciales para uso cosmético; emulsiones para el cuerpo; emulsiones para el cuerpo de uso cosmético; emulsiones, geles y lociones para el cuidado de la piel; endurecedores de uñas; endurecedores de uñas [cosméticos]; escarcha corporal; escarcha para las uñas; esmaltes de base para las uñas [productos cosméticos]; esmaltes de uñas; esmaltes de uñas en gel; esmaltes de uñas para uso cosmético; esmaltes de uñas y quitaesmaltes; esponjas impregnadas con artículos de tocador; espuma de baño; espuma de limpieza; espuma limpiadora; espumas [cosméticas]; espumas depilatorias; exfoliante corporal; exfoliantes; exfoliantes [preparaciones cosméticas]; exfoliantes corporales; exfoliantes corporales cosméticos; exfoliantes corporales para uso cosmético; exfoliantes faciales; exfoliantes faciales y corporales no medicamentosos; exfoliantes faciales y corporales no medicinales; exfoliantes iluminadores; exfoliantes para el cuerpo; exfoliantes para el cuerpo de uso cosmético; exfoliantes para la cara; exfoliantes para la piel; exfoliantes para labios; exfoliantes para las manos; exfoliantes para los pies; exfoliantes para uso cosmético; extensiones de pestañas; fangos corporales para uso cosmético; fijadores capilares; fijadores para el cabello; filtro solar [cosméticos]; fondo de maquillaje; fortalecedores de uñas; fragancias; fragancias corporales; fundación de maquillaje; gel para baño y ducha; gel para ducha y baño; geles bronceadores; geles cosméticos; geles de belleza; geles depilatorios; geles desmaquillantes; geles exfoliantes, no medicinales; geles hidratantes; geles hidratantes [cosméticos]; geles no medicinales; geles para los ojos; geles para los ojos de uso cosmético; geles para uso cosmético; geles para uso en el cabello; geles y espumas para el cabello; geles y sales de baño y de ducha no medicinales; geles, aerosoles, espumas y bálsamos para peinar y cuidar el cabello; geles, cremas y aceites de ducha; geles, espráis, espumas y bálsamos para peinar y cuidar el cabello; grasas para uso cosmético; henna [tinte cosmético]; henna para uso cosmético; henna para uso cosmético [alheña]; hidratante para la piel; hidratantes; hidratantes [cosméticos]; hidratantes faciales; hidratantes para la piel; hisopos de algodón impregnados de preparados desmaquilladores; hisopos de algodón para uso cosmético; hisopos impregnados de preparaciones desmaquillantes; hisopos impregnados de preparados desmaquilladores; hojas abrasivas; jabones en crema para el cuerpo; jabones faciales; jabones para la piel; jabones para las manos; jabones*; jabón de almendras; jabón de aloe vera; jabón de baño; joyas de piel autoadhesivas para uso cosmético; joyas de piel en cuanto motivos decorativos para uso cosmético; joyas de piel en cuanto transferencias decorativas para uso cosmético; joyas de piel para uso cosmético; joyas de tatuaje para uso cosmético; joyería de piel autoadhesivas para uso cosmético; joyería de piel en cuanto motivos decorativos para uso cosmético; joyería de piel en cuanto transferencias decorativas para uso cosmético; joyería de piel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kits para el cuidado de las uñas que comprenden principalmente lacas de uñas, quitaesmaltes y uñas postizas; lacas de uñas; lacas para el cabello; lacas para las uñas; lacas y geles fijadores para el cabello; leche bronceadora; leche de almendras para uso cosmético; leches bronceadoras; leches bronceadoras [cosméticos]; leches de limpieza facial; leches desmaquillantes; leches hidratantes; leches limpiadoras de tocador; leches limpiadoras para el cuidado de la piel; leches para después de tomar el sol para uso cosmético; leches para después del sol [productos cosméticos]; leches para después del sol de uso cosmético; leches para el cuerpo de uso cosmético; leches para el rostro y el cuerpo de uso cosmético; leches y lociones para el rostro de uso cosmético; leches, geles y aceites bronceadores y para después del sol, de uso cosmético; leches, geles, lociones y cremas desmaquillantes; limpiadores cutáneos [cosméticos]; limpiadores de la piel; limpiadores faciales; limpiadores faciales [cosméticos]; limpiadores faciales [productos cosméticos]; limpiadores líquidos para la piel; limpiadores no medicinales para la piel; lociones bronceadoras; lociones capilares cosméticas; lociones capilares no medicinales; lociones capilares*; lociones corporales; lociones de belleza; lociones desmaquillantes; lociones estimulantes no medicinales para la piel; lociones faciales; lociones faciales [cosméticos]; lociones faciales no medicadas; lociones hidratantes; lociones hidratantes [cosméticos]; lociones hidratantes para el cuerpo; lociones hidratantes para el cuerpo [cosméticos]; lociones hidratantes para la piel; lociones hidratantes para la piel [cosméticos]; lociones lechosas para el cuidado de la piel; lociones limpiadoras no medicadas; lociones limpiadoras para la piel; lociones lácteas; lociones lácteas para el cuidado de la piel; lociones no medicadas para el rostro; lociones no medicinales para aclarar la piel; lociones no medicinales para el cuidado de la piel [cosméticos]; lociones no medicinales para la piel; lociones no medicinales para los pies; láminas abrasivas; lápices de cejas; lápices de labios; lápices de labios [pintalabios]; lápices de labios [pintalabios] hidratantes; lápices de labios hidratantes; lápices de maquillaje; lápices de ojos; lápices de ojos para uso cosmético; lápices de párpados; lápices labiales; lápices labiales hidratantes; lápices para aplicar el esmalte de uñas; lápices para uso cosmético; lápices perfiladores de ojos; lápices quitaesmaltes; lápices quitaesmaltes de uñas; manteca corporal; manteca corporal para uso cosmético; manteca de almendra para uso cosmético; manteca de argán para uso cosmético; manteca de cacao para uso cosmético; manteca de coco para uso cosmético; manteca de karité para uso cosmético; maquillaje; maquillaje [cosméticos]; maquillaje para el cuerpo; maquillaje para el rostro; maquillaje para el rostro y el cuerpo; maquillaje para la cara; maquillaje para la cara y el cuerpo; maquillaje para la piel; maquillaje para los ojos; maquillaje para polveras; maquillaje vendido en polveras; maquillajes de base; maquillajes de base en crema; maquillajes de ojos; maquillajes faciales; maquillajes para el teatro; mascarillas corporales; mascarillas corporales en forma de cremas; mascarillas corporales en forma de cremas para uso cosmético; mascarillas corporales en forma de lociones; mascarillas corporales en forma de lociones para uso cosmético; mascarillas corporales en polvo; mascarillas corporales en polvo para uso cosmético; mascarillas corporales para uso cosmético; mascarillas cosméticas; mascarillas cosméticas para el cutis; mascarillas de belleza; mascarillas de belleza para el cabello; mascarillas de belleza para el contorno de los ojos; mascarillas de belleza para las manos;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hidratantes para la piel; mascarillas limpiadoras; mascarillas limpiadoras para corporales; mascarillas limpiadoras para faciales; mascarillas oculares para uso cosmético; mascarillas para el cabello; mascarillas para el cabello y el cuero cabelludo; mascarillas para el cuero cabelludo; mascarillas para el cuidado capilar; mascarillas para el cuidado de la piel de las manos; mascarillas para el cuidado de la piel de los pies; mascarillas para el cuidado del cabello; mascarillas para el cutis [cosméticos]; mascarillas para el peinado del cabello; mascarillas para eliminar los comedones; mascarillas para eliminar los puntos negros; mascarillas para hidratar la piel; mascarillas para la cara; mascarillas para la piel; mascarillas para la piel [cosméticos]; mascarillas para la piel de uso cosmético; mascarillas para pieles grasas; mizu-oshiroi [bases de maquillaje líquidas]; máscara de pestañas; máscara para pestañas largas; máscaras calentadoras en gel para los ojos; máscaras cosméticas de barro; máscaras para el cabello; máscaras para el cabello y el cuero cabelludo; máscaras para el cuero cabelludo; máscaras para pestañas largas;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parches que contienen preparaciones no medicinales para el cuidado de la pie; parches refrigerantes en gel para los ojos; pañitos cosméticos prehumedecidos; pañitos de limpieza impregnados con preparaciones de tocador; pañitos de limpieza prehumedecidos; pañitos de limpieza preimpregnados; pañitos para bebés; pañitos para bebés para uso cosmético; paños de limpieza húmedos; paños desechables impregnados de compuestos limpiadores para uso facial; paños húmedos para bebés de uso cosmético; paños impregnados con sustancias cosméticas; paños impregnados de preparaciones de limpieza; paños impregnados de preparaciones desmaquilladoras; paños impregnados de productos de limpieza para la piel; paños impregnados de productos limpiadores para la piel; paños o toallitas impregnados de productos limpiadores para la piel; pegatinas de arte corporal; pegatinas decorativas para el cuerpo; pegatinas decorativas para uñas; perfiladores de labios; perfiladores de ojos; perfumería para cosméticos; perfumería y fragancias; perfumes; perfumes líquidos; perfumes para uso industrial; perfumes sólidos; perfumes y aguas de colonia; perfumes y aguas de tocador; perfumes y colonias; perfumes, aguas de colonia y productos para después del afeitado; perlas de baño; perlas de baño para uso cosmético; perlitas de baño; perlitas de baño para uso cosmético; pestañas artificiales magnéticas; pestañas postizas; pestañas postizas magnéticas; piedra pómez; piedra pómez artificial; piedra pómez para uso personal; pintalabios; pintalabios hidratantes; pintura corporal; pintura corporal de látex líquido para uso cosmético; pintura para la cara y el cuerpo; polvo de cejas; polvo para el cabello; polvos brillantes para el cuerpo; polvos compactos para polveras; polvos compactos para polveras [cosméticos]; polvos compactos para polveras cosméticas; polvos cosméticos; polvos de baño; polvos de baño para uso cosmético; polvos de brillo para uso cosmético; polvos de henna; polvos de maquillaje; polvos dentales para uso cosmético; polvos faciales; polvos faciales [cosméticos]; polvos faciales blancos para uso cosmético; polvos faciales compactos; polvos faciales cosméticos; polvos faciales cosméticos de color blanco; polvos faciales en crema; polvos faciales en papel; polvos faciales para uso cosmético; polvos faciales sueltos; polvos faciales, a saber, papel revestido con polvo facial; polvos no medicinales para los pies; polvos para bebés; polvos para bebés [productos de tocador]; polvos para el cuerpo; polvos para el cuerpo de uso cosmético; polvos para fregar; polvos para fregar de uso general; polvos para lavar el cabello; polvos perfumados; polvos perfumados para uso cosmético; pomadas en barra; pomadas en barra para uso cosmético; pomadas labiales; pomadas no medicinales para prevenir y tratar las quemaduras solares; pomadas para el cabello; pomadas para el cabello de uso cosmético; pomadas para los labios; pomadas para uso cosmético; pomadas y lociones no medicinales contra la dermatitis del pañal; preparaciones autobronceadoras; preparaciones autobronceadoras [cosméticos]; preparaciones blanqueadoras; preparaciones blanqueadoras [decolorantes] para uso doméstico; preparaciones blanqueadoras para la piel [productos cosméticos]; preparaciones cosméticas; preparaciones cosméticas de cuidado facial; preparaciones cosméticas para pestañas; preparaciones de cuidado facial; preparaciones de cuidado facial [cosméticos]; preparaciones de protección solar; preparaciones de tocador*; preparaciones faciales; preparaciones faciales [cosméticos]; preparaciones hidratantes [cosméticos]; preparaciones no medicinales para el cuidado de los labios;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afeitar; productos de limpieza; productos de maquillaje; productos de perfumería; productos depilatorios; protectores labiales no medicinales; protectores solares en barra; protectores solares en stick; protectores solares para bebés; protectores solares para los labios; protectores solares para los labios [productos cosméticos]; puntas de uñas; purpurina corporal; purpurina para las uñas; quitaesmalte para uñas [cosméticos]; quitaesmaltes; quitaesmaltes de uñas [cosméticos]; sales de baño; serum calmante para la piel; serum de corrección para el contorno de los ojos; serum para calmar la piel [cosmético]; serum para el contorno de ojos; sombras de ojos; sombras de ojos en polvo o en lápiz; sombras de párpados; sprays depilatorios; sprays para afeitar; sprays para el cuerpo; sprays para el cuerpo de uso cosmético; sprays para fijar el maquillaje; sueros antiedad multiactivos; sueros de belleza; sueros faciales; sueros faciales para uso cosmético; sueros no medicados para la piel de la cara; sueros no medicinales para la piel; sueros para el contorno de los ojos; sueros para el cuidado del cabello; sueros para el lifting facial; sueros para el peinado del cabello; sueros para la piel a base de cáñamo; sueros para uso cosmético; talco; talco de tocador; talco para bebés; talco para bebés [productos de tocador]; talco para uso cosmético; talco perfumado; talco perfumado para uso cosmético; tatuajes temporales con fines cosméticos; tatuajes temporales para uso cosmético; tintes cosméticos; tintes de cejas; tintes de labios; tintes de labios [cosméticos]; tintes de labios para uso cosmético; tintes de pestañas; tintes de tocador; tintes labiales; tintes labiales [cosméticos]; tintes labiales [productos cosméticos]; tintes labiales para uso cosmético; tintes para cejas; tintes para el cabello; tintes para la barba; tintes para los labios; tintes para los labios [productos cosméticos]; tintes para pestañas; tintes temporales para hacer mechas; tintes y decolorantes para el cabello; tinturas para el cabello; tinturas para el cabello [tintes]; tiras abrasivas; tiza para maquillaje; tiza para uso cosmético; toallas de papel para las manos impregnadas de cosméticos; toallas de papel para las manos impregnadas de productos cosméticos; toallitas antiestáticas para secadora; toallitas antiestáticas para secadoras de ropa; toallitas húmedas con preparaciones de limpieza para uso doméstico; toallitas húmedas para uso higiénico y cosmético; toallitas impregnadas con desodorantes para uso personal; toallitas impregnadas con preparados cosméticos; toallitas impregnadas con preparados de bronceador; toallitas impregnadas con preparados de limpieza personal; toallitas impregnadas con preparados para el cuidado de la piel; toallitas impregnadas con sustancias cosméticas; toallitas impregnadas con un limpiador de la piel; toallitas impregnadas de aceites esenciales, para uso cosmético; toallitas impregnadas de lociones cosméticas; toallitas impregnadas de preparaciones desmaquillantes; toallitas impregnadas de productos cosméticos; toallitas impregnadas de productos limpiadores para la piel; toallitas limpiadoras para el rostro; toallitas o paños impregnados de productos limpiadores para la piel; toallitas para bebés; toallitas para bebés impregnadas de preparaciones de limpieza; toallitas para el rostro; toallitas para la colada impregnadas con detergente; toallitas para la colada impregnadas con suavizante; toallitas para la higiene femenina; toallitas pre-humedecidas impregnadas con líquido para lavar platos; tonificantes para el cabello; tónicos clarificadores faciales; tónicos cosméticos; tónicos cosméticos para el rostro; tónicos cosméticos para la cara; tónicos faciales; tónicos faciales [cosméticos]; tónicos faciales clarificantes; tónicos faciales revitalizantes; tónicos no medicinales para la piel; tónicos para la piel para uso cosmético; tónicos para uso cosmético; tónicos revitalizantes faciales; uñas postizas; uñas postizas de metales preciosos; uñas postizas para los dedos de los pies.
</x:t>
        </x:is>
      </x:c>
      <x:c r="L323" s="3" t="inlineStr">
        <x:is>
          <x:t>Sí</x:t>
        </x:is>
      </x:c>
      <x:c r="M323" s="3" t="inlineStr">
        <x:is>
          <x:t/>
        </x:is>
      </x:c>
      <x:c r="N323" s="3" t="inlineStr">
        <x:is>
          <x:t/>
        </x:is>
      </x:c>
      <x:c r="O323" s="3" t="inlineStr">
        <x:is>
          <x:t>31 oct. 2022</x:t>
        </x:is>
      </x:c>
      <x:c r="P323" s="3" t="inlineStr">
        <x:is>
          <x:t/>
        </x:is>
      </x:c>
      <x:c r="Q323" s="3" t="inlineStr">
        <x:is>
          <x:t/>
        </x:is>
      </x:c>
    </x:row>
    <x:row r="324">
      <x:c r="A324" s="10" t="inlineStr">
        <x:f xml:space="preserve">HYPERLINK("http://sipi.sic.gov.co/sipi/View.ashx?4237387","SD2022/0064622")</x:f>
      </x:c>
      <x:c r="B324" s="3" t="inlineStr">
        <x:is>
          <x:t>ANGEL DROPS</x:t>
        </x:is>
      </x:c>
      <x:c r="C324" s="3" t="inlineStr">
        <x:is>
          <x:t/>
        </x:is>
      </x:c>
      <x:c r="D324" s="3" t="inlineStr">
        <x:is>
          <x:t>28 jun. 2022</x:t>
        </x:is>
      </x:c>
      <x:c r="E324" s="3" t="inlineStr">
        <x:is>
          <x:t/>
        </x:is>
      </x:c>
      <x:c r="F324" s="3" t="inlineStr">
        <x:is>
          <x:t>Negada</x:t>
        </x:is>
      </x:c>
      <x:c r="G324" s="3" t="inlineStr">
        <x:is>
          <x:t>2022</x:t>
        </x:is>
      </x:c>
      <x:c r="H324" s="3" t="inlineStr">
        <x:is>
          <x:t>LUZ ARELIZ MARIN GORDILLO, calle 13c 70 87, CALI, VALLE DEL CAUCA, CO</x:t>
        </x:is>
      </x:c>
      <x:c r="I324" s="3" t="inlineStr">
        <x:is>
          <x:t>3</x:t>
        </x:is>
      </x:c>
      <x:c r="J324" s="3" t="inlineStr">
        <x:is>
          <x:t>11</x:t>
        </x:is>
      </x:c>
      <x:c r="K324" s="3" t="inlineStr">
        <x:is>
          <x:t>3. Preparaciones para blanquear y otras sustancias para lavar la ropa.
</x:t>
        </x:is>
      </x:c>
      <x:c r="L324" s="3" t="inlineStr">
        <x:is>
          <x:t>No</x:t>
        </x:is>
      </x:c>
      <x:c r="M324" s="3" t="inlineStr">
        <x:is>
          <x:t>Mauricio Castro Orjuela, Avenida Carrera 19 # 95 - 20, BOGOTA, CUNDINAMARCA 00000, CO</x:t>
        </x:is>
      </x:c>
      <x:c r="N324" s="3" t="inlineStr">
        <x:is>
          <x:t/>
        </x:is>
      </x:c>
      <x:c r="O324" s="3" t="inlineStr">
        <x:is>
          <x:t>09 sept. 2022</x:t>
        </x:is>
      </x:c>
      <x:c r="P324" s="3" t="inlineStr">
        <x:is>
          <x:t/>
        </x:is>
      </x:c>
      <x:c r="Q324" s="3" t="inlineStr">
        <x:is>
          <x:t/>
        </x:is>
      </x:c>
    </x:row>
    <x:row r="325">
      <x:c r="A325" s="10" t="inlineStr">
        <x:f xml:space="preserve">HYPERLINK("http://sipi.sic.gov.co/sipi/View.ashx?4237427","SD2022/0064706")</x:f>
      </x:c>
      <x:c r="B325" s="3" t="inlineStr">
        <x:is>
          <x:t>CORTEZA COLLECTION</x:t>
        </x:is>
      </x:c>
      <x:c r="C325" s="9" t="inlineStr">
        <x:is>
          <x:t/>
        </x:is>
      </x:c>
      <x:c r="D325" s="3" t="inlineStr">
        <x:is>
          <x:t>28 jun. 2022</x:t>
        </x:is>
      </x:c>
      <x:c r="E325" s="3" t="inlineStr">
        <x:is>
          <x:t/>
        </x:is>
      </x:c>
      <x:c r="F325" s="3" t="inlineStr">
        <x:is>
          <x:t>Negada</x:t>
        </x:is>
      </x:c>
      <x:c r="G325" s="3" t="inlineStr">
        <x:is>
          <x:t>Corteza Collection </x:t>
        </x:is>
      </x:c>
      <x:c r="H325" s="3" t="inlineStr">
        <x:is>
          <x:t> AMENI GROUP S.A.S., Carrera 47D #79 SUR 50, SABANETA, ANTIOQUIA, CO</x:t>
        </x:is>
      </x:c>
      <x:c r="I325" s="3" t="inlineStr">
        <x:is>
          <x:t>3</x:t>
        </x:is>
      </x:c>
      <x:c r="J325" s="3" t="inlineStr">
        <x:is>
          <x:t>11</x:t>
        </x:is>
      </x:c>
      <x:c r="K325" s="3" t="inlineStr">
        <x:is>
          <x:t>3. Aceites cosméticos; aceites de baño para uso cosmético; aceites de ducha a base de cáñamo; aceites de tocador; aceites esenciales; aceites esenciales naturales; aceites esenciales para uso cosmético; aceites para el cuerpo de uso cosmético; aceites para uso cosmético; aceites puros para uso cosmético; acondicionadores de cabello; acondicionadores de cabello a base de cáñamo; acondicionadores en barritas sólidas para el cabello; acondicionadores labiales; acondicionadores para el cabello; acondicionadores para el cabello para bebés; acondicionadores para la piel; acondicionadores para uso en el cabello; almohadillas de algodón para uso cosmético; almohadillas de limpieza impregnadas con productos cosméticos; almohadillas desmaquillantes de algodón hidrófilo; autobronceadores [cosméticos]; barras de labios; baños de aceite para el cuidado del cabello de uso cosmético; baños de espuma; bloqueador solar [cosméticos]; bombas de baño; bombas de ducha; bálsamo acondicionador; bálsamos capilares; bálsamos capilares no medicinales; bálsamos para el cabello; cera para el cabello; ceras para el cuidado del cabello; ceras para el peinado del cabello; champúes para el cabello; champús 3 en 1; champús acondicionadores; champús anticaspa; champús capilares; champús corporales; champús de ph neutro; champús en barritas sólidas; champús en seco*; champús equilibrados de ph; champús no medicinales; champús no medicinales contra la caspa; champús para bebés; champús para el cabello y el cuerpo; champús y acondicionadores; champús y acondicionadores para el cabello; champús*; cold creams para uso cosmético; cosméticos; cosméticos de belleza; cosméticos para el cabello; cosméticos y preparaciones cosméticas; crema corporal; crema corporal para uso cosmético; crema en gel para matificar la piel; crema para aclarar la piel; crema para las manos; crema para peinar el cabello; cremas acondicionadoras; cremas acondicionadoras para la piel, de uso cosmético; cremas capilares; cremas corporales [cosméticos]; cremas cosmética para el cuerpo; cremas cosméticas a base de extractos de plantas; cremas cosméticas de masaje; cremas cosméticas para el cuidado de la piel; cremas cosméticas para el rostro; cremas cosméticas para la piel; cremas cosméticas para las manos; cremas cosméticas para pieles secas; cremas cosméticas para tonificar la piel; cremas de baño; cremas de belleza para el rostro y el cuerpo; cremas de bálsamo para disimular las imperfecciones de la piel; cremas de ducha; cremas de día; cremas de hidratación intensiva; cremas de limpieza [para uso cosmético]; cremas de masaje no medicinales; cremas de noche; cremas de protección capilar, no medicinales; cremas de protección para el cabello; cremas de protección solar; cremas exfoliantes para uso cosmético; cremas faciales para uso cosmético; cremas hidratantes; cremas hidratantes para la piel [cosméticos]; cremas limpiadoras para la piel; cremas líquidas y sólidas para la piel; cremas no medicadas para hidratar la piel; cremas no medicadas para la hidratación de la piel; cremas no medicadas para suavizar la piel; cremas no medicinales para el cuidado de la piel; cremas no medicinales para el tratamiento del cuero cabelludo; cremas no medicinales para la piel; cremas para aclarar la piel; cremas para broncear la piel; cremas para dar firmeza al cuerpo; cremas para el cabello; cremas para el cabello de uso cosmético; cremas para el cuerpo [cosméticos]; cremas para el cuidado de la piel que no sean de uso médico; cremas para el cuidado del cabello; cremas para el cuidado del pelo; cremas para el rostro y el cuerpo de uso cosmético; cremas para la piel; cremas para reducir la celulitis de uso cosmético; cremas reafirmantes corporales; cremas reparadoras para la piel de uso cosmético; cremas revitalizantes para la piel; cremas y geles cosméticos para cara, manos y cuerpo; cremas y lociones cosméticas; cremas, lociones y geles hidratantes; cristales de baño para uso cosmético; espuma de protección para el cabello; espuma moldeadora para el cabello; espumas [cosméticas]; espumas de ducha; espumas limpiadoras para la piel; espumas para el cabello; espumas para la ducha; exfoliantes para uso cosmético; fijadores para el cabello; gel de baño; gel exfoliante, no medicinal; gel para baño y ducha; geles capilares; geles corporales y faciales [cosméticos]; geles de baño; geles de baño y de ducha; geles de belleza; geles de ducha; geles de protección para el cabello; geles hidratantes; geles para dar forma al cabello; geles para el cabello; geles para el cuerpo y la cara [cosméticos]; geles para la ducha; geles para uso en el cabello; geles y sales de baño y de ducha no medicinales; geles, aerosoles, espumas y bálsamos para peinar y cuidar el cabello; hidratante para la piel; hidratantes para el cabello; jabones cosméticos; jabones de baño; jabones de baño en forma líquida, sólida o de gel; jabones de ducha; jabones de tocador; jabones en crema para el cuerpo; jabones líquidos para el baño; jabones líquidos para el cabello y el cuerpo; jabones para el cuidado del cuerpo; jabones para la ducha; lacas para el cabello; leches para el rostro y el cuerpo de uso cosmético; lociones corporales; lociones cosméticas para el bronceado de la piel; lociones cosméticas para el cuidado de la piel; lociones de baño para uso cosmético; lociones de protección para el cabello; lociones para el cabello de uso cosmético; lociones, cremas y preparaciones para el cuidado de la cara, cuerpo, cuero cabelludo, uñas y cabello; manteca corporal para uso cosmético; máscaras para el cabello; máscaras para el cabello y el cuero cabelludo; pastillas de jabón para el cuerpo; pañitos cosméticos prehumedecidos; perlas de baño para uso cosmético; polvos para lavar el cabello; pomadas para el cabello; pomadas para uso cosmético; preparaciones capilares no medicinales; preparaciones cosméticas; preparaciones cosméticas para el cabello y el cuero cabelludo; preparaciones de cuidado corporal y de belleza para uso cosmético; preparaciones de jabón no medicinales; preparaciones de limpieza para el cuerpo; preparaciones de maquillaje para el rostro y el cuerpo; preparaciones limpiadoras de uso personal; preparaciones no medicadas para el cabello; preparaciones no medicinales para el cuidado de la piel, el cabello y el cuero cabelludo; preparaciones para el cuidado y la belleza personal; preparaciones para la limpieza del cabello; preparaciones para lavar el cabello; preparaciones para tratamientos capilares; productos cosméticos para el baño y la ducha; productos cosméticos para el cabello y el cuero cabelludo; productos cosméticos para la piel; productos cosméticos para uso personal; productos cosméticos y de belleza; productos de jabón; productos de limpieza en seco; productos de limpieza en spray; productos de textura para el cabello; productos para refrescar la piel; productos y preparaciones cosméticos para el cuidado de la piel; productos y preparaciones para el cuidado del cabello; revitalizantes para el cabello; sales de baño cosméticas; serum calmante para la piel; sprays para el cuerpo de uso cosmético; suavizantes para el cabello; sueros antiedad multiactivos; sueros de belleza; sueros no medicinales para la piel; sueros para el cuidado del cabello; sueros para el peinado del cabello; sueros para uso cosmético; tintes cosméticos; tintes para el cabello; tónicos cosméticos.
</x:t>
        </x:is>
      </x:c>
      <x:c r="L325" s="3" t="inlineStr">
        <x:is>
          <x:t>No</x:t>
        </x:is>
      </x:c>
      <x:c r="M325" s="3" t="inlineStr">
        <x:is>
          <x:t>ALEJANDRO ALZATE BLAIR, Carrera 42 No. 3 Sur 81 of. 511, MEDELLIN, ANTIOQUIA, CO</x:t>
        </x:is>
      </x:c>
      <x:c r="N325" s="3" t="inlineStr">
        <x:is>
          <x:t/>
        </x:is>
      </x:c>
      <x:c r="O325" s="3" t="inlineStr">
        <x:is>
          <x:t>09 dic. 2022</x:t>
        </x:is>
      </x:c>
      <x:c r="P325" s="3" t="inlineStr">
        <x:is>
          <x:t/>
        </x:is>
      </x:c>
      <x:c r="Q325" s="3" t="inlineStr">
        <x:is>
          <x:t/>
        </x:is>
      </x:c>
    </x:row>
    <x:row r="326">
      <x:c r="A326" s="10" t="inlineStr">
        <x:f xml:space="preserve">HYPERLINK("http://sipi.sic.gov.co/sipi/View.ashx?4237516","SD2022/0064662")</x:f>
      </x:c>
      <x:c r="B326" s="3" t="inlineStr">
        <x:is>
          <x:t>ACID SKIN NF</x:t>
        </x:is>
      </x:c>
      <x:c r="C326" s="3" t="inlineStr">
        <x:is>
          <x:t/>
        </x:is>
      </x:c>
      <x:c r="D326" s="3" t="inlineStr">
        <x:is>
          <x:t>28 jun. 2022</x:t>
        </x:is>
      </x:c>
      <x:c r="E326" s="3" t="inlineStr">
        <x:is>
          <x:t/>
        </x:is>
      </x:c>
      <x:c r="F326" s="3" t="inlineStr">
        <x:is>
          <x:t>Negada</x:t>
        </x:is>
      </x:c>
      <x:c r="G326" s="3" t="inlineStr">
        <x:is>
          <x:t/>
        </x:is>
      </x:c>
      <x:c r="H326" s="3" t="inlineStr">
        <x:is>
          <x:t>KARENT JULIETH GARCES LEZAMA, Carrera 46 N o. 12 - 30, BOGOTÁ, D.C. 111611, CO</x:t>
        </x:is>
      </x:c>
      <x:c r="I326" s="3" t="inlineStr">
        <x:is>
          <x:t>3</x:t>
        </x:is>
      </x:c>
      <x:c r="J326" s="3" t="inlineStr">
        <x:is>
          <x:t>11</x:t>
        </x:is>
      </x:c>
      <x:c r="K326" s="3" t="inlineStr">
        <x:is>
          <x:t>3. Aceites bronceadores [cosméticos];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limpiadoras impregnadas de productos cosméticos; apitoxina [veneno de abeja melífera] con fines cosméticos; autobronceadores [cosméticos]; barras de labios con protección solar [cosméticos]; bloqueador solar [cosméticos]; colonias, perfumes y productos cosméticos; colorantes de labios [cosméticos]; colorantes labiales [cosméticos]; composiciones para aclarar la piel [cosméticos]; correctores de imperfecciones [productos cosméticos]; cosméticos; cosméticos a base de cannabis; cosméticos a base de hierbas;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tonificantes [cosméticos]; cremas y geles cosméticos para cara, manos y cuerpo; cremas, leches, lociones, geles y polvos cosméticos para la cara, el cuerpo y las manos; endurecedores de uñas [cosméticos]; exfoliantes corporales cosméticos; filtro solar [cosméticos]; geles bronceadores [cosméticos]; geles corporales y faciales [cosméticos]; geles cosméticos; geles hidratantes [cosméticos]; geles para después del sol [productos cosméticos]; geles para el cuerpo [cosméticos]; geles para el cuerpo y la cara [cosméticos]; hidratantes [cosméticos]; hidratantes faciales [cosméticos]; hidratantes para la piel utilizados como cosméticos; jabones cosméticos; leches bronceadoras [cosméticos]; leches para después del sol [productos cosméticos]; limpiadores cosméticos cutáneos; lociones autobronceadoras [cosméticos]; lociones faciales [cosméticos]; lociones hidratantes [cosméticos]; lociones hidratantes para el cuerpo [cosméticos]; polvos cosméticos; preparaciones blanqueadoras para la piel [productos cosméticos]; preparaciones de cuidado facial [cosméticos]; preparaciones de protección solar [productos cosméticos]; preparaciones faciales [cosméticos]; preparaciones hidratantes [cosméticos]; preparaciones para blanquear la piel [cosméticos]; productos cosméticos a base de hierbas; productos cosméticos de cbd; productos cosméticos de baño y ducha; productos cosméticos para uso personal; productos cosméticos y de tocador; productos cosméticos, a saber, lociones; productos de perfumería, aceites esenciales, cosméticos no medicinales, lociones capilares no medicinales; toallas de papel para las manos impregnadas de cosméticos; toallitas desechables impregnadas con preparados cosméticos para bebés; toallitas impregnadas con preparados cosméticos; tónicos cosméticos; tónicos cosméticos para el rostro; tónicos cosméticos para la cara; tónicos faciales [cosméticos].
</x:t>
        </x:is>
      </x:c>
      <x:c r="L326" s="3" t="inlineStr">
        <x:is>
          <x:t>No</x:t>
        </x:is>
      </x:c>
      <x:c r="M326" s="3" t="inlineStr">
        <x:is>
          <x:t/>
        </x:is>
      </x:c>
      <x:c r="N326" s="3" t="inlineStr">
        <x:is>
          <x:t/>
        </x:is>
      </x:c>
      <x:c r="O326" s="3" t="inlineStr">
        <x:is>
          <x:t>08 jul. 2022</x:t>
        </x:is>
      </x:c>
      <x:c r="P326" s="3" t="inlineStr">
        <x:is>
          <x:t/>
        </x:is>
      </x:c>
      <x:c r="Q326" s="3" t="inlineStr">
        <x:is>
          <x:t/>
        </x:is>
      </x:c>
    </x:row>
    <x:row r="327">
      <x:c r="A327" s="10" t="inlineStr">
        <x:f xml:space="preserve">HYPERLINK("http://sipi.sic.gov.co/sipi/View.ashx?4238204","SD2022/0064887")</x:f>
      </x:c>
      <x:c r="B327" s="3" t="inlineStr">
        <x:is>
          <x:t>KAY ACTIGEL</x:t>
        </x:is>
      </x:c>
      <x:c r="C327" s="9" t="inlineStr">
        <x:is>
          <x:t/>
        </x:is>
      </x:c>
      <x:c r="D327" s="3" t="inlineStr">
        <x:is>
          <x:t>28 jun. 2022</x:t>
        </x:is>
      </x:c>
      <x:c r="E327" s="3" t="inlineStr">
        <x:is>
          <x:t/>
        </x:is>
      </x:c>
      <x:c r="F327" s="3" t="inlineStr">
        <x:is>
          <x:t>Negada</x:t>
        </x:is>
      </x:c>
      <x:c r="G327" s="3" t="inlineStr">
        <x:is>
          <x:t>COLO-21390-701-004-4</x:t>
        </x:is>
      </x:c>
      <x:c r="H327" s="3" t="inlineStr">
        <x:is>
          <x:t> Ecolab USA Inc., 1 Ecolab Place St. Paul, Minnesota 55102 , SAINT PAUL, MINNESOTA, US</x:t>
        </x:is>
      </x:c>
      <x:c r="I327" s="3" t="inlineStr">
        <x:is>
          <x:t>3, 5</x:t>
        </x:is>
      </x:c>
      <x:c r="J327" s="3" t="inlineStr">
        <x:is>
          <x:t>11</x:t>
        </x:is>
      </x:c>
      <x:c r="K327" s="3" t="inlineStr">
        <x:is>
          <x:t>3. Preparaciones para limpiar, pulir, fregar y raspar; detergente; jabones; geles no medicinales.
5. Desinfectantes; preparaciones desinfectantes; antisépticos; germicidas; productos antimicrobianos.
</x:t>
        </x:is>
      </x:c>
      <x:c r="L327" s="3" t="inlineStr">
        <x:is>
          <x:t>No</x:t>
        </x:is>
      </x:c>
      <x:c r="M327" s="3" t="inlineStr">
        <x:is>
          <x:t>EDUARDO VARELA PEZZANO, CARRERA 4 NO. 72 - 35, BOGOTÁ, D.C., CO</x:t>
        </x:is>
      </x:c>
      <x:c r="N327" s="3" t="inlineStr">
        <x:is>
          <x:t/>
        </x:is>
      </x:c>
      <x:c r="O327" s="3" t="inlineStr">
        <x:is>
          <x:t>10 jul. 2023</x:t>
        </x:is>
      </x:c>
      <x:c r="P327" s="3" t="inlineStr">
        <x:is>
          <x:t/>
        </x:is>
      </x:c>
      <x:c r="Q327" s="3" t="inlineStr">
        <x:is>
          <x:t/>
        </x:is>
      </x:c>
    </x:row>
    <x:row r="328">
      <x:c r="A328" s="10" t="inlineStr">
        <x:f xml:space="preserve">HYPERLINK("http://sipi.sic.gov.co/sipi/View.ashx?4238884","SD2022/0065103")</x:f>
      </x:c>
      <x:c r="B328" s="3" t="inlineStr">
        <x:is>
          <x:t>skinkare</x:t>
        </x:is>
      </x:c>
      <x:c r="C328" s="9" t="inlineStr">
        <x:is>
          <x:t/>
        </x:is>
      </x:c>
      <x:c r="D328" s="3" t="inlineStr">
        <x:is>
          <x:t>28 jun. 2022</x:t>
        </x:is>
      </x:c>
      <x:c r="E328" s="3" t="inlineStr">
        <x:is>
          <x:t/>
        </x:is>
      </x:c>
      <x:c r="F328" s="3" t="inlineStr">
        <x:is>
          <x:t>Negada</x:t>
        </x:is>
      </x:c>
      <x:c r="G328" s="3" t="inlineStr">
        <x:is>
          <x:t/>
        </x:is>
      </x:c>
      <x:c r="H328" s="3" t="inlineStr">
        <x:is>
          <x:t>karen milena albarracin parada, av 17 #26-30 libertad aguas calientes, CUCUTA, NORTE DE SANTANDER, CO</x:t>
        </x:is>
      </x:c>
      <x:c r="I328" s="3" t="inlineStr">
        <x:is>
          <x:t>3</x:t>
        </x:is>
      </x:c>
      <x:c r="J328" s="3" t="inlineStr">
        <x:is>
          <x:t>11</x:t>
        </x:is>
      </x:c>
      <x:c r="K328" s="3" t="inlineStr">
        <x:is>
          <x:t>3. Jabones no medicinales; productos de perfumería, aceites esenciales, cosméticos no medicinales, lociones capilares no medicinales; dentífricos no medicinales.
</x:t>
        </x:is>
      </x:c>
      <x:c r="L328" s="3" t="inlineStr">
        <x:is>
          <x:t>No</x:t>
        </x:is>
      </x:c>
      <x:c r="M328" s="3" t="inlineStr">
        <x:is>
          <x:t/>
        </x:is>
      </x:c>
      <x:c r="N328" s="3" t="inlineStr">
        <x:is>
          <x:t/>
        </x:is>
      </x:c>
      <x:c r="O328" s="3" t="inlineStr">
        <x:is>
          <x:t>09 sept. 2022</x:t>
        </x:is>
      </x:c>
      <x:c r="P328" s="3" t="inlineStr">
        <x:is>
          <x:t/>
        </x:is>
      </x:c>
      <x:c r="Q328" s="3" t="inlineStr">
        <x:is>
          <x:t/>
        </x:is>
      </x:c>
    </x:row>
    <x:row r="329">
      <x:c r="A329" s="10" t="inlineStr">
        <x:f xml:space="preserve">HYPERLINK("http://sipi.sic.gov.co/sipi/View.ashx?4239973","SD2022/0066877")</x:f>
      </x:c>
      <x:c r="B329" s="3" t="inlineStr">
        <x:is>
          <x:t>THE LAB UNIQUE FRAGRANCES</x:t>
        </x:is>
      </x:c>
      <x:c r="C329" s="9" t="inlineStr">
        <x:is>
          <x:t/>
        </x:is>
      </x:c>
      <x:c r="D329" s="3" t="inlineStr">
        <x:is>
          <x:t>05 jul. 2022</x:t>
        </x:is>
      </x:c>
      <x:c r="E329" s="3" t="inlineStr">
        <x:is>
          <x:t/>
        </x:is>
      </x:c>
      <x:c r="F329" s="3" t="inlineStr">
        <x:is>
          <x:t>Negada</x:t>
        </x:is>
      </x:c>
      <x:c r="G329" s="3" t="inlineStr">
        <x:is>
          <x:t>The Lab Perfumes</x:t>
        </x:is>
      </x:c>
      <x:c r="H329" s="3" t="inlineStr">
        <x:is>
          <x:t>Mario Elkyn Galindo Polania , Calle 5b1 #37A-08, CALI, VALLE DEL CAUCA 760042, CO</x:t>
        </x:is>
      </x:c>
      <x:c r="I329" s="3" t="inlineStr">
        <x:is>
          <x:t>3</x:t>
        </x:is>
      </x:c>
      <x:c r="J329" s="3" t="inlineStr">
        <x:is>
          <x:t>11</x:t>
        </x:is>
      </x:c>
      <x:c r="K329" s="3" t="inlineStr">
        <x:is>
          <x:t>3. Colonias, perfumes y productos cosméticos; aceites para el cuerpo de uso cosmético; cosméticos en forma de cremas; productos cosméticos en forma de cremas; cremas bálsamos de belleza; cremas corporales; cremas corporales [cosméticos]; cremas cosmética para el cuerpo; cremas cosméticas para la piel; cremas de afeitar; cremas desmaquillantes; cremas para después del afeitado; cremas para la piel de uso cosmético; cremas perfumadas; cremas perfumadas para el cuerpo; cremas y geles cosméticos para rostro, manos y cuerpo; cremas y lociones cosméticas; cremas y lociones cosméticas para el cuidado de la cara y el cuerpo; cremas y lociones cosméticas para el cuidado del rostro y el cuerpo; lociones y cremas corporales perfumadas; cremas, aceites, lociones, aerosoles, lápices y bálsamos para uso cosmético; cremas, leches, lociones, geles y polvos cosméticos para la cara, el cuerpo y las manos; emulsiones, geles y lociones para el cuidado de la piel; lociones de belleza; lociones de baño para uso cosmético; lociones no medicinales para la piel; lociones para el rostro y el cuerpo; lociones para la piel; lociones perfumadas [preparaciones de tocador]; lociones perfumadas para el cuerpo; lociones, cremas y aceites de aplicación tópica para la piel y el cuerpo, de uso cosmético; productos cosméticos, a saber, leches, lociones y emulsiones; productos cosméticos, a saber, lociones; productos de perfumería, aceites esenciales, cosméticos no medicinales, lociones capilares no medicinales; preparaciones de maquillaje para el rostro y el cuerpo; productos de jabón; desodorantes corporales [perfumería]; desodorantes corporales [productos de perfumería]; agua de perfume; eau de parfum [agua de perfume]; aromas [aceites esenciales]; aceites esenciales; productos de perfumería, aceites esenciales; cremas, lociones y geles hidratantes; geles corporales y faciales [cosméticos]; jabón de baño.
</x:t>
        </x:is>
      </x:c>
      <x:c r="L329" s="3" t="inlineStr">
        <x:is>
          <x:t>No</x:t>
        </x:is>
      </x:c>
      <x:c r="M329" s="3" t="inlineStr">
        <x:is>
          <x:t>Catalina Palacio Gutierrez, CALLE36AA # 26A 30, ENVIGADO, ANTIOQUIA, CO</x:t>
        </x:is>
      </x:c>
      <x:c r="N329" s="3" t="inlineStr">
        <x:is>
          <x:t/>
        </x:is>
      </x:c>
      <x:c r="O329" s="3" t="inlineStr">
        <x:is>
          <x:t>11 oct. 2022</x:t>
        </x:is>
      </x:c>
      <x:c r="P329" s="3" t="inlineStr">
        <x:is>
          <x:t/>
        </x:is>
      </x:c>
      <x:c r="Q329" s="3" t="inlineStr">
        <x:is>
          <x:t/>
        </x:is>
      </x:c>
    </x:row>
    <x:row r="330">
      <x:c r="A330" s="10" t="inlineStr">
        <x:f xml:space="preserve">HYPERLINK("http://sipi.sic.gov.co/sipi/View.ashx?4240208","SD2022/0065472")</x:f>
      </x:c>
      <x:c r="B330" s="3" t="inlineStr">
        <x:is>
          <x:t>blosh</x:t>
        </x:is>
      </x:c>
      <x:c r="C330" s="9" t="inlineStr">
        <x:is>
          <x:t/>
        </x:is>
      </x:c>
      <x:c r="D330" s="3" t="inlineStr">
        <x:is>
          <x:t>29 jun. 2022</x:t>
        </x:is>
      </x:c>
      <x:c r="E330" s="3" t="inlineStr">
        <x:is>
          <x:t/>
        </x:is>
      </x:c>
      <x:c r="F330" s="3" t="inlineStr">
        <x:is>
          <x:t>Negada</x:t>
        </x:is>
      </x:c>
      <x:c r="G330" s="3" t="inlineStr">
        <x:is>
          <x:t>901556130</x:t>
        </x:is>
      </x:c>
      <x:c r="H330" s="3" t="inlineStr">
        <x:is>
          <x:t>juan david  velasco portilla, calle 34 # 66b 81, MEDELLIN, ANTIOQUIA 050031, CO</x:t>
        </x:is>
      </x:c>
      <x:c r="I330" s="3" t="inlineStr">
        <x:is>
          <x:t>3, 35, 44</x:t>
        </x:is>
      </x:c>
      <x:c r="J330" s="3" t="inlineStr">
        <x:is>
          <x:t>11</x:t>
        </x:is>
      </x:c>
      <x:c r="K330" s="3" t="inlineStr">
        <x:is>
          <x:t>3. Productos cosméticos para el cabello y el cuero cabelludo.
35. Servicios de publicidad online; servicios de venta minorista en línea de productos cosméticos y de belleza, así como de prendas de vestir y complementos.
44. Servicios de tratamientos de salud y de belleza prestados por saunas, salones de belleza, sanatorios, peluquerías y salones de masajes.
</x:t>
        </x:is>
      </x:c>
      <x:c r="L330" s="3" t="inlineStr">
        <x:is>
          <x:t>Sí</x:t>
        </x:is>
      </x:c>
      <x:c r="M330" s="3" t="inlineStr">
        <x:is>
          <x:t>Mauricio Castro Orjuela, Avenida Carrera 19 # 95 - 20, BOGOTA, CUNDINAMARCA 00000, CO</x:t>
        </x:is>
      </x:c>
      <x:c r="N330" s="3" t="inlineStr">
        <x:is>
          <x:t/>
        </x:is>
      </x:c>
      <x:c r="O330" s="3" t="inlineStr">
        <x:is>
          <x:t>08 nov. 2022</x:t>
        </x:is>
      </x:c>
      <x:c r="P330" s="3" t="inlineStr">
        <x:is>
          <x:t/>
        </x:is>
      </x:c>
      <x:c r="Q330" s="3" t="inlineStr">
        <x:is>
          <x:t/>
        </x:is>
      </x:c>
    </x:row>
    <x:row r="331">
      <x:c r="A331" s="10" t="inlineStr">
        <x:f xml:space="preserve">HYPERLINK("http://sipi.sic.gov.co/sipi/View.ashx?4240505","SD2022/0065523")</x:f>
      </x:c>
      <x:c r="B331" s="3" t="inlineStr">
        <x:is>
          <x:t>Camomila Intea desde 1915</x:t>
        </x:is>
      </x:c>
      <x:c r="C331" s="9" t="inlineStr">
        <x:is>
          <x:t/>
        </x:is>
      </x:c>
      <x:c r="D331" s="3" t="inlineStr">
        <x:is>
          <x:t>29 jun. 2022</x:t>
        </x:is>
      </x:c>
      <x:c r="E331" s="3" t="inlineStr">
        <x:is>
          <x:t/>
        </x:is>
      </x:c>
      <x:c r="F331" s="3" t="inlineStr">
        <x:is>
          <x:t>Negada</x:t>
        </x:is>
      </x:c>
      <x:c r="G331" s="3" t="inlineStr">
        <x:is>
          <x:t/>
        </x:is>
      </x:c>
      <x:c r="H331" s="3" t="inlineStr">
        <x:is>
          <x:t> Duarte y Beltrán S.A., C/ LA PRENSA N1,, SANTANDER, CANTABRIA, ES</x:t>
        </x:is>
      </x:c>
      <x:c r="I331" s="3" t="inlineStr">
        <x:is>
          <x:t>3</x:t>
        </x:is>
      </x:c>
      <x:c r="J331" s="3" t="inlineStr">
        <x:is>
          <x:t>11</x:t>
        </x:is>
      </x:c>
      <x:c r="K331" s="3" t="inlineStr">
        <x:is>
          <x:t>3. Lociones capilares cosméticas; Champús; Cremas acondicionadoras; Cremas para el cabello; Productos decolorantes para el cabello; Lociones para el cabello; Spray para el cabello.
</x:t>
        </x:is>
      </x:c>
      <x:c r="L331" s="3" t="inlineStr">
        <x:is>
          <x:t>No</x:t>
        </x:is>
      </x:c>
      <x:c r="M331" s="3" t="inlineStr">
        <x:is>
          <x:t>DIEGO FERNANDO HERNANDEZ QUINTERO , CALLE+13+NO.8-23+OF.+318, BOGOTÁ, D.C., CO</x:t>
        </x:is>
      </x:c>
      <x:c r="N331" s="3" t="inlineStr">
        <x:is>
          <x:t/>
        </x:is>
      </x:c>
      <x:c r="O331" s="3" t="inlineStr">
        <x:is>
          <x:t>31 oct. 2022</x:t>
        </x:is>
      </x:c>
      <x:c r="P331" s="3" t="inlineStr">
        <x:is>
          <x:t/>
        </x:is>
      </x:c>
      <x:c r="Q331" s="3" t="inlineStr">
        <x:is>
          <x:t/>
        </x:is>
      </x:c>
    </x:row>
    <x:row r="332">
      <x:c r="A332" s="10" t="inlineStr">
        <x:f xml:space="preserve">HYPERLINK("http://sipi.sic.gov.co/sipi/View.ashx?4241569","SD2022/0065886")</x:f>
      </x:c>
      <x:c r="B332" s="3" t="inlineStr">
        <x:is>
          <x:t>KAI&gt;ICHI</x:t>
        </x:is>
      </x:c>
      <x:c r="C332" s="9" t="inlineStr">
        <x:is>
          <x:t/>
        </x:is>
      </x:c>
      <x:c r="D332" s="3" t="inlineStr">
        <x:is>
          <x:t>14 jul. 2022</x:t>
        </x:is>
      </x:c>
      <x:c r="E332" s="3" t="inlineStr">
        <x:is>
          <x:t/>
        </x:is>
      </x:c>
      <x:c r="F332" s="3" t="inlineStr">
        <x:is>
          <x:t>Negada</x:t>
        </x:is>
      </x:c>
      <x:c r="G332" s="3" t="inlineStr">
        <x:is>
          <x:t>kaichi</x:t>
        </x:is>
      </x:c>
      <x:c r="H332" s="3" t="inlineStr">
        <x:is>
          <x:t>CARLOS BERNAL RAMOS, Calle 3 # 8 -16, MANAURE, GUAJIRA, CO</x:t>
        </x:is>
      </x:c>
      <x:c r="I332" s="3" t="inlineStr">
        <x:is>
          <x:t>3</x:t>
        </x:is>
      </x:c>
      <x:c r="J332" s="3" t="inlineStr">
        <x:is>
          <x:t>11</x:t>
        </x:is>
      </x:c>
      <x:c r="K332"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cremas exfoliantes; cremas exfoliantes para uso cosmético; cremas no medicadas para exfoliantes faciales; exfoliantes; exfoliantes [preparaciones cosméticas].
</x:t>
        </x:is>
      </x:c>
      <x:c r="L332" s="3" t="inlineStr">
        <x:is>
          <x:t>No</x:t>
        </x:is>
      </x:c>
      <x:c r="M332" s="3" t="inlineStr">
        <x:is>
          <x:t/>
        </x:is>
      </x:c>
      <x:c r="N332" s="3" t="inlineStr">
        <x:is>
          <x:t/>
        </x:is>
      </x:c>
      <x:c r="O332" s="3" t="inlineStr">
        <x:is>
          <x:t>09 dic. 2022</x:t>
        </x:is>
      </x:c>
      <x:c r="P332" s="3" t="inlineStr">
        <x:is>
          <x:t/>
        </x:is>
      </x:c>
      <x:c r="Q332" s="3" t="inlineStr">
        <x:is>
          <x:t/>
        </x:is>
      </x:c>
    </x:row>
    <x:row r="333">
      <x:c r="A333" s="10" t="inlineStr">
        <x:f xml:space="preserve">HYPERLINK("http://sipi.sic.gov.co/sipi/View.ashx?4243919","SD2022/0066554")</x:f>
      </x:c>
      <x:c r="B333" s="3" t="inlineStr">
        <x:is>
          <x:t>¡DE-UNA!</x:t>
        </x:is>
      </x:c>
      <x:c r="C333" s="9" t="inlineStr">
        <x:is>
          <x:t/>
        </x:is>
      </x:c>
      <x:c r="D333" s="3" t="inlineStr">
        <x:is>
          <x:t>01 jul. 2022</x:t>
        </x:is>
      </x:c>
      <x:c r="E333" s="3" t="inlineStr">
        <x:is>
          <x:t/>
        </x:is>
      </x:c>
      <x:c r="F333" s="3" t="inlineStr">
        <x:is>
          <x:t>Negada</x:t>
        </x:is>
      </x:c>
      <x:c r="G333" s="3" t="inlineStr">
        <x:is>
          <x:t/>
        </x:is>
      </x:c>
      <x:c r="H333" s="3" t="inlineStr">
        <x:is>
          <x:t> MEXITEX S.A.S., calle 7 sur # 51a 21, MEDELLIN,, ANTIOQUIA, CO</x:t>
        </x:is>
      </x:c>
      <x:c r="I333" s="3" t="inlineStr">
        <x:is>
          <x:t>3</x:t>
        </x:is>
      </x:c>
      <x:c r="J333" s="3" t="inlineStr">
        <x:is>
          <x:t>11</x:t>
        </x:is>
      </x:c>
      <x:c r="K333" s="3" t="inlineStr">
        <x:is>
          <x:t>3. Aceites para después del sol [productos cosméticos]; colonias, perfumes y productos cosméticos; preparaciones de protección solar [productos cosméticos]; productos cosméticos para el cuidado de la piel; productos cosméticos para la piel; productos cosméticos para uso personal; productos cosméticos y de belleza; productos cosméticos y de maquillaje; productos cosméticos y de tocador; productos cosméticos, a saber, lociones.
</x:t>
        </x:is>
      </x:c>
      <x:c r="L333" s="3" t="inlineStr">
        <x:is>
          <x:t>Sí</x:t>
        </x:is>
      </x:c>
      <x:c r="M333" s="3" t="inlineStr">
        <x:is>
          <x:t>CLEMENCIA DELGADO VILLEGAS, Avenida Carrera  24 # 37-31 Oficina 202, BOGOTÁ, D.C., CO</x:t>
        </x:is>
      </x:c>
      <x:c r="N333" s="3" t="inlineStr">
        <x:is>
          <x:t/>
        </x:is>
      </x:c>
      <x:c r="O333" s="3" t="inlineStr">
        <x:is>
          <x:t>20 sept. 2022</x:t>
        </x:is>
      </x:c>
      <x:c r="P333" s="3" t="inlineStr">
        <x:is>
          <x:t/>
        </x:is>
      </x:c>
      <x:c r="Q333" s="3" t="inlineStr">
        <x:is>
          <x:t/>
        </x:is>
      </x:c>
    </x:row>
    <x:row r="334">
      <x:c r="A334" s="10" t="inlineStr">
        <x:f xml:space="preserve">HYPERLINK("http://sipi.sic.gov.co/sipi/View.ashx?4244042","SD2022/0067786")</x:f>
      </x:c>
      <x:c r="B334" s="3" t="inlineStr">
        <x:is>
          <x:t>MANU</x:t>
        </x:is>
      </x:c>
      <x:c r="C334" s="9" t="inlineStr">
        <x:is>
          <x:t/>
        </x:is>
      </x:c>
      <x:c r="D334" s="3" t="inlineStr">
        <x:is>
          <x:t>06 jul. 2022</x:t>
        </x:is>
      </x:c>
      <x:c r="E334" s="3" t="inlineStr">
        <x:is>
          <x:t/>
        </x:is>
      </x:c>
      <x:c r="F334" s="3" t="inlineStr">
        <x:is>
          <x:t>Negada</x:t>
        </x:is>
      </x:c>
      <x:c r="G334" s="3" t="inlineStr">
        <x:is>
          <x:t>Solicitud Manu</x:t>
        </x:is>
      </x:c>
      <x:c r="H334" s="3" t="inlineStr">
        <x:is>
          <x:t>Manuela  Medina Sánchez , av universitaria #35-142 apt 1010 edificio vivente , TUTA, BOYACA 150003, CO</x:t>
        </x:is>
      </x:c>
      <x:c r="I334" s="3" t="inlineStr">
        <x:is>
          <x:t>3</x:t>
        </x:is>
      </x:c>
      <x:c r="J334" s="3" t="inlineStr">
        <x:is>
          <x:t>11</x:t>
        </x:is>
      </x:c>
      <x:c r="K334" s="3" t="inlineStr">
        <x:is>
          <x:t>3. Champús capilares; cremas capilares; cremas de protección capilar, no medicinales; geles capilares; ceras para el cuidado del cabello; jabones para el cuidado del cuerpo; mascarillas para el cuidado capilar; mascarillas para el cuidado del cabello.
</x:t>
        </x:is>
      </x:c>
      <x:c r="L334" s="3" t="inlineStr">
        <x:is>
          <x:t>No</x:t>
        </x:is>
      </x:c>
      <x:c r="M334" s="3" t="inlineStr">
        <x:is>
          <x:t>JUAN MANUEL SERRANO CASTILLO, Calle 27 # 5 A 12, BOGOTÁ, D.C., CO</x:t>
        </x:is>
      </x:c>
      <x:c r="N334" s="3" t="inlineStr">
        <x:is>
          <x:t/>
        </x:is>
      </x:c>
      <x:c r="O334" s="3" t="inlineStr">
        <x:is>
          <x:t>08 jul. 2022</x:t>
        </x:is>
      </x:c>
      <x:c r="P334" s="3" t="inlineStr">
        <x:is>
          <x:t/>
        </x:is>
      </x:c>
      <x:c r="Q334" s="3" t="inlineStr">
        <x:is>
          <x:t/>
        </x:is>
      </x:c>
    </x:row>
    <x:row r="335">
      <x:c r="A335" s="10" t="inlineStr">
        <x:f xml:space="preserve">HYPERLINK("http://sipi.sic.gov.co/sipi/View.ashx?4244447","SD2022/0066692")</x:f>
      </x:c>
      <x:c r="B335" s="3" t="inlineStr">
        <x:is>
          <x:t>KAY </x:t>
        </x:is>
      </x:c>
      <x:c r="C335" s="9" t="inlineStr">
        <x:is>
          <x:t/>
        </x:is>
      </x:c>
      <x:c r="D335" s="3" t="inlineStr">
        <x:is>
          <x:t>01 jul. 2022</x:t>
        </x:is>
      </x:c>
      <x:c r="E335" s="3" t="inlineStr">
        <x:is>
          <x:t/>
        </x:is>
      </x:c>
      <x:c r="F335" s="3" t="inlineStr">
        <x:is>
          <x:t>Negada</x:t>
        </x:is>
      </x:c>
      <x:c r="G335" s="3" t="inlineStr">
        <x:is>
          <x:t>COLO-21390-701-005-1</x:t>
        </x:is>
      </x:c>
      <x:c r="H335" s="3" t="inlineStr">
        <x:is>
          <x:t> Ecolab USA Inc., 1 Ecolab Place St. Paul, Minnesota 55102 , SAINT PAUL, MINNESOTA, US</x:t>
        </x:is>
      </x:c>
      <x:c r="I335" s="3" t="inlineStr">
        <x:is>
          <x:t>3, 5</x:t>
        </x:is>
      </x:c>
      <x:c r="J335" s="3" t="inlineStr">
        <x:is>
          <x:t>11</x:t>
        </x:is>
      </x:c>
      <x:c r="K335" s="3" t="inlineStr">
        <x:is>
          <x:t>3. Productos blanqueadores y otras sustancias para lavar la ropa; preparaciones para limpiar, pulir, fregar y raspar; productos desengrasantes; quitamanchas; detergentes; detergentes para lavar los platos; detergente para baños; productos desoxidantes; detergente para alfombras; limpiadores de hornos; polvo descontaminante; paños de limpieza impregnados con detergente; preparaciones para limpiar pisos; lavado de piso; soluciones decapantes; encáusticos.
5. Desinfectantes; desinfectantes y preparaciones higienizantes; toallitas desinfectantes; antisépticos; germicidas; fungicidas; desinfectantes para uso higiénico; desinfectantes y productos antimicrobianos; desodorantes de ambiente; productos para purificar el aire; bactericidas; preparaciones de desodorización para alfombras; ambientadores.
</x:t>
        </x:is>
      </x:c>
      <x:c r="L335" s="3" t="inlineStr">
        <x:is>
          <x:t>No</x:t>
        </x:is>
      </x:c>
      <x:c r="M335" s="3" t="inlineStr">
        <x:is>
          <x:t>EDUARDO VARELA PEZZANO, CARRERA 4 NO. 72 - 35, BOGOTÁ, D.C., CO</x:t>
        </x:is>
      </x:c>
      <x:c r="N335" s="3" t="inlineStr">
        <x:is>
          <x:t/>
        </x:is>
      </x:c>
      <x:c r="O335" s="3" t="inlineStr">
        <x:is>
          <x:t>30 ago. 2022</x:t>
        </x:is>
      </x:c>
      <x:c r="P335" s="3" t="inlineStr">
        <x:is>
          <x:t/>
        </x:is>
      </x:c>
      <x:c r="Q335" s="3" t="inlineStr">
        <x:is>
          <x:t/>
        </x:is>
      </x:c>
    </x:row>
    <x:row r="336">
      <x:c r="A336" s="10" t="inlineStr">
        <x:f xml:space="preserve">HYPERLINK("http://sipi.sic.gov.co/sipi/View.ashx?4244935","SD2022/0067830")</x:f>
      </x:c>
      <x:c r="B336" s="3" t="inlineStr">
        <x:is>
          <x:t>MAGNUM PROTONIC</x:t>
        </x:is>
      </x:c>
      <x:c r="C336" s="9" t="inlineStr">
        <x:is>
          <x:t/>
        </x:is>
      </x:c>
      <x:c r="D336" s="3" t="inlineStr">
        <x:is>
          <x:t>06 jul. 2022</x:t>
        </x:is>
      </x:c>
      <x:c r="E336" s="3" t="inlineStr">
        <x:is>
          <x:t/>
        </x:is>
      </x:c>
      <x:c r="F336" s="3" t="inlineStr">
        <x:is>
          <x:t>Negada</x:t>
        </x:is>
      </x:c>
      <x:c r="G336" s="3" t="inlineStr">
        <x:is>
          <x:t/>
        </x:is>
      </x:c>
      <x:c r="H336" s="3" t="inlineStr">
        <x:is>
          <x:t>WILLIAM JOSE  GAVIRIA ANGULO, CRA 64 # 96A - 340, MEDELLIN, ANTIOQUIA, CO</x:t>
        </x:is>
      </x:c>
      <x:c r="I336" s="3" t="inlineStr">
        <x:is>
          <x:t>3</x:t>
        </x:is>
      </x:c>
      <x:c r="J336" s="3" t="inlineStr">
        <x:is>
          <x:t>11</x:t>
        </x:is>
      </x:c>
      <x:c r="K336" s="3" t="inlineStr">
        <x:is>
          <x:t>3. Bálsamos capilares; champús capilares; cremas capilares; fijadores capilares; geles capilares; lociones capilares*; mascarillas para el cuidado capilar; preparaciones de tintes capilares; preparaciones para tratamientos capilares; aceites para el cabello; acondicionadores para el cabello; cera para el cabello; champús para el cabello; champús y acondicionadores para el cabello; cosméticos para el cabello; crema para peinar el cabello; cremas de protección para el cabello; enjuagues para el cabello; espumas para el cabello; fijadores para el cabello; geles, aerosoles, espumas y bálsamos para peinar y cuidar el cabello; hidratantes para el cabello; lociones para el cabello; mascarillas para el cabello y el cuero cabelludo; preparaciones cosméticas para el cabello y el cuero cabelludo; preparaciones para el cuidado del cuero cabelludo y del cabello; preparaciones para limpiar, cuidar y arreglar el cabello; productos de enjuague para el cabello; hidratantes para el cabello; suavizantes para el cabello; tonificantes para el cabello; tratamientos de alisado para el cabello; tratamientos de cera para el cabello; tratamientos de queratina para el cabello.
</x:t>
        </x:is>
      </x:c>
      <x:c r="L336" s="3" t="inlineStr">
        <x:is>
          <x:t>No</x:t>
        </x:is>
      </x:c>
      <x:c r="M336" s="3" t="inlineStr">
        <x:is>
          <x:t>Libardo  Quintero Salazar, Carrera 48 nro 50a 06 apto 501, SANTUARIO, ANTIOQUIA, CO</x:t>
        </x:is>
      </x:c>
      <x:c r="N336" s="3" t="inlineStr">
        <x:is>
          <x:t/>
        </x:is>
      </x:c>
      <x:c r="O336" s="3" t="inlineStr">
        <x:is>
          <x:t>09 sept. 2022</x:t>
        </x:is>
      </x:c>
      <x:c r="P336" s="3" t="inlineStr">
        <x:is>
          <x:t/>
        </x:is>
      </x:c>
      <x:c r="Q336" s="3" t="inlineStr">
        <x:is>
          <x:t/>
        </x:is>
      </x:c>
    </x:row>
    <x:row r="337">
      <x:c r="A337" s="10" t="inlineStr">
        <x:f xml:space="preserve">HYPERLINK("http://sipi.sic.gov.co/sipi/View.ashx?4247079","SD2022/0067689")</x:f>
      </x:c>
      <x:c r="B337" s="3" t="inlineStr">
        <x:is>
          <x:t>Bioletta Cosmética Viva</x:t>
        </x:is>
      </x:c>
      <x:c r="C337" s="9" t="inlineStr">
        <x:is>
          <x:t/>
        </x:is>
      </x:c>
      <x:c r="D337" s="3" t="inlineStr">
        <x:is>
          <x:t>06 jul. 2022</x:t>
        </x:is>
      </x:c>
      <x:c r="E337" s="3" t="inlineStr">
        <x:is>
          <x:t/>
        </x:is>
      </x:c>
      <x:c r="F337" s="3" t="inlineStr">
        <x:is>
          <x:t>Negada</x:t>
        </x:is>
      </x:c>
      <x:c r="G337" s="3" t="inlineStr">
        <x:is>
          <x:t>Bioletta</x:t>
        </x:is>
      </x:c>
      <x:c r="H337" s="3" t="inlineStr">
        <x:is>
          <x:t>Kelly Natalia Patiño Aponte , calle 57 r bis sur No. 77b-10, BOGOTÁ, D.C. 111921, CO</x:t>
        </x:is>
      </x:c>
      <x:c r="I337" s="3" t="inlineStr">
        <x:is>
          <x:t>3</x:t>
        </x:is>
      </x:c>
      <x:c r="J337" s="3" t="inlineStr">
        <x:is>
          <x:t>11</x:t>
        </x:is>
      </x:c>
      <x:c r="K337" s="3" t="inlineStr">
        <x:is>
          <x:t>3. Aceite de coco para uso cosmético; aceite de lavanda para uso cosmético; aceite de ricino para uso cosmético; aceite de rosas para uso cosmético; aceites cosméticos; aceites para uso cosmético, productos capilares, shampoo, productos higiene diaria, jabones, aceites de uso cosmetico externo, higiene bucal, higiene zona intima externa.
</x:t>
        </x:is>
      </x:c>
      <x:c r="L337" s="3" t="inlineStr">
        <x:is>
          <x:t>No</x:t>
        </x:is>
      </x:c>
      <x:c r="M337" s="3" t="inlineStr">
        <x:is>
          <x:t/>
        </x:is>
      </x:c>
      <x:c r="N337" s="3" t="inlineStr">
        <x:is>
          <x:t/>
        </x:is>
      </x:c>
      <x:c r="O337" s="3" t="inlineStr">
        <x:is>
          <x:t>08 nov. 2022</x:t>
        </x:is>
      </x:c>
      <x:c r="P337" s="3" t="inlineStr">
        <x:is>
          <x:t/>
        </x:is>
      </x:c>
      <x:c r="Q337" s="3" t="inlineStr">
        <x:is>
          <x:t/>
        </x:is>
      </x:c>
    </x:row>
    <x:row r="338">
      <x:c r="A338" s="10" t="inlineStr">
        <x:f xml:space="preserve">HYPERLINK("http://sipi.sic.gov.co/sipi/View.ashx?4247468","SD2022/0067573")</x:f>
      </x:c>
      <x:c r="B338" s="3" t="inlineStr">
        <x:is>
          <x:t>e evoquer</x:t>
        </x:is>
      </x:c>
      <x:c r="C338" s="9" t="inlineStr">
        <x:is>
          <x:t/>
        </x:is>
      </x:c>
      <x:c r="D338" s="3" t="inlineStr">
        <x:is>
          <x:t>06 jul. 2022</x:t>
        </x:is>
      </x:c>
      <x:c r="E338" s="3" t="inlineStr">
        <x:is>
          <x:t/>
        </x:is>
      </x:c>
      <x:c r="F338" s="3" t="inlineStr">
        <x:is>
          <x:t>Negada</x:t>
        </x:is>
      </x:c>
      <x:c r="G338" s="3" t="inlineStr">
        <x:is>
          <x:t>EVOQUER</x:t>
        </x:is>
      </x:c>
      <x:c r="H338" s="3" t="inlineStr">
        <x:is>
          <x:t>VELIZA IVIS  OROZCO DE LA HOZ, Carrera 51 # 84-184 torre A apto 304 torres de Calabría, BARRANQUILLA, ATLÁNTICO, CO</x:t>
        </x:is>
      </x:c>
      <x:c r="I338" s="3" t="inlineStr">
        <x:is>
          <x:t>3</x:t>
        </x:is>
      </x:c>
      <x:c r="J338" s="3" t="inlineStr">
        <x:is>
          <x:t>11</x:t>
        </x:is>
      </x:c>
      <x:c r="K338" s="3" t="inlineStr">
        <x:is>
          <x:t>3. Aceites esenciales; aceites esenciales aromáticos.
</x:t>
        </x:is>
      </x:c>
      <x:c r="L338" s="3" t="inlineStr">
        <x:is>
          <x:t>No</x:t>
        </x:is>
      </x:c>
      <x:c r="M338" s="3" t="inlineStr">
        <x:is>
          <x:t/>
        </x:is>
      </x:c>
      <x:c r="N338" s="3" t="inlineStr">
        <x:is>
          <x:t/>
        </x:is>
      </x:c>
      <x:c r="O338" s="3" t="inlineStr">
        <x:is>
          <x:t>30 dic. 2022</x:t>
        </x:is>
      </x:c>
      <x:c r="P338" s="3" t="inlineStr">
        <x:is>
          <x:t/>
        </x:is>
      </x:c>
      <x:c r="Q338" s="3" t="inlineStr">
        <x:is>
          <x:t/>
        </x:is>
      </x:c>
    </x:row>
    <x:row r="339">
      <x:c r="A339" s="10" t="inlineStr">
        <x:f xml:space="preserve">HYPERLINK("http://sipi.sic.gov.co/sipi/View.ashx?4248727","SD2022/0067660")</x:f>
      </x:c>
      <x:c r="B339" s="3" t="inlineStr">
        <x:is>
          <x:t>GLAMIC BEAUTY</x:t>
        </x:is>
      </x:c>
      <x:c r="C339" s="9" t="inlineStr">
        <x:is>
          <x:t/>
        </x:is>
      </x:c>
      <x:c r="D339" s="3" t="inlineStr">
        <x:is>
          <x:t>06 jul. 2022</x:t>
        </x:is>
      </x:c>
      <x:c r="E339" s="3" t="inlineStr">
        <x:is>
          <x:t/>
        </x:is>
      </x:c>
      <x:c r="F339" s="3" t="inlineStr">
        <x:is>
          <x:t>Negada</x:t>
        </x:is>
      </x:c>
      <x:c r="G339" s="3" t="inlineStr">
        <x:is>
          <x:t>F716</x:t>
        </x:is>
      </x:c>
      <x:c r="H339" s="3" t="inlineStr">
        <x:is>
          <x:t>ALEJANDRA  MONTUFAR GARCES, Calle 11 # 124 – 176, CALI, VALLE DEL CAUCA, CO</x:t>
        </x:is>
      </x:c>
      <x:c r="I339" s="3" t="inlineStr">
        <x:is>
          <x:t>3</x:t>
        </x:is>
      </x:c>
      <x:c r="J339" s="3" t="inlineStr">
        <x:is>
          <x:t>11</x:t>
        </x:is>
      </x:c>
      <x:c r="K339" s="3" t="inlineStr">
        <x:is>
          <x:t>3. Cosméticos, Jabones, productos de perfumería, aceites esenciales, champú, acondicionadores, mascarillas cosméticas, lociones capilares cosméticas; cremas para el cuerpo y la cara, cremas para masajes corporales y faciales, tónicos y limpiadores faciales, emulsiones corporales y faciales, lociones, esmaltes para uñas, tratamientos cosméticos para fortalecer las uñas, preparaciones para tratamientos capilares.
</x:t>
        </x:is>
      </x:c>
      <x:c r="L339" s="3" t="inlineStr">
        <x:is>
          <x:t>No</x:t>
        </x:is>
      </x:c>
      <x:c r="M339" s="3" t="inlineStr">
        <x:is>
          <x:t>MARTHA AMPARO FONSECA FIERRO, CRA 7 No. 17-01 Oficina 435, BOGOTÁ, D.C., CO</x:t>
        </x:is>
      </x:c>
      <x:c r="N339" s="3" t="inlineStr">
        <x:is>
          <x:t/>
        </x:is>
      </x:c>
      <x:c r="O339" s="3" t="inlineStr">
        <x:is>
          <x:t>09 ago. 2022</x:t>
        </x:is>
      </x:c>
      <x:c r="P339" s="3" t="inlineStr">
        <x:is>
          <x:t/>
        </x:is>
      </x:c>
      <x:c r="Q339" s="3" t="inlineStr">
        <x:is>
          <x:t/>
        </x:is>
      </x:c>
    </x:row>
    <x:row r="340">
      <x:c r="A340" s="10" t="inlineStr">
        <x:f xml:space="preserve">HYPERLINK("http://sipi.sic.gov.co/sipi/View.ashx?4250949","SD2022/0068251")</x:f>
      </x:c>
      <x:c r="B340" s="3" t="inlineStr">
        <x:is>
          <x:t>GREEN LINE COSMETICS</x:t>
        </x:is>
      </x:c>
      <x:c r="C340" s="9" t="inlineStr">
        <x:is>
          <x:t/>
        </x:is>
      </x:c>
      <x:c r="D340" s="3" t="inlineStr">
        <x:is>
          <x:t>07 jul. 2022</x:t>
        </x:is>
      </x:c>
      <x:c r="E340" s="3" t="inlineStr">
        <x:is>
          <x:t/>
        </x:is>
      </x:c>
      <x:c r="F340" s="3" t="inlineStr">
        <x:is>
          <x:t>Negada</x:t>
        </x:is>
      </x:c>
      <x:c r="G340" s="3" t="inlineStr">
        <x:is>
          <x:t/>
        </x:is>
      </x:c>
      <x:c r="H340" s="3" t="inlineStr">
        <x:is>
          <x:t> GREEN LINE COSMETICS SAS , AVENIDA CALLE 127 # 16A - 76 OFICINA 305 , BOGOTÁ, D.C., CO</x:t>
        </x:is>
      </x:c>
      <x:c r="I340" s="3" t="inlineStr">
        <x:is>
          <x:t>3, 44</x:t>
        </x:is>
      </x:c>
      <x:c r="J340" s="3" t="inlineStr">
        <x:is>
          <x:t>11</x:t>
        </x:is>
      </x:c>
      <x:c r="K340"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44. Servicios médicos; servicios veterinarios; tratamientos de higiene y de belleza para personas o animales; servicios de agricultura, horticultura y silvicultura.
</x:t>
        </x:is>
      </x:c>
      <x:c r="L340" s="3" t="inlineStr">
        <x:is>
          <x:t>No</x:t>
        </x:is>
      </x:c>
      <x:c r="M340" s="3" t="inlineStr">
        <x:is>
          <x:t>JULIO JOSE SENEOR LOVNSTAMM, Calle 117 A No. 9B - 08, BOGOTÁ, D.C., CO</x:t>
        </x:is>
      </x:c>
      <x:c r="N340" s="3" t="inlineStr">
        <x:is>
          <x:t/>
        </x:is>
      </x:c>
      <x:c r="O340" s="3" t="inlineStr">
        <x:is>
          <x:t>19 jul. 2022</x:t>
        </x:is>
      </x:c>
      <x:c r="P340" s="3" t="inlineStr">
        <x:is>
          <x:t/>
        </x:is>
      </x:c>
      <x:c r="Q340" s="3" t="inlineStr">
        <x:is>
          <x:t/>
        </x:is>
      </x:c>
    </x:row>
    <x:row r="341">
      <x:c r="A341" s="10" t="inlineStr">
        <x:f xml:space="preserve">HYPERLINK("http://sipi.sic.gov.co/sipi/View.ashx?4253190","SD2022/0068914")</x:f>
      </x:c>
      <x:c r="B341" s="3" t="inlineStr">
        <x:is>
          <x:t>FRENCHIE FOR DOGS &amp; DOGS LOVERS</x:t>
        </x:is>
      </x:c>
      <x:c r="C341" s="9" t="inlineStr">
        <x:is>
          <x:t/>
        </x:is>
      </x:c>
      <x:c r="D341" s="3" t="inlineStr">
        <x:is>
          <x:t>08 jul. 2022</x:t>
        </x:is>
      </x:c>
      <x:c r="E341" s="3" t="inlineStr">
        <x:is>
          <x:t/>
        </x:is>
      </x:c>
      <x:c r="F341" s="3" t="inlineStr">
        <x:is>
          <x:t>Negada</x:t>
        </x:is>
      </x:c>
      <x:c r="G341" s="3" t="inlineStr">
        <x:is>
          <x:t/>
        </x:is>
      </x:c>
      <x:c r="H341" s="3" t="inlineStr">
        <x:is>
          <x:t>maria veronica  barrientos pelaez, calle 57 sur nro 43 a 51 , SABANETA, ANTIOQUIA 055450, CO</x:t>
        </x:is>
      </x:c>
      <x:c r="I341" s="3" t="inlineStr">
        <x:is>
          <x:t>3</x:t>
        </x:is>
      </x:c>
      <x:c r="J341" s="3" t="inlineStr">
        <x:is>
          <x:t>11</x:t>
        </x:is>
      </x:c>
      <x:c r="K341"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341" s="3" t="inlineStr">
        <x:is>
          <x:t>No</x:t>
        </x:is>
      </x:c>
      <x:c r="M341" s="3" t="inlineStr">
        <x:is>
          <x:t>NÉSTOR MANUEL MEDINA BEDOYA, Calle 32 B N° 65 A - 41, MEDELLIN, ANTIOQUIA 050031, CO</x:t>
        </x:is>
      </x:c>
      <x:c r="N341" s="3" t="inlineStr">
        <x:is>
          <x:t/>
        </x:is>
      </x:c>
      <x:c r="O341" s="3" t="inlineStr">
        <x:is>
          <x:t>30 ago. 2022</x:t>
        </x:is>
      </x:c>
      <x:c r="P341" s="3" t="inlineStr">
        <x:is>
          <x:t/>
        </x:is>
      </x:c>
      <x:c r="Q341" s="3" t="inlineStr">
        <x:is>
          <x:t/>
        </x:is>
      </x:c>
    </x:row>
    <x:row r="342">
      <x:c r="A342" s="10" t="inlineStr">
        <x:f xml:space="preserve">HYPERLINK("http://sipi.sic.gov.co/sipi/View.ashx?4255752","SD2022/0069479")</x:f>
      </x:c>
      <x:c r="B342" s="3" t="inlineStr">
        <x:is>
          <x:t>JF</x:t>
        </x:is>
      </x:c>
      <x:c r="C342" s="9" t="inlineStr">
        <x:is>
          <x:t/>
        </x:is>
      </x:c>
      <x:c r="D342" s="3" t="inlineStr">
        <x:is>
          <x:t>11 jul. 2022</x:t>
        </x:is>
      </x:c>
      <x:c r="E342" s="3" t="inlineStr">
        <x:is>
          <x:t/>
        </x:is>
      </x:c>
      <x:c r="F342" s="3" t="inlineStr">
        <x:is>
          <x:t>Negada</x:t>
        </x:is>
      </x:c>
      <x:c r="G342" s="3" t="inlineStr">
        <x:is>
          <x:t>JUAN JOSE ALZATE</x:t>
        </x:is>
      </x:c>
      <x:c r="H342" s="3" t="inlineStr">
        <x:is>
          <x:t>juan jose alzate gallon, cra 7 # 23-60, PEREIRA, RISARALDA 66001, CO</x:t>
        </x:is>
      </x:c>
      <x:c r="I342" s="3" t="inlineStr">
        <x:is>
          <x:t>3</x:t>
        </x:is>
      </x:c>
      <x:c r="J342" s="3" t="inlineStr">
        <x:is>
          <x:t>11</x:t>
        </x:is>
      </x:c>
      <x:c r="K342" s="3" t="inlineStr">
        <x:is>
          <x:t>3. Productos para desrizar el cabello; cremas para el cabello.
</x:t>
        </x:is>
      </x:c>
      <x:c r="L342" s="3" t="inlineStr">
        <x:is>
          <x:t>No</x:t>
        </x:is>
      </x:c>
      <x:c r="M342" s="3" t="inlineStr">
        <x:is>
          <x:t>JUAN SEBASTIAN ROJAS MARTINEZ, calle 19 9 50, PEREIRA, RISARALDA, CO</x:t>
        </x:is>
      </x:c>
      <x:c r="N342" s="3" t="inlineStr">
        <x:is>
          <x:t/>
        </x:is>
      </x:c>
      <x:c r="O342" s="3" t="inlineStr">
        <x:is>
          <x:t>09 oct. 2023</x:t>
        </x:is>
      </x:c>
      <x:c r="P342" s="3" t="inlineStr">
        <x:is>
          <x:t/>
        </x:is>
      </x:c>
      <x:c r="Q342" s="3" t="inlineStr">
        <x:is>
          <x:t/>
        </x:is>
      </x:c>
    </x:row>
    <x:row r="343">
      <x:c r="A343" s="10" t="inlineStr">
        <x:f xml:space="preserve">HYPERLINK("http://sipi.sic.gov.co/sipi/View.ashx?4255969","SD2022/0069534")</x:f>
      </x:c>
      <x:c r="B343" s="3" t="inlineStr">
        <x:is>
          <x:t>ELEMI</x:t>
        </x:is>
      </x:c>
      <x:c r="C343" s="9" t="inlineStr">
        <x:is>
          <x:t/>
        </x:is>
      </x:c>
      <x:c r="D343" s="3" t="inlineStr">
        <x:is>
          <x:t>11 jul. 2022</x:t>
        </x:is>
      </x:c>
      <x:c r="E343" s="3" t="inlineStr">
        <x:is>
          <x:t/>
        </x:is>
      </x:c>
      <x:c r="F343" s="3" t="inlineStr">
        <x:is>
          <x:t>Negada</x:t>
        </x:is>
      </x:c>
      <x:c r="G343" s="3" t="inlineStr">
        <x:is>
          <x:t>C-4-1027</x:t>
        </x:is>
      </x:c>
      <x:c r="H343" s="3" t="inlineStr">
        <x:is>
          <x:t>SANDER  COTUA HERAZO, Calle 22c #10-67 Barrio Chambacu, MONTERIA, CORDOBA, CO</x:t>
        </x:is>
      </x:c>
      <x:c r="I343" s="3" t="inlineStr">
        <x:is>
          <x:t>3, 35</x:t>
        </x:is>
      </x:c>
      <x:c r="J343" s="3" t="inlineStr">
        <x:is>
          <x:t>11</x:t>
        </x:is>
      </x:c>
      <x:c r="K343" s="3" t="inlineStr">
        <x:is>
          <x:t>3. Serum calmante para la piel, serum de corrección para el contorno de los ojos, serum para calmar la piel[cosmético], serum para el contorno de ojos, sérums antiedad con efecto lifting, sérums antienvejecimiento con efecto lifting,sueros de belleza, sueros para uso cosmético, sueros protectores de ácido hialuronico, cremas multiactivas para el contorno delos ojos, cremas reparadoras para contornos de ojos, cremas hidratantes, acondicionadores para el cabello, preparaciones para alisar el cabello, repolarizador, tratamientos de alisado para el cabello, champús, tratamiento para el cabello, tónico capilar, shot capilar, exfoliante capilar, bronceadores para la piel, aceites bronceadores, aceites cosméticos, geles cosméticos.
35. Compra, venta, importación, exportación y comercialización de, Serum calmante para la piel, serum de correcciónpara el contorno de los ojos, serum para calmar la piel [cosmético], serum para el contorno de ojos, sérums antiedad con efectolifting, sérums antienvejecimiento con efecto lifting, sueros de belleza, sueros para uso cosmético, sueros protectores de ácidohialuronico, cremas multiactivas para el contorno de los ojos, cremas reparadoras para contornos de ojos, cremas hidratantes,acondicionadores para el cabello, preparaciones para alisar el cabello, repolarizador, tratamientos de alisado para el cabello,champús, tratamiento para el cabello, tónico capilar, shot capilar, exfoliante capilar, bronceadores para la piel, aceitesbronceadores, aceites cosméticos, geles cosméticos.
</x:t>
        </x:is>
      </x:c>
      <x:c r="L343" s="3" t="inlineStr">
        <x:is>
          <x:t>Sí</x:t>
        </x:is>
      </x:c>
      <x:c r="M343" s="3" t="inlineStr">
        <x:is>
          <x:t>GUSTAVO ADOLFO ORTEGA HERNANDEZ, Carrera 25 #1 A SUR 155 OFC. 1355, Edificio Platinum Superior, MEDELLIN, ANTIOQUIA, CO</x:t>
        </x:is>
      </x:c>
      <x:c r="N343" s="3" t="inlineStr">
        <x:is>
          <x:t/>
        </x:is>
      </x:c>
      <x:c r="O343" s="3" t="inlineStr">
        <x:is>
          <x:t>09 sept. 2022</x:t>
        </x:is>
      </x:c>
      <x:c r="P343" s="3" t="inlineStr">
        <x:is>
          <x:t/>
        </x:is>
      </x:c>
      <x:c r="Q343" s="3" t="inlineStr">
        <x:is>
          <x:t/>
        </x:is>
      </x:c>
    </x:row>
    <x:row r="344">
      <x:c r="A344" s="10" t="inlineStr">
        <x:f xml:space="preserve">HYPERLINK("http://sipi.sic.gov.co/sipi/View.ashx?4257723","SD2022/0069912")</x:f>
      </x:c>
      <x:c r="B344" s="3" t="inlineStr">
        <x:is>
          <x:t>MYSTICAL ROSE </x:t>
        </x:is>
      </x:c>
      <x:c r="C344" s="9" t="inlineStr">
        <x:is>
          <x:t/>
        </x:is>
      </x:c>
      <x:c r="D344" s="3" t="inlineStr">
        <x:is>
          <x:t>12 jul. 2022</x:t>
        </x:is>
      </x:c>
      <x:c r="E344" s="3" t="inlineStr">
        <x:is>
          <x:t/>
        </x:is>
      </x:c>
      <x:c r="F344" s="3" t="inlineStr">
        <x:is>
          <x:t>Negada</x:t>
        </x:is>
      </x:c>
      <x:c r="G344" s="3" t="inlineStr">
        <x:is>
          <x:t/>
        </x:is>
      </x:c>
      <x:c r="H344" s="3" t="inlineStr">
        <x:is>
          <x:t>MARIA JUDIELY  GARCIA JARAMILLO , Cra. 55 #46 24 local 225, MEDELLIN, ANTIOQUIA, CO</x:t>
        </x:is>
      </x:c>
      <x:c r="I344" s="3" t="inlineStr">
        <x:is>
          <x:t>3</x:t>
        </x:is>
      </x:c>
      <x:c r="J344" s="3" t="inlineStr">
        <x:is>
          <x:t>11</x:t>
        </x:is>
      </x:c>
      <x:c r="K344" s="3" t="inlineStr">
        <x:is>
          <x:t>3. Cremas de protección para el cabello; cremas de protección para el cabello, no medicinales; cremas para el cabello; cremas para el cabello de uso cosmético; cremas para el cabello para uso cosmético; cremas para el cuidado del cabello; cremas para el cuidado del pelo; pomadas para el cabello; pomadas para el cabello de uso cosmético.
</x:t>
        </x:is>
      </x:c>
      <x:c r="L344" s="3" t="inlineStr">
        <x:is>
          <x:t>Sí</x:t>
        </x:is>
      </x:c>
      <x:c r="M344" s="3" t="inlineStr">
        <x:is>
          <x:t>JULIAN ESTEBAN MESA GIL, CALLE 9 C # 15-225 INT 112, MEDELLIN, ANTIOQUIA, CO</x:t>
        </x:is>
      </x:c>
      <x:c r="N344" s="3" t="inlineStr">
        <x:is>
          <x:t/>
        </x:is>
      </x:c>
      <x:c r="O344" s="3" t="inlineStr">
        <x:is>
          <x:t>19 jul. 2022</x:t>
        </x:is>
      </x:c>
      <x:c r="P344" s="3" t="inlineStr">
        <x:is>
          <x:t/>
        </x:is>
      </x:c>
      <x:c r="Q344" s="3" t="inlineStr">
        <x:is>
          <x:t/>
        </x:is>
      </x:c>
    </x:row>
    <x:row r="345">
      <x:c r="A345" s="10" t="inlineStr">
        <x:f xml:space="preserve">HYPERLINK("http://sipi.sic.gov.co/sipi/View.ashx?4258343","SD2022/0071619")</x:f>
      </x:c>
      <x:c r="B345" s="3" t="inlineStr">
        <x:is>
          <x:t>BELLALISS</x:t>
        </x:is>
      </x:c>
      <x:c r="C345" s="9" t="inlineStr">
        <x:is>
          <x:t/>
        </x:is>
      </x:c>
      <x:c r="D345" s="3" t="inlineStr">
        <x:is>
          <x:t>15 jul. 2022</x:t>
        </x:is>
      </x:c>
      <x:c r="E345" s="3" t="inlineStr">
        <x:is>
          <x:t/>
        </x:is>
      </x:c>
      <x:c r="F345" s="3" t="inlineStr">
        <x:is>
          <x:t>Negada</x:t>
        </x:is>
      </x:c>
      <x:c r="G345" s="3" t="inlineStr">
        <x:is>
          <x:t>Solicitud de registro BELLALISS (Mixta) en las clases 3, 8, 11</x:t>
        </x:is>
      </x:c>
      <x:c r="H345" s="3" t="inlineStr">
        <x:is>
          <x:t>GHASSAN OMAR FAKIH, Carrera 10 No. 12-12, MAICAO, GUAJIRA, CO</x:t>
        </x:is>
      </x:c>
      <x:c r="I345" s="3" t="inlineStr">
        <x:is>
          <x:t>3, 8, 11</x:t>
        </x:is>
      </x:c>
      <x:c r="J345" s="3" t="inlineStr">
        <x:is>
          <x:t>11</x:t>
        </x:is>
      </x:c>
      <x:c r="K34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aceite fijador para el cabello; aceite para el peinado del cabello; aceites para el cabello; aceites suavizantes para el cabello; acondicionadores de cabello; acondicionadores para uso en el cabello; adhesivos para pestañas, cabello y uñas postizos; agua oxigenada para el cabello; baños de aceite para el cuidado del cabello; brillantina para el cabello; cera para el cabello; ceras para el cuidado del cabello; champúes para el cabello; colorantes para el cabello; cosméticos para el cabello; crema para peinar el cabello; cremas para el cabello para uso cosmético; enjuagues de color para el cabello; enjuagues para el cabello; espuma de protección para el cabello; fijadores para el cabello; geles y espumas para el cabello; hidratantes para el cabello; lacas para el cabello; lociones fijadoras para ondular el cabello; lociones para fortalecer el cabello; lociones para ondular el cabello de forma permanente; lociones, cremas y preparaciones para el cuidado del rostro, cuerpo, cuero cabelludo, uñas y cabello; mechas y reflejos [preparaciones para iluminar el cabello]; máscaras para el cabello y el cuero cabelludo; polvo para el cabello; preparaciones de permanente para rizar el cabello; preparaciones no medicinales para el cuidado del cabello; preparaciones para alisar el cabello; preparaciones para atildar el cabello; preparaciones para decolorar el cabello; preparaciones para el teñido de cabellos; preparaciones para el tratamiento de coloración permanente del cabello; preparaciones para el tratamiento de permanente de coloración del cabello; preparaciones para lavar el cabello; preparaciones para limpiar, teñir, colorear, decolorar, marcar y peinar el cabello; productos para decolorar el cabello; suavizantes para el cabello de uso cosmético; sueros para el peinado del cabello; tintes y decolorantes para el cabello; tonificantes para el cabello; tratamientos de alisado para el cabello; jabones antitranspirantes; jabones corporales no medicados; aceites cosméticos; aceites para bronceado [cosméticos]; barras de labios con protección solar [cosméticos]; bloqueador solar [cosméticos]; colonias, perfumes y productos cosméticos; cosméticos; cosméticos de belleza; cosméticos ecológicos; cosméticos para cuidados corporales y estéticos; cosméticos para el cuero cabelludo; cremas corporales; cremas cosméticas para la piel; cremas de masaje cosméticas; cremas de protección capilar, no medicinales; cremas de protección solar para uso cosmético; cremas desmaquillantes; cremas exfoliantes para uso cosmético; cremas faciales para uso cosmético; cremas para después del afeitado (no medicinales); cremas para el cuerpo [cosméticos].
8. Herramientas e instrumentos de mano accionados manualmente; artículos de cuchillería, tenedores y cucharas; armas blancas; maquinillas de afeitar.Alicates para uñas; aparatos de depilación eléctricos o no; aparatos de depilación eléctricos o no eléctricos para el cuidado cosmético de las cejas; cortacallos; cortadoras de cabello eléctricas y a pilas; cortadoras de cabello de accionamiento manual; cortamechas; cortapelos; cortapelos, eléctricos o a pilas; cortapelos eléctricos o no; cortaúñas eléctricos; cortauñas de bebés; cortaúñas; cortaúñas eléctricos o no; cortauñas no eléctricos; esquiladoras [instrumentos de mano]; estuches de manicura; estuches de pedicura; estuches especialmente diseñados para planchas eléctricas para rizar el cabello; estuches para navajas y maquinillas de afeitar; herramientas abrasivas de accionamiento manual; herramientas de corte; herramientas de corte de accionamiento manual; herramientas de corte para lechada, mortero o cemento [herramientas de mano]; herramientas de pedicura; hojas de afeitar; hojas de tijeras; hojas [herramientas de mano]; instrumentos de afilar; instrumentos de manicura; instrumentos de mano accionados manualmente; instrumentos de mano de aseo personal y arte corporal; instrumentos de mano eléctricos de aseo personal y arte corporal; instrumentos de mano eléctricos y no eléctricos de aseo personal y arte corporal; instrumentos de piercing para la lengua; instrumentos de piercing para las cejas; instrumentos de piercing para las orejas; limadoras de uñas con baterías para animales; lijadoras accionadas manualmente; limas de cartón; limas de esmeril; limas de mano; limas de pedicura y manicura; limas de uñas; limas de uñas [eléctricas]; limas para callos; limas para los pies [instrumentos de pedicura]; maquinillas de afeitar; máquinas cosméticas de tatuaje; maquinillas de afeitar eléctricas; maquinillas de afeitar desechables; maquinillas eléctricas o no para cortar el cabello; maquinillas para cortar la barba; maquinillas para recortar el bigote y la barba; navajas; navajas de afeitar; neceseres de afeitar; perforadoras [herramientas de mano]; pinzas de depilar; pinzas pequeñas; planchas eléctricas de mano para peinar el cabello; planchas eléctricas para ondular el cabello; planchas eléctricas para planchar la ropa; planchas eléctricas para rizar el cabello; planchas enfriadoras del cabello para el acondicionamiento del cabello; planchas no eléctricas para ondular el cabello; rizadores; rizadores de pestañas; rizadores de pestañas eléctricos; rizadores no eléctricos; tijeras; tijeras de uñas; tiradores de espinillas, accionados manualmente.
11. .Aparatos de calefacción, producción de vapor, secado, secadores de cabello eléctricos; secadores de cabello eléctricos de mano; secadores de casco para el cabello; secadores de pelo; secadores de pelo para salones de belleza.
</x:t>
        </x:is>
      </x:c>
      <x:c r="L345" s="3" t="inlineStr">
        <x:is>
          <x:t>Sí</x:t>
        </x:is>
      </x:c>
      <x:c r="M345" s="3" t="inlineStr">
        <x:is>
          <x:t>GINNA CATHERINE SIERRA PEÑA, Diagonal  15 A  99 - 34  T  9 - 603, BOGOTÁ, D.C., CO</x:t>
        </x:is>
      </x:c>
      <x:c r="N345" s="3" t="inlineStr">
        <x:is>
          <x:t/>
        </x:is>
      </x:c>
      <x:c r="O345" s="3" t="inlineStr">
        <x:is>
          <x:t>20 sept. 2022</x:t>
        </x:is>
      </x:c>
      <x:c r="P345" s="3" t="inlineStr">
        <x:is>
          <x:t/>
        </x:is>
      </x:c>
      <x:c r="Q345" s="3" t="inlineStr">
        <x:is>
          <x:t/>
        </x:is>
      </x:c>
    </x:row>
    <x:row r="346">
      <x:c r="A346" s="10" t="inlineStr">
        <x:f xml:space="preserve">HYPERLINK("http://sipi.sic.gov.co/sipi/View.ashx?4259749","SD2022/0070526")</x:f>
      </x:c>
      <x:c r="B346" s="3" t="inlineStr">
        <x:is>
          <x:t>SPARK </x:t>
        </x:is>
      </x:c>
      <x:c r="C346" s="9" t="inlineStr">
        <x:is>
          <x:t/>
        </x:is>
      </x:c>
      <x:c r="D346" s="3" t="inlineStr">
        <x:is>
          <x:t>12 jul. 2022</x:t>
        </x:is>
      </x:c>
      <x:c r="E346" s="3" t="inlineStr">
        <x:is>
          <x:t/>
        </x:is>
      </x:c>
      <x:c r="F346" s="3" t="inlineStr">
        <x:is>
          <x:t>Negada</x:t>
        </x:is>
      </x:c>
      <x:c r="G346" s="3" t="inlineStr">
        <x:is>
          <x:t>SPARK</x:t>
        </x:is>
      </x:c>
      <x:c r="H346" s="3" t="inlineStr">
        <x:is>
          <x:t> SPARK SAS, VIA 40 # 70-14, BARRANQUILLA, ATLÁNTICO, CO</x:t>
        </x:is>
      </x:c>
      <x:c r="I346" s="3" t="inlineStr">
        <x:is>
          <x:t>3</x:t>
        </x:is>
      </x:c>
      <x:c r="J346" s="3" t="inlineStr">
        <x:is>
          <x:t>11</x:t>
        </x:is>
      </x:c>
      <x:c r="K346" s="3" t="inlineStr">
        <x:is>
          <x:t>3. Detergentes de espuma para uso doméstico; detergentes en comprimidos para lavavajillas; detergentes en polvo para la ropa; detergentes jabonosos para uso doméstico; detergentes para el hogar; detergentes para inodoros; detergentes para la limpieza de la ropa para uso doméstico; detergentes para la limpieza que no sean para procesos de fabricación; detergentes para las manos; detergentes para lavar los platos; detergentes para lavavajillas; detergentes para uso doméstico; detergentes para uso doméstico con propiedades desinfectantes; jabones detergentes; jabones y detergentes.
</x:t>
        </x:is>
      </x:c>
      <x:c r="L346" s="3" t="inlineStr">
        <x:is>
          <x:t>No</x:t>
        </x:is>
      </x:c>
      <x:c r="M346" s="3" t="inlineStr">
        <x:is>
          <x:t>ALEXANDRA XIQUES, KRA 83 # 18 - 05, CALI, VALLE DEL CAUCA, VALLE DEL CAUCA 760032, CO</x:t>
        </x:is>
      </x:c>
      <x:c r="N346" s="3" t="inlineStr">
        <x:is>
          <x:t/>
        </x:is>
      </x:c>
      <x:c r="O346" s="3" t="inlineStr">
        <x:is>
          <x:t>30 sept. 2022</x:t>
        </x:is>
      </x:c>
      <x:c r="P346" s="3" t="inlineStr">
        <x:is>
          <x:t/>
        </x:is>
      </x:c>
      <x:c r="Q346" s="3" t="inlineStr">
        <x:is>
          <x:t/>
        </x:is>
      </x:c>
    </x:row>
    <x:row r="347">
      <x:c r="A347" s="10" t="inlineStr">
        <x:f xml:space="preserve">HYPERLINK("http://sipi.sic.gov.co/sipi/View.ashx?4260128","SD2022/0072304")</x:f>
      </x:c>
      <x:c r="B347" s="3" t="inlineStr">
        <x:is>
          <x:t>FLAMME GLOW SHINE</x:t>
        </x:is>
      </x:c>
      <x:c r="C347" s="9" t="inlineStr">
        <x:is>
          <x:t/>
        </x:is>
      </x:c>
      <x:c r="D347" s="3" t="inlineStr">
        <x:is>
          <x:t>18 jul. 2022</x:t>
        </x:is>
      </x:c>
      <x:c r="E347" s="3" t="inlineStr">
        <x:is>
          <x:t/>
        </x:is>
      </x:c>
      <x:c r="F347" s="3" t="inlineStr">
        <x:is>
          <x:t>Negada</x:t>
        </x:is>
      </x:c>
      <x:c r="G347" s="3" t="inlineStr">
        <x:is>
          <x:t>FLAMME</x:t>
        </x:is>
      </x:c>
      <x:c r="H347" s="3" t="inlineStr">
        <x:is>
          <x:t>JUAN SANTIAGO CORRALES QUINTERO, calle 27 # 77 - 137 casa 145, MEDELLIN, ANTIOQUIA, CO</x:t>
        </x:is>
      </x:c>
      <x:c r="I347" s="3" t="inlineStr">
        <x:is>
          <x:t>3</x:t>
        </x:is>
      </x:c>
      <x:c r="J347" s="3" t="inlineStr">
        <x:is>
          <x:t>11</x:t>
        </x:is>
      </x:c>
      <x:c r="K347" s="3" t="inlineStr">
        <x:is>
          <x:t>3. Adhesivos para fijar uñas postizas; adhesivos para pegar las uñas postizas; adhesivos para uñas postizas; bases para esmaltes de uñas; brillantina para las uñas; brillos de uñas para aplicar sobre el esmalte; calcomanías decorativas para uñas; esmaltes de uñas; esmaltes de uñas en gel; esmaltes de uñas para uso cosmético; esmaltes de uñas y quitaesmaltes; fortalecedores de uñas; kits para el cuidado de las uñas que comprenden esmaltes de uñas, quitaesmaltes y uñas postizas; lacas de uñas; lápices para aplicar el esmalte de uñas; lápices quitaesmaltes de uñas; plumas de esmalte de uñas; preparaciones para retirar uñas de gel; productos de revestimiento para esculpir uñas [productos cosméticos].
</x:t>
        </x:is>
      </x:c>
      <x:c r="L347" s="3" t="inlineStr">
        <x:is>
          <x:t>No</x:t>
        </x:is>
      </x:c>
      <x:c r="M347" s="3" t="inlineStr">
        <x:is>
          <x:t/>
        </x:is>
      </x:c>
      <x:c r="N347" s="3" t="inlineStr">
        <x:is>
          <x:t/>
        </x:is>
      </x:c>
      <x:c r="O347" s="3" t="inlineStr">
        <x:is>
          <x:t>19 ago. 2022</x:t>
        </x:is>
      </x:c>
      <x:c r="P347" s="3" t="inlineStr">
        <x:is>
          <x:t/>
        </x:is>
      </x:c>
      <x:c r="Q347" s="3" t="inlineStr">
        <x:is>
          <x:t/>
        </x:is>
      </x:c>
    </x:row>
    <x:row r="348">
      <x:c r="A348" s="10" t="inlineStr">
        <x:f xml:space="preserve">HYPERLINK("http://sipi.sic.gov.co/sipi/View.ashx?4260582","SD2022/0070805")</x:f>
      </x:c>
      <x:c r="B348" s="3" t="inlineStr">
        <x:is>
          <x:t>ANGEALA</x:t>
        </x:is>
      </x:c>
      <x:c r="C348" s="3" t="inlineStr">
        <x:is>
          <x:t/>
        </x:is>
      </x:c>
      <x:c r="D348" s="3" t="inlineStr">
        <x:is>
          <x:t>13 jul. 2022</x:t>
        </x:is>
      </x:c>
      <x:c r="E348" s="3" t="inlineStr">
        <x:is>
          <x:t/>
        </x:is>
      </x:c>
      <x:c r="F348" s="3" t="inlineStr">
        <x:is>
          <x:t>Negada</x:t>
        </x:is>
      </x:c>
      <x:c r="G348" s="3" t="inlineStr">
        <x:is>
          <x:t>ANGEALA</x:t>
        </x:is>
      </x:c>
      <x:c r="H348" s="3" t="inlineStr">
        <x:is>
          <x:t>JUAN CARLOS DUQUE ECHEVERRI, CL 34 17 25, BUCARAMANGA, SANTANDER, CO</x:t>
        </x:is>
      </x:c>
      <x:c r="I348" s="3" t="inlineStr">
        <x:is>
          <x:t>3</x:t>
        </x:is>
      </x:c>
      <x:c r="J348" s="3" t="inlineStr">
        <x:is>
          <x:t>11</x:t>
        </x:is>
      </x:c>
      <x:c r="K348" s="3" t="inlineStr">
        <x:is>
          <x:t>3. Aceite de almendras; aceite de amla para uso cosmético; aceite de coco para uso cosmético; aceite de lavanda para uso cosmético; aceite de neem para uso cosmético; aceite de ricino para uso cosmético; aceite de rosas para uso cosmético; aceite de veppennai para uso cosmético; aceite fijador para el cabello; aceite para el peinado del cabello; aceites aromáticos; aceites bronceadores; aceites bronceadores [cosméticos]; aceites bronceadores de uso cosmético; aceites cosméticos; aceites cosméticos para la piel; aceites de baño para uso cosmético; aceites de perfumería; aceites de protección solar; aceites de protección solar [cosméticos]; aceites de tocador; aceites destilados para el cuidado de belleza; aceites esenciales para uso cosmético; aceites minerales [cosméticos]; aceites para uso cosmético; aceites perfumados para el cuidado de la piel; aceites perfumados para fabricar preparaciones cosméticas; aceites perfumados para la fabricación de preparaciones cosméticas; aceites perfumados para la fabricación de preparados cosméticos; aceites perfumados para la fabricación de productos cosméticos; aceites puros para uso cosmético; aceites solares de uso cosmético; aceites suavizantes para el cabello; acondicionadores de cabello; acondicionadores de cutícula; acondicionadores labiales; acondicionadores para el cabello; acondicionadores para la piel; adhesivos [pegamentos] para uso cosmético; adhesivos para falsas pestañas; adhesivos para fijar cejas postizas; adhesivos para fijar postizos; adhesivos para fijar uñas postizas; adhesivos para fijar uñas y pestañas postizas; adhesivos para la fijación de cejas postizas; adhesivos para pegar las pestañas postizas; adhesivos para pegar las uñas postizas; adhesivos para pestañas postizas; adhesivos para pestañas, cabello y uñas postizos; adhesivos para uñas postizas; agua de colonia; agua de perfume; agua micelar; agua micelar de limpieza; aguas de tocador; aguas de tocador perfumadas; aguas de tocador y aguas de colonia; aguas de tocador y colonias; aguas perfumadas; aguas perfumadas para la ropa; algas para cosmetología; algodón e hisopos de algodón para uso cosmético; algodón impregnado de preparaciones desmaquillantes; algodón para uso cosmético; algodón y bastoncillos de algodón para uso cosmético; alheña para uso cosmético; alheña para uso cosmético [henna]; almohadillas de algodón para desmaquillar; almohadillas de algodón para uso cosmético; almohadillas de limpieza impregnadas con cosméticos; almohadillas de limpieza impregnadas con productos cosméticos; almohadillas de limpieza impregnadas de cosméticos; almohadillas de limpieza prehumedecidas; almohadillas de limpieza preimpregnadas; almohadillas desmaquillantes de algodón hidrófilo; almohadillas limpiadoras impregnadas de preparaciones de tocador; almohadillas limpiadoras impregnadas de productos cosméticos; almohadillas para uso cosmético; almohadillas, toallitas o pañitos de limpieza prehumedecidos o impregnados; antifaces de gel; aromas para fragancias; aromatizantes para fragancias; astringentes para uso cosmético; bandas abrasivas; barras de labios; barras de labios con protección solar [cosméticos]; barras de labios en stick con protección solar [cosméticos]; barras de labios hidratantes; barros corporales para uso cosmético; bases de maquillaje; bases de maquillaje cremosas; bases de maquillaje en crema; bases de maquillaje líquidas; bases de maquillaje para la piel; bases neutralizantes para labios; bases para esmaltes de uñas; bases para perfumes de flores; basma [tinte para uso cosmético]; basma en cuanto tinte para uso cosmético; basma para uso cosmético; bastoncillos de algodón impregnados de preparaciones desmaquillantes; bastoncillos de algodón impregnados de preparados desmaquilladores; bastoncillos de algodón multiuso para utilización personal; bastoncillos de algodón multiusos para uso personal; bastoncillos de algodón para uso cosmético; baños de espuma; bencina quitamanchas; blanqueadores para las uñas; bloqueador solar [cosméticos]; bolas de algodón impregnadas de preparaciones desmaquillantes; bolas de algodón impregnadas de preparados desmaquilladores; bolas de algodón para uso cosmético; brillantina; brillantina corporal; brillantina para el cabello; brillantina para las uñas; brillos corporales; brillos de labios; brillos de uñas para aplicar sobre el esmalte; brillos faciales; brillos faciales y corporales; brillos para uso cosmético; bronceadores para la piel; bálsamo acondicionador; bálsamos capilares; bálsamos labiales; bálsamos labiales no medicinales; bálsamos para el cabello; calcomanías decorativas para uso cosmético; calcomanías decorativas para uñas; calcomanías para las uñas; cejas postizas; cejas postizas autoadhesivas; champúes para el cabello; champús 3 en 1; champús capilares; champús no medicinales; champús para el cabello; champús para el cabello humano; champús para el cabello y el cuerpo; champús*; cintas de estiramiento facial para uso cosmético; cintas de lifting facial para uso cosmético; cola de maquillaje para uso cosmético; colorantes de labios; colorantes de labios [cosméticos]; colorantes de tocador; colorantes labiales; colorantes labiales [cosméticos]; colorantes para los labios; colorantes para los labios [productos cosméticos]; colorete; colorete en lápiz; colorete líquido; coloretes; coloretes en crema; composiciones para aclarar la piel [cosméticos]; corrector facial; correctores antiojeras; correctores de imperfecciones [productos cosméticos]; correctores de líneas y arrugas faciales; correctores de ojeras; correctores de ojos; correctores para disimular manchas e imperfecciones de la piel; cosméticos; cosméticos de belleza; cosméticos en forma de cremas; cosméticos en forma de polvos; cosméticos no medicinales;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cotonetes de algodón para uso cosmético; cotonitos de algodón para uso cosmético; crema corporal; crema corporal para uso cosmético; crema para aclarar la piel; crema para las manos; crema para peinar el cabello; cremas acondicionadoras para la piel, de uso cosmético; cremas antiarrugas; cremas antiarrugas para uso cosmético; cremas antienvejecimiento; cremas antienvejecimiento para uso cosmético; cremas autobronceadoras; cremas bronceadoras; cremas bronceadoras para la piel; cremas capilares; cremas con filtro solar para uso cosmético; cremas con retinol para uso cosmético; cremas con vitamina a para uso cosmético; cremas corporales; cremas corporales [cosméticos]; cremas cosmética para el cuerpo; cremas cosméticas; cremas cosméticas para la piel; cremas cosméticas para las manos; cremas de belleza; cremas de belleza para el cuerpo; cremas de belleza para el rostro y el cuerpo; cremas de día; cremas de limpieza [cosméticos]; cremas de limpieza [para uso cosmético]; cremas de limpieza [productos cosméticos]; cremas de limpieza para uso cosmético; cremas de masaje cosméticas; cremas de noche; cremas de protección solar; cremas desmaquillantes; cremas exfoliantes; cremas exfoliantes para uso cosmético; cremas faciales; cremas faciales para uso cosmético; cremas hidratantes; cremas limpiadoras; cremas limpiadoras [cosméticos]; cremas limpiadoras [productos cosméticos]; cremas limpiadoras para uso cosmético; cremas líquidas y sólidas para la piel; cremas no medicadas para exfoliantes faciales; cremas no medicadas para hidratar la piel; cremas no medicadas para la hidratación de la piel; cremas no medicadas para la protección de la piel; cremas no medicadas para suavizar la piel; cremas no medicinales para el cuidado de la piel; cremas para aclarar la piel; cremas para cutículas; cremas para el cabello para uso cosmético; cremas para el cuerpo [cosméticos]; cremas para el cuerpo cosméticas; cremas para el rostro; cremas para el rostro y el cuerpo; cremas para la cara [cosméticos]; cremas para la piel; cremas para la piel de uso cosmético; cremas para las manos; cremas para las uñas; cremas para las uñas de uso cosmético; cremas para los labios; cremas para los labios de uso cosmético; cremas para los ojos; cremas para los ojos de uso cosmético; cremas para manos a base de cáñamo; cremas perfumadas; cremas perfumadas para el cuerpo; cremas perfumadas para uso cosmético; cremas reafirmantes para el cuerpo; cremas regeneradoras; cremas regenerantes; cremas reparadoras para contornos de ojos; cremas reparadoras para la piel [cosméticos]; cremas reparadoras para la piel de uso cosmético; cremas revitalizantes para la piel; cremas tonificantes [cosméticos];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cristales de baño; cristales de baño para uso cosmético; depilatorios; desmaquilladores; desmaquilladores de ojos; desmaquillantes de ojos; desodorantes corporales [perfumería]; discos de algodón para uso cosmético; discos desmaquillantes de algodón hidrófilo; emulsiones faciales; emulsiones faciales para uso cosmético; emulsiones para el cuerpo; emulsiones para el cuerpo de uso cosmético; emulsiones térmicas para uso cosmético; emulsiones, geles y lociones para el cuidado de la piel; endurecedores de uñas; endurecedores de uñas [cosméticos]; escarcha corporal; escarcha para las uñas; esmaltes de base para las uñas [productos cosméticos]; esmaltes de uñas; esmaltes de uñas en gel; esmaltes de uñas para uso cosmético; esmaltes de uñas y quitaesmaltes; esponjas impregnadas con artículos de tocador; espuma de limpieza; espuma de protección para el cabello; espuma limpiadora; espumas [cosméticas]; espumas cosméticas con filtro solar; espumas depilatorias; espumas limpiadoras; espumas limpiadoras para la piel; espumas limpiadoras para uso personal; espumas para el cabello; espumas para el cabello [productos de tocador]; espumas para el cuidado de la piel; espumas y geles para peinar el cabello; estuches para lápices de labios; estuches para pintalabios; exfoliante corporal; exfoliantes; exfoliantes [preparaciones cosméticas]; exfoliantes corporales; exfoliantes corporales cosméticos; exfoliantes corporales para uso cosmético; exfoliantes faciales; exfoliantes faciales y corporales no medicamentosos; exfoliantes faciales y corporales no medicinales; exfoliantes iluminadores; exfoliantes para el cuerpo; exfoliantes para el cuerpo de uso cosmético; exfoliantes para la cara; exfoliantes para la piel; exfoliantes para labios; exfoliantes para las manos; exfoliantes para los pies; exfoliantes para uso cosmético; extensiones de pestañas; fijadores capilares; fijadores para el cabello; filtro solar [cosméticos]; fondo de maquillaje; fortalecedores de uñas; fragancias; fragancias corporales; fundación de maquillaje; geles bronceadores; geles bronceadores [cosméticos]; geles capilares; geles corporales y faciales [cosméticos]; geles cosméticos; geles de aloe vera para uso cosmético; geles de belleza; geles desmaquillantes; geles exfoliantes, no medicinales; geles hidratantes; geles hidratantes [cosméticos]; geles para el bronceado de la piel; geles para el cuerpo [cosméticos]; geles para el cuerpo y la cara [cosméticos]; geles para el peinado; geles para el peinado de las cejas; geles para el peinado del cabello; geles para el teñido de las cejas; geles para la cara [cosméticos]; geles para los ojos; geles para los ojos de uso cosmético; geles para uso cosmético; geles para uso en el cabello; geles y espumas para el cabello; geles, aerosoles, espumas y bálsamos para peinar y cuidar el cabello; geles, espráis, espumas y bálsamos para peinar y cuidar el cabello; granulados de limpieza facial; grasas para uso cosmético; henna [tinte cosmético]; henna para uso cosmético; hidratante para la piel; hidratantes; hidratantes [cosméticos]; hidratantes faciales; hidratantes faciales [cosméticos]; hidratantes faciales de uso cosmético; hisopos de algodón impregnados de preparados desmaquilladores; hisopos de algodón para uso cosmético; hisopos impregnados de preparaciones desmaquillantes; hisopos impregnados de preparados desmaquilladores; hisopos para uso cosmético; hojas abrasivas; hojas antiestáticas para secadoras; jabones cosméticos; jabones de tocador; jabones faciales; jabones líquidos para el cabello y el cuerpo; jabones líquidos para las manos y el rostro; jabones líquidos para las manos, el rostro y el cuerpo; jabones no medicados para el cuerpo; jabones no medicados para la cara; jabones no medicados para las manos; jabones para el cuerpo; jabones para el cuidado del cuerpo; jabones para la piel; jabones para las manos; jabones para uso personal; jabones perfumados; jabones*; jabón de almendras; jabón de aloe vera; joyas de piel autoadhesivas para uso cosmético; joyas de piel en cuanto motivos decorativos para uso cosmético; joyas de piel en cuanto transferencias decorativas para uso cosmético; joyas de piel para uso cosmético; joyas de tatuaje para uso cosmético; joyería de piel autoadhesivas para uso cosmético; joyería de piel en cuanto motivos decorativos para uso cosmético; joyería de piel en cuanto transferencias decorativas para uso cosmético; joyería de piel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kits para el cuidado de las uñas que comprenden principalmente lacas de uñas, quitaesmaltes y uñas postizas; leche de almendras para uso cosmético; leches bronceadoras; leches bronceadoras [cosméticos]; leches de belleza; leches de limpieza facial; leches desmaquillantes; leches hidratantes; leches hidratantes corporales; leches limpiadoras; leches limpiadoras de tocador; leches limpiadoras para el cuidado de la piel; leches para después de tomar el sol para uso cosmético; leches para después del sol [productos cosméticos]; leches para después del sol de uso cosmético; leches para el cuerpo; leches para el cuerpo de uso cosmético; leches para el rostro y el cuerpo de uso cosmético; leches y lociones para el rostro; leches y lociones para el rostro de uso cosmético; leches, geles y aceites bronceadores y para después del sol, de uso cosmético; leches, geles, lociones y cremas desmaquillantes; limpiadores cosméticos faciales; limpiadores cosméticos para la piel; limpiadores cutáneos [cosméticos]; limpiadores cutáneos [productos cosméticos]; limpiadores de la piel; limpiadores de la piel [cosméticos]; limpiadores de la piel [productos cosméticos]; limpiadores faciales; limpiadores faciales [cosméticos]; limpiadores faciales [productos cosméticos]; limpiadores para la cara; limpiadores para pinceles cosméticos; lociones autobronceadoras [cosméticos]; lociones bronceadoras; lociones capilares cosméticas; lociones capilares*; lociones con filtro solar; lociones corporales; lociones de belleza; lociones de limpieza dental; lociones de protección solar; lociones faciales; lociones faciales [cosméticos]; lociones hidratantes; lociones hidratantes [cosméticos]; lociones hidratantes para el cuerpo [cosméticos]; lociones hidratantes para la piel; lociones hidratantes para la piel [cosméticos]; lociones lechosas para el cuidado de la piel; lociones limpiadoras para la piel; lociones para después del sol; lociones para después del sol de uso cosmético; lociones para el cabello; lociones para el cabello de uso cosmético; lociones para el cuerpo; lociones para el cuerpo de uso cosmético; lociones para el cuidado de la piel [cosméticos]; lociones para el cuidado del rostro y del cuerpo; lociones para el cuidado del rostro y del cuerpo de uso cosmético; lociones para el rostro y el cuerpo; lociones para el rostro y el cuerpo de uso cosmético; lociones para fortalecer el cabello; lociones para fortalecer las uñas; lociones para la piel; lociones para la piel [productos cosméticos]; lociones para las manos de uso cosmético; lociones para los ojos; lociones para los ojos de uso cosmético; lociones para uso cosmético; lociones tónicas para el rostro, el cuerpo y las manos de uso cosmético;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lápices de cejas; lápices de labios; lápices de labios [pintalabios]; lápices de labios [pintalabios] hidratantes; lápices de labios hidratantes; lápices de maquillaje; lápices de ojos; lápices de ojos para uso cosmético; lápices de párpados; lápices labiales; lápices labiales hidratantes; lápices para aplicar el esmalte de uñas; lápices para uso cosmético; lápices perfiladores de ojos; lápices quitaesmaltes; lápices quitaesmaltes de uñas; manteca corporal; manteca corporal para uso cosmético; manteca de almendra para uso cosmético; manteca de aloe vera para uso cosmético; manteca de argán para uso cosmético; manteca de cacao para uso cosmético; manteca de coco para uso cosmético; manteca de karité para uso cosmético; maquillaje [cosméticos]; maquillaje para el cuerpo; maquillaje para el rostro; maquillaje para el rostro y el cuerpo; maquillaje para la cara; maquillaje para la cara y el cuerpo; maquillaje para la piel; maquillaje para los ojos; maquillaje para polveras; maquillaje vendido en polveras; maquillajes de base; maquillajes de base en crema; maquillajes de ojos; maquillajes faciales; mascarillas corporales; mascarillas corporales en forma de cremas; mascarillas corporales en forma de cremas para uso cosmético; mascarillas corporales en forma de lociones; mascarillas corporales en forma de lociones para uso cosmético; mascarillas corporales en polvo; mascarillas corporales en polvo para uso cosmético; mascarillas corporales para uso cosmético; mascarillas cosméticas; mascarillas cosméticas para el cutis; mascarillas de belleza; mascarillas de belleza para el cabello; mascarillas de belleza para el contorno de los ojos; mascarillas de belleza para las manos; mascarillas desechables calentadas al vapor, que no sean para uso médico; mascarillas envasadas para uso cosmético;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hidratantes para la piel; mascarillas limpiadoras; mascarillas limpiadoras para corporales; mascarillas limpiadoras para faciales; mascarillas oculares para uso cosmético; mascarillas para el cabello; mascarillas para el cabello y el cuero cabelludo; mascarillas para el cuero cabelludo; mascarillas para el cuidado capilar; mascarillas para el cuidado de la piel de las manos; mascarillas para el cuidado de la piel de los pies; mascarillas para el cuidado del cabello; mascarillas para el cutis; mascarillas para el cutis [cosméticos]; mascarillas para el peinado del cabello; mascarillas para eliminar los puntos negros; mascarillas para hidratar la piel; mascarillas para la cara; mascarillas para la piel; mascarillas para la piel [cosméticos]; mascarillas para la piel de uso cosmético; mascarillas para pieles grasas; mechas y reflejos; máscara de pestañas; máscara para pestañas largas; máscaras calentadoras en gel para los ojos; máscaras cosméticas de barro; máscaras para el cabello; niebla corporal; niebla corporal en espray; niebla corporal pefumado a rosa en espray; paletas de brillos labiales; paletas de sombras de párpados; pañitos cosméticos prehumedecidos; pañitos de limpieza impregnados con preparaciones de tocador; pañitos de limpieza prehumedecidos; pañitos de limpieza preimpregnados; pañitos para bebés; pañitos para bebés para uso cosmético; paños de limpieza húmedos; paños de limpieza impregnados con detergente; paños desechables impregnados de compuestos limpiadores para uso facial; paños desechables impregnados de productos o compuestos químicos limpiadores para uso industrial o comercial; paños desechables impregnados de productos químicos o compuestos limpiadores para la higiene personal; paños húmedos para bebés; paños húmedos para bebés de uso cosmético; paños impregnados con sustancias cosméticas; paños impregnados de productos de limpieza para la piel; paños impregnados de productos limpiadores para la piel; paños o toallitas impregnados de productos limpiadores para la piel; pegatinas de arte corporal; pegatinas decorativas para el cuerpo; pegatinas decorativas para uñas; perfiladores de labios; perfiladores de ojos; perfumería para cosméticos; perfumería y fragancias; perfumes; perfumes líquidos; perfumes y aguas de tocador; perfumes y colonias; perfumes, aguas de colonia y productos para después del afeitado; perlas de baño; perlas de baño para uso cosmético; perlitas de baño; perlitas de baño para uso cosmético; pestañas postizas; pestañas postizas magnéticas; piedra pómez; piedra pómez artificial; piedra pómez para uso personal; piedras para pulir; piedras para suavizar; pintalabios; pintalabios hidratantes; pintura corporal; pintura corporal para uso cosmético; pintura facial; pintura para la cara y el cuerpo; polveras rellenas; polvo de cejas; polvo para el cabello; polvos brillantes para el cuerpo; polvos compactos para polveras; polvos compactos para polveras [cosméticos]; polvos compactos para polveras cosméticas; polvos cosméticos; polvos de baño para uso cosmético; polvos de brillo para uso cosmético; polvos de maquillaje; polvos faciales; polvos faciales [cosméticos]; polvos faciales blancos para uso cosmético; polvos faciales compactos; polvos faciales cosméticos; polvos faciales cosméticos de color blanco; polvos faciales en crema; polvos faciales en papel; polvos faciales para uso cosmético; polvos faciales sueltos; polvos faciales, a saber, papel revestido con polvo facial; polvos para bebés; polvos para bebés [productos de tocador]; polvos para el cuerpo; polvos para el cuerpo de uso cosmético; pomadas labiales; pomadas para los labios; pomadas para uso cosmético; preparaciones antienvejecimiento para el cuidado de la piel; preparaciones autobronceadoras; preparaciones blanqueadoras; preparaciones capilares de protección solar; preparaciones con filtro solar; preparaciones cosméticas; preparaciones cosméticas adelgazantes; preparaciones cosméticas antienvejecimiento; preparaciones cosméticas colorantes; preparaciones cosméticas de cuidado facial; preparaciones cosméticas de peluquería; preparaciones cosméticas de protección solar; preparaciones cosméticas para el cuidado de la piel; preparaciones cosméticas para el cuidado de las uñas; preparaciones cosméticas para el cuidado del cabello; preparaciones cosméticas para el cuidado del cuerpo; preparaciones cosméticas para el cuidado y el tratamiento de la piel; preparaciones cosméticas para el rostro; preparaciones cosméticas para el rostro y el cuerpo; preparaciones cosméticas para el tratamiento de la piel; preparaciones cosméticas para la cara; preparaciones cosméticas para las uñas; preparaciones cosméticas para pestañas; preparaciones cosméticas para proteger la piel de los rayos del sol; preparaciones de cuidado facial; preparaciones de cuidado facial [cosméticos]; preparaciones de limpieza; preparaciones de limpieza para las manos; preparaciones de limpieza para uso doméstico; preparaciones de protección solar; preparaciones de tocador*; preparaciones faciales; preparaciones faciales [cosméticos]; preparaciones hidratantes [cosméticos]; preparaciones para limpiar, colorear, teñir, decolorar, amoldar o para ondular permanentemente el cabello; preparaciones para limpiar, colorear, teñir, decolorar, marcar o para ondular permanentemente el cabello; preparaciones para limpiar, teñir, colorear, decolorar, marcar y peinar el cabello; preparados cosméticos para el tratamiento de la piel; preparados no medicinales para el cuidado de la piel; productos cosméticos decorativos; productos cosméticos en aerosol para el cuidado de la piel; productos cosméticos en forma de cremas; productos cosméticos en forma de polvos; productos cosméticos para el cuidado corporal; productos cosméticos para el cuidado de la piel; productos cosméticos para las pestañas;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limpieza en spray; productos de maquillaje; productos de perfumería; productos depilatorios; protectores solares en barra; protectores solares en stick; protectores solares para bebés; protectores solares para los labios; puntas de uñas; purpurina para las uñas; quitaesmalte para uñas [cosméticos]; quitaesmaltes; quitaesmaltes de uñas [cosméticos]; quitamanchas; quitamanchas en forma de stick; reparadores de uñas; rodillos abrasivos; rubores para las mejillas; serum calmante para la piel; serum de corrección para el contorno de los ojos; serum para calmar la piel [cosmético]; serum para el contorno de ojos; sombras de ojos; sombras de ojos en polvo o en lápiz; sombras de párpados; sprays depilatorios; sprays para el cuerpo; sprays para el cuerpo de uso cosmético; sprays para fijar el maquillaje; sueros de belleza; sueros faciales; sueros faciales para uso cosmético; sueros no medicados para la piel de la cara; sueros no medicinales para la piel; sueros para el contorno de los ojos; sueros para el cuidado del cabello; sueros para el lifting facial; sueros para uso cosmético; talco; talco de tocador; talco para bebés; talco para bebés [productos de tocador]; talco para uso cosmético; talco perfumado; talco perfumado para uso cosmético; tatuajes temporales con fines cosméticos; tatuajes temporales para uso cosmético; tintas para uso cosmético; tintes cosméticos; tintes de cejas; tintes de labios; tintes de labios [cosméticos]; tintes de labios para uso cosmético; tintes de pestañas; tintes de tocador; tintes labiales; tintes labiales [cosméticos]; tintes labiales [productos cosméticos]; tintes labiales para uso cosmético; tintes para cejas; tintes para el cabello; tintes para los labios; tintes para los labios [productos cosméticos]; tintes para pestañas; tintes temporales para hacer mechas; tintes y decolorantes para el cabello; tinturas para el cabello; tiras abrasivas; tiza para maquillaje; tiza para uso cosmético; toallas de papel para las manos impregnadas de cosméticos; toallas de papel para las manos impregnadas de productos cosméticos; toallitas cosméticas impregnadas; toallitas cosméticas prehumedecidas; toallitas húmedas para uso higiénico y cosmético; toallitas impregnadas con preparados cosméticos; toallitas impregnadas con preparados de limpieza personal; toallitas impregnadas con preparados para el cuidado de la piel; toallitas impregnadas con sustancias cosméticas; toallitas impregnadas con un limpiador de la piel; toallitas impregnadas de aceites esenciales, para uso cosmético; toallitas impregnadas de lociones cosméticas; toallitas impregnadas de preparaciones desmaquillantes; toallitas impregnadas de productos cosméticos; toallitas impregnadas de productos limpiadores para la piel; toallitas limpiadoras para el rostro; toallitas o paños impregnados de productos limpiadores para la piel; toallitas para bebés; toallitas para el rostro; tónicos clarificadores faciales; tónicos cosméticos; tónicos cosméticos para el rostro; tónicos cosméticos para la cara; tónicos faciales; tónicos faciales [cosméticos]; tónicos faciales clarificantes; tónicos faciales revitalizantes; tónicos no medicinales para la piel; tónicos para la piel para uso cosmético; tónicos para uso cosmético; tónicos revitalizantes faciales; uñas postizas; uñas postizas de metales preciosos; uñas postizas para los dedos de los pies.
</x:t>
        </x:is>
      </x:c>
      <x:c r="L348" s="3" t="inlineStr">
        <x:is>
          <x:t>Sí</x:t>
        </x:is>
      </x:c>
      <x:c r="M348" s="3" t="inlineStr">
        <x:is>
          <x:t/>
        </x:is>
      </x:c>
      <x:c r="N348" s="3" t="inlineStr">
        <x:is>
          <x:t/>
        </x:is>
      </x:c>
      <x:c r="O348" s="3" t="inlineStr">
        <x:is>
          <x:t>11 oct. 2022</x:t>
        </x:is>
      </x:c>
      <x:c r="P348" s="3" t="inlineStr">
        <x:is>
          <x:t/>
        </x:is>
      </x:c>
      <x:c r="Q348" s="3" t="inlineStr">
        <x:is>
          <x:t/>
        </x:is>
      </x:c>
    </x:row>
    <x:row r="349">
      <x:c r="A349" s="10" t="inlineStr">
        <x:f xml:space="preserve">HYPERLINK("http://sipi.sic.gov.co/sipi/View.ashx?4261080","SD2022/0070812")</x:f>
      </x:c>
      <x:c r="B349" s="3" t="inlineStr">
        <x:is>
          <x:t>MAJÚ</x:t>
        </x:is>
      </x:c>
      <x:c r="C349" s="3" t="inlineStr">
        <x:is>
          <x:t/>
        </x:is>
      </x:c>
      <x:c r="D349" s="3" t="inlineStr">
        <x:is>
          <x:t>13 jul. 2022</x:t>
        </x:is>
      </x:c>
      <x:c r="E349" s="3" t="inlineStr">
        <x:is>
          <x:t/>
        </x:is>
      </x:c>
      <x:c r="F349" s="3" t="inlineStr">
        <x:is>
          <x:t>Negada</x:t>
        </x:is>
      </x:c>
      <x:c r="G349" s="3" t="inlineStr">
        <x:is>
          <x:t>1997</x:t>
        </x:is>
      </x:c>
      <x:c r="H349" s="3" t="inlineStr">
        <x:is>
          <x:t>Johan David  Villamil Caicedo, cra49 #18-30, CALI, VALLE DEL CAUCA 760002, CO</x:t>
        </x:is>
      </x:c>
      <x:c r="I349" s="3" t="inlineStr">
        <x:is>
          <x:t>3</x:t>
        </x:is>
      </x:c>
      <x:c r="J349" s="3" t="inlineStr">
        <x:is>
          <x:t>11</x:t>
        </x:is>
      </x:c>
      <x:c r="K349" s="3" t="inlineStr">
        <x:is>
          <x:t>3. Barros corporales para uso cosmético; brillantina corporal; brillos corporales; brillos faciales y corporales; champús corporales; cosméticos para cuidados corporales y estéticos; crema corporal; crema corporal para uso cosmético; cremas corporales; cremas corporales [cosméticos]; cremas reafirmantes corporales; desodorantes corporales; desodorantes corporales [perfumería]; desodorantes corporales [productos de perfumería]; desodorantes corporales en comprimidos; escarcha corporal; espráis utilizados como desodorantes y perfumes corporales; exfoliante corporal; exfoliantes corporales; exfoliantes corporales cosméticos; exfoliantes corporales para uso cosmético; exfoliantes faciales y corporales no medicamentosos; exfoliantes faciales y corporales no medicinales; fangos corporales para uso cosmético; fragancias corporales; geles corporales y faciales [cosméticos]; hidratantes corporales a base de cáñamo; jabones corporales no medicados; leches corporales para bebés; leches hidratantes corporales; lociones corporales; lociones y cremas corporales perfumadas; lodos corporales para uso cosmético; manteca corporal; manteca corporal para uso cosmético; mascarillas corporales; mascarillas corporales en forma de cremas; mascarillas corporales en forma de cremas para uso cosmético; mascarillas corporales en forma de lociones; mascarillas corporales en forma de lociones para uso cosmético; mascarillas corporales en polvo; mascarillas corporales en polvo para uso cosmético; mascarillas corporales para uso cosmético; mascarillas limpiadoras para corporales; niebla corporal; niebla corporal en espray; niebla corporal pefumado a rosa en espray; pegatinas de arte corporal; piedras pómez para uso corporal; pintura corporal; pintura corporal de látex líquido; pintura corporal de látex líquido para uso cosmético; pintura corporal para uso cosmético; preparaciones de cuidado corporal no medicamentosas; preparaciones de cuidado corporal no medicinales; preparaciones de cuidado corporal y de belleza para uso cosmético; preparaciones para cuidados corporales y de belleza; productos cosméticos para el cuidado corporal; purpurina corporal; souflés corporal [preparaciones perfumadas para el cuidado del cuerpo]; souflés corporal en cuanto preparaciones perfumadas para el cuidado del cuerpo;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aceites cosméticos para la piel; aceites para el bronceado de la piel; aceites perfumados para el cuidado de la piel; acondicionadores para la piel; aerosoles cosméticos de uso tópico para la piel; bases de maquillaje para la piel; bronceadores para la piel; bálsamos [cremas] para disimular las imperfecciones de la piel; bálsamos para disimular las imperfecciones de la piel; composiciones para aclarar la piel [cosméticos]; correctores para disimular manchas e imperfecciones de la piel; cosméticos funcionales en cuanto preparaciones para blanquear la piel; cosméticos para broncear la piel; crema en gel para matificar la piel; crema para aclarar la piel; cremas acondicionadoras para la piel, de uso cosmético; cremas bronceadoras para la piel; cremas cosméticas para el cuidado de la piel; cremas cosméticas para la piel; cremas cosméticas para pieles secas; cremas cosméticas para reafirmar la piel; cremas cosméticas para tonificar la piel; cremas de bálsamo para disimular las imperfecciones de la piel; cremas emolientes reparadoras para el cuidado diario de la piel; cremas hidratantes para la piel [cosméticos]; cremas limpiadoras para la piel; cremas líquidas y sólidas para la piel; cremas no medicadas para aliviar la piel;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el cuidado de la piel; cremas no medicinales para la piel; cremas para aclarar la piel; cremas para broncear la piel; cremas para el cuidado de la piel que no sean de uso médico; cremas para el cuidado de la piel que no sean para uso médico; cremas para el cuidado de la piel, no medicinales; cremas para la piel; cremas para la piel de uso cosmético; cremas para la piel no medicinales a base de aceites esenciales para uso en aromaterapia; cremas para limpiar la piel [no medicinales]; cremas reparadoras para la piel [cosméticos]; cremas reparadoras para la piel de uso cosmético; cremas revitalizantes para la piel; emolientes para la piel; emolientes para la piel de uso cosmético; emulsiones, geles y lociones para el cuidado de la piel; espumas limpiadoras para la piel; espumas para el cuidado de la piel; exfoliantes para la piel; geles para acelerar, realzar y prolongar el bronceado de la piel; geles para el bronceado de la piel; hidratante para la piel; hidratantes para la piel; hidratantes para la piel utilizados como cosméticos; jabones para la piel; joyas de piel autoadhesivas para uso cosmético; joyas de piel en cuanto motivos decorativos para uso cosmético; joyas de piel en cuanto transferencias decorativas para uso cosmético; joyas de piel para uso cosmético; joyería de piel autoadhesivas para uso cosmético; joyería de piel en cuanto motivos decorativos para uso cosmético; joyería de piel en cuanto transferencias decorativas para uso cosmético; joyería de piel para uso cosmético; leches limpiadoras para el cuidado de la piel; limpiadores cosméticos para la piel; limpiadores de la piel; limpiadores de la piel [cosméticos]; limpiadores de la piel [productos cosméticos]; limpiadores de la piel a base de cáñamo; limpiadores de la piel no medicinales; limpiadores líquidos para la piel; limpiadores no medicinales para la piel; lociones cosméticas para el bronceado de la piel; lociones cosméticas para el cuidado de la piel; lociones cosméticas para la piel; lociones estimulantes no medicinales para la piel; lociones hidratantes para la piel; lociones hidratantes para la piel [cosméticos]; lociones lechosas para el cuidado de la piel; lociones limpiadoras para la piel; lociones lácteas para el cuidado de la piel; lociones no medicinales para aclarar la piel; lociones no medicinales para el cuidado de la piel [cosméticos]; lociones no medicinales para la piel; lociones para el bronceado de la piel; lociones para el cuidado de la piel; lociones para el cuidado de la piel [cosméticos]; lociones para la piel; lociones para la piel [productos cosméticos]; lociones para la piel no medicadas; lociones, cremas y aceites de aplicación tópica para la piel y el cuerpo, de uso cosmético; maquillaje para la piel; mascarillas faciales para tonificar la piel; mascarillas hidratantes para la piel; mascarillas para el cuidado de la piel de las manos; mascarillas para el cuidado de la piel de los pies; mascarillas para hidratar la piel; mascarillas para la piel; mascarillas para la piel [cosméticos]; mascarillas para la piel de uso cosmético; mascarillas para pieles grasas; papel secante para pieles grasas; parches cosméticos con filtro y pantalla solar para aplicar sobre la piel; paños impregnados de productos de limpieza para la piel; paños impregnados de productos limpiadores para la piel; paños o toallitas impregnados de productos limpiadores para la piel; preparaciones antiarrugas para el cuidado de la piel; preparaciones antienvejecimiento para el cuidado de la piel; preparaciones blanqueadoras para la piel [productos cosméticos]; preparaciones cosméticas contra la sequedad de la piel durante el embarazo; preparaciones cosméticas para el bronceado de la piel; preparaciones cosméticas para el cuidado de la piel; preparaciones cosméticas para el cuidado de la piel en forma de geles; preparaciones cosméticas para el cuidado y el tratamiento de la piel; preparaciones cosméticas para el tratamiento de la piel; preparaciones cosméticas para la regeneración de la piel; preparaciones cosméticas para proteger la piel de los rayos del sol; preparaciones cosméticas termoactivas para el cuidado de la piel; preparaciones desengrasantes para uso en la piel; preparaciones exfoliantes y de limpieza para la piel; preparaciones limpiadoras no medicamentosas para la piel; preparaciones limpiadoras no medicinales para la piel; preparaciones limpiadoras para pieles curtidas; preparaciones no medicinales para el cuidado de la piel; preparaciones para aclarar la piel [cosméticos]; preparaciones para blanquear la piel; preparaciones para blanquear la piel [cosméticos]; preparaciones para el bronceado de la piel; preparaciones para el cuidado de la piel; preparaciones para el cuidado de la piel [productos cosméticos]; preparaciones para el cuidado de la piel a base de cbd; preparaciones para el cuidado de la piel, no medicinales; preparados cosméticos para el tratamiento de la piel; preparados no medicinales para el cuidado de la piel; preparados para el cuidado de la piel a base de cbd; productos cosméticos en aerosol para el cuidado de la piel; productos cosméticos para el cuidado de la piel; productos cosméticos para el cuidado de la piel de los perros; productos cosméticos para la piel; productos cosméticos para proteger la piel contra los rayos del sol; productos no medicinales para el cuidado de la piel; productos para aclarar la piel; productos para afinar el grano de la piel; productos para el cuidado de la piel, no medicinales; productos para lustrar pieles curtidas; productos para mejorar la textura de la piel; productos para refrescar la piel; productos y preparaciones cosméticos para el cuidado de la piel; productos y preparaciones no medicinales para el cuidado de la piel; revitalizantes para la piel; serum calmante para la piel; serum para calmar la piel [cosmético]; sueros no medicados para la piel de la cara; sueros no medicinales para la piel; sueros para la piel a base de cáñamo; toallitas impregnadas con preparados para el cuidado de la piel; toallitas impregnadas con un limpiador de la piel; toallitas impregnadas de productos limpiadores para la piel; toallitas o paños impregnados de productos limpiadores para la piel; tónicos no medicinales para la piel; tónicos para la piel para uso cosmético.
</x:t>
        </x:is>
      </x:c>
      <x:c r="L349" s="3" t="inlineStr">
        <x:is>
          <x:t>No</x:t>
        </x:is>
      </x:c>
      <x:c r="M349" s="3" t="inlineStr">
        <x:is>
          <x:t/>
        </x:is>
      </x:c>
      <x:c r="N349" s="3" t="inlineStr">
        <x:is>
          <x:t/>
        </x:is>
      </x:c>
      <x:c r="O349" s="3" t="inlineStr">
        <x:is>
          <x:t>09 sept. 2022</x:t>
        </x:is>
      </x:c>
      <x:c r="P349" s="3" t="inlineStr">
        <x:is>
          <x:t/>
        </x:is>
      </x:c>
      <x:c r="Q349" s="3" t="inlineStr">
        <x:is>
          <x:t/>
        </x:is>
      </x:c>
    </x:row>
    <x:row r="350">
      <x:c r="A350" s="10" t="inlineStr">
        <x:f xml:space="preserve">HYPERLINK("http://sipi.sic.gov.co/sipi/View.ashx?4262409","SD2022/0075177")</x:f>
      </x:c>
      <x:c r="B350" s="3" t="inlineStr">
        <x:is>
          <x:t>PURO LIMPIO</x:t>
        </x:is>
      </x:c>
      <x:c r="C350" s="9" t="inlineStr">
        <x:is>
          <x:t/>
        </x:is>
      </x:c>
      <x:c r="D350" s="3" t="inlineStr">
        <x:is>
          <x:t>26 jul. 2022</x:t>
        </x:is>
      </x:c>
      <x:c r="E350" s="3" t="inlineStr">
        <x:is>
          <x:t/>
        </x:is>
      </x:c>
      <x:c r="F350" s="3" t="inlineStr">
        <x:is>
          <x:t>Negada</x:t>
        </x:is>
      </x:c>
      <x:c r="G350" s="3" t="inlineStr">
        <x:is>
          <x:t>puro limpio </x:t>
        </x:is>
      </x:c>
      <x:c r="H350" s="3" t="inlineStr">
        <x:is>
          <x:t>ROBERT BENJAMIN  BERMUDEZ ROA , CR 93A 72A-23, BOGOTA, CUNDINAMARCA 111051, CO</x:t>
        </x:is>
      </x:c>
      <x:c r="I350" s="3" t="inlineStr">
        <x:is>
          <x:t>3</x:t>
        </x:is>
      </x:c>
      <x:c r="J350" s="3" t="inlineStr">
        <x:is>
          <x:t>11</x:t>
        </x:is>
      </x:c>
      <x:c r="K350" s="3" t="inlineStr">
        <x:is>
          <x:t>3. Productos de limpieza para el hogar.
</x:t>
        </x:is>
      </x:c>
      <x:c r="L350" s="3" t="inlineStr">
        <x:is>
          <x:t>Sí</x:t>
        </x:is>
      </x:c>
      <x:c r="M350" s="3" t="inlineStr">
        <x:is>
          <x:t/>
        </x:is>
      </x:c>
      <x:c r="N350" s="3" t="inlineStr">
        <x:is>
          <x:t/>
        </x:is>
      </x:c>
      <x:c r="O350" s="3" t="inlineStr">
        <x:is>
          <x:t>09 dic. 2022</x:t>
        </x:is>
      </x:c>
      <x:c r="P350" s="3" t="inlineStr">
        <x:is>
          <x:t/>
        </x:is>
      </x:c>
      <x:c r="Q350" s="3" t="inlineStr">
        <x:is>
          <x:t/>
        </x:is>
      </x:c>
    </x:row>
    <x:row r="351">
      <x:c r="A351" s="10" t="inlineStr">
        <x:f xml:space="preserve">HYPERLINK("http://sipi.sic.gov.co/sipi/View.ashx?4263917","SD2022/0071532")</x:f>
      </x:c>
      <x:c r="B351" s="3" t="inlineStr">
        <x:is>
          <x:t>SOFTI</x:t>
        </x:is>
      </x:c>
      <x:c r="C351" s="9" t="inlineStr">
        <x:is>
          <x:t/>
        </x:is>
      </x:c>
      <x:c r="D351" s="3" t="inlineStr">
        <x:is>
          <x:t>14 jul. 2022</x:t>
        </x:is>
      </x:c>
      <x:c r="E351" s="3" t="inlineStr">
        <x:is>
          <x:t/>
        </x:is>
      </x:c>
      <x:c r="F351" s="3" t="inlineStr">
        <x:is>
          <x:t>Negada</x:t>
        </x:is>
      </x:c>
      <x:c r="G351" s="3" t="inlineStr">
        <x:is>
          <x:t>SOFTI</x:t>
        </x:is>
      </x:c>
      <x:c r="H351" s="3" t="inlineStr">
        <x:is>
          <x:t>SOFÍA VILLADA VALENCIA, carrera 25 # 38 D sur- 02, ENVIGADO, ANTIOQUIA, CO</x:t>
        </x:is>
      </x:c>
      <x:c r="I351" s="3" t="inlineStr">
        <x:is>
          <x:t>3</x:t>
        </x:is>
      </x:c>
      <x:c r="J351" s="3" t="inlineStr">
        <x:is>
          <x:t>11</x:t>
        </x:is>
      </x:c>
      <x:c r="K351" s="3" t="inlineStr">
        <x:is>
          <x:t>3. Preparaciones para limpiar, pulir, desengrasar y raspar; jabones no medicinales; productos de perfumería, aceites esenciales, cosméticos no medicinales, lociones capilares no medicinales; dentífricos no medicinales; aceite fijador para el cabello; aceite para el peinado del cabello; aceites para el cabello; aceites suavizantes para el cabello; acondicionadores de cabello; acondicionadores en barritas sólidas para el cabello; acondicionadores para el cabello; acondicionadores para uso en el cabello; adhesivos para pestañas, cabello y uñas postizos; baños de aceite para el cuidado del cabello; baños de aceite para el cuidado del cabello de uso cosmético; brillantina para el cabello; bálsamos para el cabello; cera para el cabello; champúes para el cabello;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para el cabello; espuma de protección para el cabello; espuma moldeadora para el cabello; espumas para el cabello; espumas para el cabello [productos de tocador]; geles de protección para el cabello; geles para dar forma al cabello; geles para el cabello; hidratantes para el cabello; jabones líquidos para el cabello y el cuerpo; lociones, cremas y preparaciones para el cuidado del rostro, cuerpo, cuero cabelludo, uñas y cabello; mascarillas para el cabello; mascarillas para el cabello y el cuero cabelludo; mascarillas para el cuidado del cabello.
</x:t>
        </x:is>
      </x:c>
      <x:c r="L351" s="3" t="inlineStr">
        <x:is>
          <x:t>Sí</x:t>
        </x:is>
      </x:c>
      <x:c r="M351" s="3" t="inlineStr">
        <x:is>
          <x:t>Maria Angelica  Cabarcas Padrón, calle 22 sur #44-50, MEDELLIN,, ANTIOQUIA, CO</x:t>
        </x:is>
      </x:c>
      <x:c r="N351" s="3" t="inlineStr">
        <x:is>
          <x:t/>
        </x:is>
      </x:c>
      <x:c r="O351" s="3" t="inlineStr">
        <x:is>
          <x:t>09 ago. 2022</x:t>
        </x:is>
      </x:c>
      <x:c r="P351" s="3" t="inlineStr">
        <x:is>
          <x:t/>
        </x:is>
      </x:c>
      <x:c r="Q351" s="3" t="inlineStr">
        <x:is>
          <x:t/>
        </x:is>
      </x:c>
    </x:row>
    <x:row r="352">
      <x:c r="A352" s="10" t="inlineStr">
        <x:f xml:space="preserve">HYPERLINK("http://sipi.sic.gov.co/sipi/View.ashx?4264506","SD2022/0071658")</x:f>
      </x:c>
      <x:c r="B352" s="3" t="inlineStr">
        <x:is>
          <x:t>AMERICA MISS</x:t>
        </x:is>
      </x:c>
      <x:c r="C352" s="3" t="inlineStr">
        <x:is>
          <x:t/>
        </x:is>
      </x:c>
      <x:c r="D352" s="3" t="inlineStr">
        <x:is>
          <x:t>15 jul. 2022</x:t>
        </x:is>
      </x:c>
      <x:c r="E352" s="3" t="inlineStr">
        <x:is>
          <x:t/>
        </x:is>
      </x:c>
      <x:c r="F352" s="3" t="inlineStr">
        <x:is>
          <x:t>Negada</x:t>
        </x:is>
      </x:c>
      <x:c r="G352" s="3" t="inlineStr">
        <x:is>
          <x:t/>
        </x:is>
      </x:c>
      <x:c r="H352" s="3" t="inlineStr">
        <x:is>
          <x:t> COLGENERICOS S.A., CRA 12 No.17-67, BOGOTÁ, D.C., CO</x:t>
        </x:is>
      </x:c>
      <x:c r="I352" s="3" t="inlineStr">
        <x:is>
          <x:t>3, 35</x:t>
        </x:is>
      </x:c>
      <x:c r="J352" s="3" t="inlineStr">
        <x:is>
          <x:t>11</x:t>
        </x:is>
      </x:c>
      <x:c r="K352" s="3" t="inlineStr">
        <x:is>
          <x:t>3. PRODUCTOS COSMÉTICOS, CREMAS COSMÉTICAS.
35. COMPRA, VENTA, IMPORTACIÓN, EXPORTACIÓN DE PRODUCTOS FARMACEUTICOS.
</x:t>
        </x:is>
      </x:c>
      <x:c r="L352" s="3" t="inlineStr">
        <x:is>
          <x:t>Sí</x:t>
        </x:is>
      </x:c>
      <x:c r="M352" s="3" t="inlineStr">
        <x:is>
          <x:t>CARLOS FERNANDO MORENO GARCIA, ​Calle 64 No 09 - 05 ofc 302 y 303, BOGOTÁ, D.C., CO</x:t>
        </x:is>
      </x:c>
      <x:c r="N352" s="3" t="inlineStr">
        <x:is>
          <x:t/>
        </x:is>
      </x:c>
      <x:c r="O352" s="3" t="inlineStr">
        <x:is>
          <x:t>09 sept. 2022</x:t>
        </x:is>
      </x:c>
      <x:c r="P352" s="3" t="inlineStr">
        <x:is>
          <x:t/>
        </x:is>
      </x:c>
      <x:c r="Q352" s="3" t="inlineStr">
        <x:is>
          <x:t/>
        </x:is>
      </x:c>
    </x:row>
    <x:row r="353">
      <x:c r="A353" s="10" t="inlineStr">
        <x:f xml:space="preserve">HYPERLINK("http://sipi.sic.gov.co/sipi/View.ashx?4264960","SD2022/0074634")</x:f>
      </x:c>
      <x:c r="B353" s="3" t="inlineStr">
        <x:is>
          <x:t>BY VERÓNICA MAZO</x:t>
        </x:is>
      </x:c>
      <x:c r="C353" s="9" t="inlineStr">
        <x:is>
          <x:t/>
        </x:is>
      </x:c>
      <x:c r="D353" s="3" t="inlineStr">
        <x:is>
          <x:t>25 jul. 2022</x:t>
        </x:is>
      </x:c>
      <x:c r="E353" s="3" t="inlineStr">
        <x:is>
          <x:t/>
        </x:is>
      </x:c>
      <x:c r="F353" s="3" t="inlineStr">
        <x:is>
          <x:t>Negada</x:t>
        </x:is>
      </x:c>
      <x:c r="G353" s="3" t="inlineStr">
        <x:is>
          <x:t>By Verónica Mazo</x:t>
        </x:is>
      </x:c>
      <x:c r="H353" s="3" t="inlineStr">
        <x:is>
          <x:t>LISET JOHANA CHAVARRIA MAZO, Calle 39 # 52 40  Apartamento 421 Edificio Mediterránea, BELLO, ANTIOQUIA, CO</x:t>
        </x:is>
      </x:c>
      <x:c r="I353" s="3" t="inlineStr">
        <x:is>
          <x:t>3, 44</x:t>
        </x:is>
      </x:c>
      <x:c r="J353" s="3" t="inlineStr">
        <x:is>
          <x:t>11</x:t>
        </x:is>
      </x:c>
      <x:c r="K353" s="3" t="inlineStr">
        <x:is>
          <x:t>3. Aceite de coco para uso cosmético; aceite de masaje, no medicinal; aceite de neem para uso cosmético; aceite de ricino para uso cosmético; aceite de rosas para uso cosmético; aceites aromáticos; aceites cosméticos; aceites de aromaterapia; aceites esenciales; aceites esenciales naturales; aceites esenciales para uso doméstico; aceites esenciales para uso personal; aceites faciales; aceites para uso cosmético; aceites y lociones de masaje; aceites y sales de baño; acondicionadores para la piel; bronceadores para la piel; bálsamos [cremas] para disimular las imperfecciones de la piel; ceras de masaje, que no sean para uso médico; cosméticos; cosméticos de belleza; cosméticos ecológicos; cosméticos en forma de cremas; cosméticos en forma de polvos; cosméticos naturales; cosméticos no medicinales; cosméticos orgánicos; cosméticos para broncear la piel; cosméticos para cuidados corporales y estéticos; cosméticos para el cuidado del cuerpo; cosméticos para tratamiento de belleza cosméticos para el cuidado de belleza; cosméticos y preparaciones de cuidado personal; crema corporal; crema corporal para uso cosmético; crema en gel para matificar la piel; crema limpiadora; crema para las manos; cremas acondicionadoras; cremas acondicionadoras para la piel, de uso cosmético; cremas antiarrugas; cremas antiarrugas para uso cosmético; cremas antienvejecimiento; cremas antienvejecimiento para uso cosmético; cremas autobronceadoras; cremas bronceadoras para la piel; cremas con filtro solar; cremas con filtro solar para uso cosmético; cremas con vitamina a para uso cosmético; cremas corporales; cremas corporales [cosméticos]; cremas cosméticas; cremas cosméticas de masaje;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de belleza; cremas de belleza para el cuerpo; cremas de belleza para el rostro y el cuerpo; cremas de bálsamo para disimular las imperfecciones de la piel; cremas de ducha; cremas de día; cremas de limpieza [cosméticos]; cremas de limpieza [para uso cosmético]; cremas de limpieza [productos cosméticos]; cremas de limpieza para uso cosmético; cremas de noche; cremas exfoliantes; cremas exfoliantes para uso cosmético; cremas faciales; cremas faciales para uso cosmético; cremas hidratantes; cremas desmaquillantes; cremas emolientes reparadoras para el cuidado diario de la piel; cremas limpiadoras; cremas limpiadoras para la piel; cremas limpiadoras para uso cosmético; cremas para atenuar las manchas de la vejez de uso cosmético; cremas para dar firmeza al cuerpo; cremas para después del sol; cremas para el cuidado de la piel que no sean de uso médico; cremas para el cuidado de la piel, no medicinales; cremas para el rostro; cremas para el rostro de uso cosmético; cremas para la piel; cremas para reducir la celulitis; cremas perfumadas; cremas perfumadas para el cuerpo; cremas reafirmantes corporales; cremas reafirmantes para el cuerpo; cremas regeneradoras; cremas tonificantes [cosméticos]; cremas, aceites, lociones y preparaciones limpiadoras e hidratantes;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el cuidado de la piel; cremas no medicinales para la piel; cremas no medicinales para los pies; cremas orgánicas de estiramiento facial; cremas para el rostro y el cuerpo; cremas para el rostro y el cuerpo de uso cosmético; cremas para la cara [cosméticos]; cremas para la piel de uso cosmético; cremas y geles cosméticos para cara, manos y cuerpo; cremas y geles cosméticos para rostro, manos y cuerpo; desmaquilladores; desodorantes antitranspirantes; desodorantes corporales; desodorantes corporales [perfumería]; desodorantes corporales [productos de perfumería]; desodorantes para uso personal; emolientes para la piel; emulsiones faciales; emulsiones faciales de vitalidad; emulsiones faciales para uso cosmético; emulsiones para el cuerpo; espuma limpiadora; espumas [cosméticas]; exfoliante corporal; exfoliantes; exfoliantes [preparaciones cosméticas]; exfoliantes corporales; exfoliantes corporales cosméticos; exfoliantes corporales para uso cosmético; exfoliantes faciales; exfoliantes faciales y corporales no medicamentosos; exfoliantes faciales y corporales no medicinales; exfoliantes para la cara; exfoliantes para la piel; exfoliantes para labios; exfoliantes para las manos; fondo de maquillaje; fragancias; geles bronceadores [cosméticos]; geles cosméticos; geles de baño no medicinales; geles de belleza; geles corporales y faciales [cosméticos]; geles no medicinales; jabones cosméticos; jabones en crema; jabones en crema para el cuerpo; jabones en forma líquida; jabones en polvo no medicinales; jabones líquidos no medicinales; jabones líquidos para baños de pies; jabones líquidos para las manos y el rostro; jabones líquidos para las manos, el rostro y el cuerpo; jabones no medicinales; jabones para la piel; leches bronceadoras; leches bronceadoras [cosméticos]; leches para el cuerpo; lociones corporales; lociones cosméticas para el rostro; lociones de belleza; lociones desmaquillantes; lociones faciales; lociones faciales [cosméticos]; lociones faciales no medicadas; lociones hidratantes para el cuerpo [cosméticos]; lociones hidratantes para la piel [cosméticos]; lociones limpiadoras no medicadas; lociones no medicinales para la piel; lociones para el cuidado de la piel; lociones para el cuidado del rostro y del cuerpo; lociones para las manos; lociones perfumadas para el cuerpo; lociones, cremas y aceites de aplicación tópica para la piel y el cuerpo, de uso cosmético; manteca corporal para uso cosmético; mascarillas corporales en forma de cremas; mascarillas corporales en forma de cremas para uso cosmético; mascarillas corporales en forma de lociones para uso cosmético; mascarillas corporales en polvo para uso cosmético; mascarillas cosméticas; mascarillas cosméticas para el cutis; mascarillas de belleza; mascarillas faciales de belleza; mascarillas faciales de carboncillo; mascarillas faciales limpiadoras; preparaciones cosméticas; preparaciones cosméticas adelgazantes; preparaciones cosméticas para el cuidado de la piel; preparaciones cosméticas para el cuidado del cuerpo; preparaciones cosméticas para el rostro y el cuerpo; preparaciones faciales; preparaciones faciales [cosméticos]; preparaciones limpiadoras no medicamentosas para la piel; preparaciones limpiadoras no medicinales para la piel; preparaciones no medicinales para masajes; productos cosméticos no medicinales; productos cosméticos para la piel; sueros de belleza; sueros faciales; sueros faciales para uso cosmético; sueros no medicados para la piel de la cara; sueros no medicinales para la piel; tónicos cosméticos; tónicos faciales; tónicos no medicinales para la piel.
44. Asesoramiento en belleza; asesoramiento en estética; asesoramiento en materia de cuidados de belleza; asesoramiento en materia de masajes; asesoría en belleza; consultoría en belleza; consultoría en cosmética; consultoría en estética; electrólisis y depilación; eliminación de la celulitis corporal; masaje ayurvédico; masaje de tejidos profundos; masaje shiatsu; masajes; masajes a domicilio; masajes ayurvédicos; masajes balinés; masajes california; masajes con piedras calientes; masajes de aromaterapias; masajes de liberación de los puntos gatillos de tensión; masajes descontracturantes; masajes relajantes; masajes suecos; masajes tailandeses; masajes tailandés; masajes tao; ozonoterapia; reflexología; servicios de aplicación de maquillaje; servicios de aromaterapia; servicios de asesoramiento en materia de control de peso; servicios de asesoramiento en materia de reducción de peso; servicios de asesoramiento en nutrición; servicios de bronceado artificial; servicios de bronceado con aerosoles; servicios de bronceado con aerógrafo; servicios de centros de bronceado de la piel; servicios de consultas sobre belleza; servicios de consultas sobre tratamientos de belleza; servicios de consultoría en estética; servicios de cuidados cosméticos corporales; servicios de cuidados de belleza; servicios de cuidados de belleza e higiene; servicios de cuidados de belleza y peluquería; servicios de cuidados de higiene y de belleza; servicios de cuidados de higiene y de belleza para personas; servicios de depilación; servicios de depilación con láser; servicios de masaje a domicilio; servicios de masaje ayurvédico; servicios de masaje balinés; servicios de masaje california; servicios de masaje con piedras calientes; servicios de masaje de aromaterapia; servicios de masaje de liberación de los puntos gatillos de tensión; servicios de masaje descontracturante; servicios de masaje para el alivio del estrés en la oficina; servicios de masaje para eventos de empresas; servicios de masaje relajante; servicios de masaje shiatsu; servicios de masaje sueco; servicios de masaje tailandés; servicios de masaje tao; servicios de masajes; servicios de masajes curativos; servicios de masajes de pies; servicios de masajes tradicionales japoneses; suministro de información en materia de belleza; suministro de información sobre masajes; terapias ayurvédicas; terapias de belleza; terapias de trabajo corporal; tratamiento cosmético de bronceado por láser para personas; tratamientos de belleza; servicios de spa; servicios de terapia corporal; servicios de terapia de masaje; servicios de terapia de masaje con piedras calientes; servicios de terapia de masaje miofascial; servicios de terapia de masaje para hombres; servicios de terapia de masaje para mujeres; servicios de tratamiento de la celulitis; servicios de tratamientos cosméticos corporales; servicios de tratamientos cosméticos faciales y corporales; servicios de tratamientos de belleza; servicios de tratamientos faciales; suministro de información sobre masajes tradicionales japoneses; terapias de ayurveda.
</x:t>
        </x:is>
      </x:c>
      <x:c r="L353" s="3" t="inlineStr">
        <x:is>
          <x:t>No</x:t>
        </x:is>
      </x:c>
      <x:c r="M353" s="3" t="inlineStr">
        <x:is>
          <x:t>Clara Ines Velez Escobar, Carrera 42 # 3 sur 81, MEDELLIN, ANTIOQUIA 050021, CO</x:t>
        </x:is>
      </x:c>
      <x:c r="N353" s="3" t="inlineStr">
        <x:is>
          <x:t/>
        </x:is>
      </x:c>
      <x:c r="O353" s="3" t="inlineStr">
        <x:is>
          <x:t>19 ago. 2022</x:t>
        </x:is>
      </x:c>
      <x:c r="P353" s="3" t="inlineStr">
        <x:is>
          <x:t/>
        </x:is>
      </x:c>
      <x:c r="Q353" s="3" t="inlineStr">
        <x:is>
          <x:t/>
        </x:is>
      </x:c>
    </x:row>
    <x:row r="354">
      <x:c r="A354" s="10" t="inlineStr">
        <x:f xml:space="preserve">HYPERLINK("http://sipi.sic.gov.co/sipi/View.ashx?4265334","SD2022/0072191")</x:f>
      </x:c>
      <x:c r="B354" s="3" t="inlineStr">
        <x:is>
          <x:t>Muisca de Sol </x:t>
        </x:is>
      </x:c>
      <x:c r="C354" s="9" t="inlineStr">
        <x:is>
          <x:t/>
        </x:is>
      </x:c>
      <x:c r="D354" s="3" t="inlineStr">
        <x:is>
          <x:t>18 jul. 2022</x:t>
        </x:is>
      </x:c>
      <x:c r="E354" s="3" t="inlineStr">
        <x:is>
          <x:t/>
        </x:is>
      </x:c>
      <x:c r="F354" s="3" t="inlineStr">
        <x:is>
          <x:t>Negada</x:t>
        </x:is>
      </x:c>
      <x:c r="G354" s="3" t="inlineStr">
        <x:is>
          <x:t/>
        </x:is>
      </x:c>
      <x:c r="H354" s="3" t="inlineStr">
        <x:is>
          <x:t>July Daniela Susunaga Osorio , Carrera 10 a # 32-26, GIRARDOT, CUNDINAMARCA, CO</x:t>
        </x:is>
      </x:c>
      <x:c r="I354" s="3" t="inlineStr">
        <x:is>
          <x:t>3, 25</x:t>
        </x:is>
      </x:c>
      <x:c r="J354" s="3" t="inlineStr">
        <x:is>
          <x:t>11</x:t>
        </x:is>
      </x:c>
      <x:c r="K354" s="3" t="inlineStr">
        <x:is>
          <x:t>3. Bronceadores para la piel; preparaciones de bloqueadores solares para uso cosmético; bloqueador solar [cosméticos]; aceites bronceadores [cosméticos]; aceites bronceadores de uso cosmético; aceites y lociones bronceadoras; autobronceadores; cremas autobronceadoras; cremas bronceadoras; cremas bronceadoras para la piel; cremas y lociones bronceadoras; cremas, lociones y otras preparaciones cosméticas bronceadoras; geles bronceadores; geles de aloe vera para uso cosmético; coloretes en crema; crema corporal; crema corporal para uso cosmético; crema en gel para matificar la piel; productos para aclarar el cabello.
25. Vestidos de baño; ropa de playa; calzado de playa; sandalias y zapatos de playa; sombreros de playa; vestidos de playa; ropa de atletismo; ropa de deporte; ropa de gimnasia.
</x:t>
        </x:is>
      </x:c>
      <x:c r="L354" s="3" t="inlineStr">
        <x:is>
          <x:t>No</x:t>
        </x:is>
      </x:c>
      <x:c r="M354" s="3" t="inlineStr">
        <x:is>
          <x:t/>
        </x:is>
      </x:c>
      <x:c r="N354" s="3" t="inlineStr">
        <x:is>
          <x:t/>
        </x:is>
      </x:c>
      <x:c r="O354" s="3" t="inlineStr">
        <x:is>
          <x:t>29 jul. 2022</x:t>
        </x:is>
      </x:c>
      <x:c r="P354" s="3" t="inlineStr">
        <x:is>
          <x:t/>
        </x:is>
      </x:c>
      <x:c r="Q354" s="3" t="inlineStr">
        <x:is>
          <x:t/>
        </x:is>
      </x:c>
    </x:row>
    <x:row r="355">
      <x:c r="A355" s="10" t="inlineStr">
        <x:f xml:space="preserve">HYPERLINK("http://sipi.sic.gov.co/sipi/View.ashx?4266041","SD2022/0072104")</x:f>
      </x:c>
      <x:c r="B355" s="3" t="inlineStr">
        <x:is>
          <x:t>UMMER PASSION</x:t>
        </x:is>
      </x:c>
      <x:c r="C355" s="9" t="inlineStr">
        <x:is>
          <x:t/>
        </x:is>
      </x:c>
      <x:c r="D355" s="3" t="inlineStr">
        <x:is>
          <x:t>15 jul. 2022</x:t>
        </x:is>
      </x:c>
      <x:c r="E355" s="3" t="inlineStr">
        <x:is>
          <x:t/>
        </x:is>
      </x:c>
      <x:c r="F355" s="3" t="inlineStr">
        <x:is>
          <x:t>Negada</x:t>
        </x:is>
      </x:c>
      <x:c r="G355" s="3" t="inlineStr">
        <x:is>
          <x:t>1012</x:t>
        </x:is>
      </x:c>
      <x:c r="H355" s="3" t="inlineStr">
        <x:is>
          <x:t>VIVIANA VARGAS, Calle 12 B # 6 - 82 OFC 1001 Edificio Fenalco, BOGOTÁ, D.C. 57, CO</x:t>
        </x:is>
      </x:c>
      <x:c r="I355" s="3" t="inlineStr">
        <x:is>
          <x:t>3</x:t>
        </x:is>
      </x:c>
      <x:c r="J355" s="3" t="inlineStr">
        <x:is>
          <x:t>11</x:t>
        </x:is>
      </x:c>
      <x:c r="K355" s="3" t="inlineStr">
        <x:is>
          <x:t>3. Preparaciones para limpiar, pulir, desengrasar y raspar; aceites esenciales; productos cosméticos; cremas para el cuerpo, jabones no medicinales; productos de perfumería, aceites esenciales, cosméticos no medicinales, lociones capilares no medicinales; dentífricos no medicinales.
</x:t>
        </x:is>
      </x:c>
      <x:c r="L355" s="3" t="inlineStr">
        <x:is>
          <x:t>No</x:t>
        </x:is>
      </x:c>
      <x:c r="M355" s="3" t="inlineStr">
        <x:is>
          <x:t>VIVIANA  GARCIA  VARGAS, Calle 12 B # 6 - 82 Oficina 1001 Edificio Fenalco , BOGOTÁ, D.C. 57, CO</x:t>
        </x:is>
      </x:c>
      <x:c r="N355" s="3" t="inlineStr">
        <x:is>
          <x:t/>
        </x:is>
      </x:c>
      <x:c r="O355" s="3" t="inlineStr">
        <x:is>
          <x:t>09 dic. 2022</x:t>
        </x:is>
      </x:c>
      <x:c r="P355" s="3" t="inlineStr">
        <x:is>
          <x:t/>
        </x:is>
      </x:c>
      <x:c r="Q355" s="3" t="inlineStr">
        <x:is>
          <x:t/>
        </x:is>
      </x:c>
    </x:row>
    <x:row r="356">
      <x:c r="A356" s="10" t="inlineStr">
        <x:f xml:space="preserve">HYPERLINK("http://sipi.sic.gov.co/sipi/View.ashx?4266289","SD2022/0072134")</x:f>
      </x:c>
      <x:c r="B356" s="3" t="inlineStr">
        <x:is>
          <x:t>CANNBIOL</x:t>
        </x:is>
      </x:c>
      <x:c r="C356" s="9" t="inlineStr">
        <x:is>
          <x:t/>
        </x:is>
      </x:c>
      <x:c r="D356" s="3" t="inlineStr">
        <x:is>
          <x:t>16 jul. 2022</x:t>
        </x:is>
      </x:c>
      <x:c r="E356" s="3" t="inlineStr">
        <x:is>
          <x:t/>
        </x:is>
      </x:c>
      <x:c r="F356" s="3" t="inlineStr">
        <x:is>
          <x:t>Negada</x:t>
        </x:is>
      </x:c>
      <x:c r="G356" s="3" t="inlineStr">
        <x:is>
          <x:t>CANNBIOL</x:t>
        </x:is>
      </x:c>
      <x:c r="H356" s="3" t="inlineStr">
        <x:is>
          <x:t> Cannbiol S.A.S., Calle 38 63 B 37 OF. 1001, MEDELLIN, ANTIOQUIA, CO</x:t>
        </x:is>
      </x:c>
      <x:c r="I356" s="3" t="inlineStr">
        <x:is>
          <x:t>3</x:t>
        </x:is>
      </x:c>
      <x:c r="J356" s="3" t="inlineStr">
        <x:is>
          <x:t>11</x:t>
        </x:is>
      </x:c>
      <x:c r="K35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356" s="3" t="inlineStr">
        <x:is>
          <x:t>No</x:t>
        </x:is>
      </x:c>
      <x:c r="M356" s="3" t="inlineStr">
        <x:is>
          <x:t>Lina Maritza Puerta Rincon, Calle 38 N° 63B - 37 Oficina 1001, MEDELLIN, ANTIOQUIA, CO</x:t>
        </x:is>
      </x:c>
      <x:c r="N356" s="3" t="inlineStr">
        <x:is>
          <x:t/>
        </x:is>
      </x:c>
      <x:c r="O356" s="3" t="inlineStr">
        <x:is>
          <x:t>31 oct. 2022</x:t>
        </x:is>
      </x:c>
      <x:c r="P356" s="3" t="inlineStr">
        <x:is>
          <x:t/>
        </x:is>
      </x:c>
      <x:c r="Q356" s="3" t="inlineStr">
        <x:is>
          <x:t/>
        </x:is>
      </x:c>
    </x:row>
    <x:row r="357">
      <x:c r="A357" s="10" t="inlineStr">
        <x:f xml:space="preserve">HYPERLINK("http://sipi.sic.gov.co/sipi/View.ashx?4268059","SD2022/0072427")</x:f>
      </x:c>
      <x:c r="B357" s="3" t="inlineStr">
        <x:is>
          <x:t>LISO EXTREMO KERATINA TRATAMIENTO INTENSIVO</x:t>
        </x:is>
      </x:c>
      <x:c r="C357" s="9" t="inlineStr">
        <x:is>
          <x:t/>
        </x:is>
      </x:c>
      <x:c r="D357" s="3" t="inlineStr">
        <x:is>
          <x:t>18 jul. 2022</x:t>
        </x:is>
      </x:c>
      <x:c r="E357" s="3" t="inlineStr">
        <x:is>
          <x:t/>
        </x:is>
      </x:c>
      <x:c r="F357" s="3" t="inlineStr">
        <x:is>
          <x:t>Negada</x:t>
        </x:is>
      </x:c>
      <x:c r="G357" s="3" t="inlineStr">
        <x:is>
          <x:t/>
        </x:is>
      </x:c>
      <x:c r="H357" s="3" t="inlineStr">
        <x:is>
          <x:t>WILLIAM DE JESUS  MEJIA MARIN, CR 3 NRO. 16-76, CARTAGO, VALLE DEL CAUCA, CO</x:t>
        </x:is>
      </x:c>
      <x:c r="I357" s="3" t="inlineStr">
        <x:is>
          <x:t>3, 44</x:t>
        </x:is>
      </x:c>
      <x:c r="J357" s="3" t="inlineStr">
        <x:is>
          <x:t>11</x:t>
        </x:is>
      </x:c>
      <x:c r="K357" s="3" t="inlineStr">
        <x:is>
          <x:t>3. Cremas bálsamos de belleza; cremas de belleza; cremas de belleza para el cuerpo; cremas de belleza para el rostro y el cuerpo; geles de belleza; leches de belleza; lociones de belleza; mascarillas de belleza; mascarillas de belleza para el cabello; preparaciones para el cuidado del cabello; preparaciones para el cuidado del cuero cabelludo y del cabello; preparaciones para el cuidado del cuerpo y la belleza; productos cosméticos y de belleza; sueros de belleza; bálsamos para el cabello; cera para el cabello; ceras para el peinado del cabello; cosméticos para el cabello; cremas para el cabello; preparaciones para alisar el cabello.
44. Asesoramiento en materia de cuidados de belleza; consultoría en tratamientos corporales y de belleza; servicios de cuidados de belleza y peluquería; servicios de cuidados de belleza; servicios de peluquerías y salones de belleza; tratamientos de belleza.
</x:t>
        </x:is>
      </x:c>
      <x:c r="L357" s="3" t="inlineStr">
        <x:is>
          <x:t>No</x:t>
        </x:is>
      </x:c>
      <x:c r="M357" s="3" t="inlineStr">
        <x:is>
          <x:t>JORGE MARIO MARIN QUINTERO, calle 13 No 3-41, CARTAGO, VALLE DEL CAUCA, CO</x:t>
        </x:is>
      </x:c>
      <x:c r="N357" s="3" t="inlineStr">
        <x:is>
          <x:t/>
        </x:is>
      </x:c>
      <x:c r="O357" s="3" t="inlineStr">
        <x:is>
          <x:t>29 jul. 2022</x:t>
        </x:is>
      </x:c>
      <x:c r="P357" s="3" t="inlineStr">
        <x:is>
          <x:t/>
        </x:is>
      </x:c>
      <x:c r="Q357" s="3" t="inlineStr">
        <x:is>
          <x:t/>
        </x:is>
      </x:c>
    </x:row>
    <x:row r="358">
      <x:c r="A358" s="10" t="inlineStr">
        <x:f xml:space="preserve">HYPERLINK("http://sipi.sic.gov.co/sipi/View.ashx?4269327","SD2022/0075695")</x:f>
      </x:c>
      <x:c r="B358" s="3" t="inlineStr">
        <x:is>
          <x:t>CB Konby</x:t>
        </x:is>
      </x:c>
      <x:c r="C358" s="9" t="inlineStr">
        <x:is>
          <x:t/>
        </x:is>
      </x:c>
      <x:c r="D358" s="3" t="inlineStr">
        <x:is>
          <x:t>27 jul. 2022</x:t>
        </x:is>
      </x:c>
      <x:c r="E358" s="3" t="inlineStr">
        <x:is>
          <x:t/>
        </x:is>
      </x:c>
      <x:c r="F358" s="3" t="inlineStr">
        <x:is>
          <x:t>Negada</x:t>
        </x:is>
      </x:c>
      <x:c r="G358" s="3" t="inlineStr">
        <x:is>
          <x:t>cb konby</x:t>
        </x:is>
      </x:c>
      <x:c r="H358" s="3" t="inlineStr">
        <x:is>
          <x:t>JOHANNA SHIRLEY CANTOR SANCHEZ,  CL 21 24 53 LC 1, ARMENIA, QUINDIO, CO</x:t>
        </x:is>
      </x:c>
      <x:c r="I358" s="3" t="inlineStr">
        <x:is>
          <x:t>3, 35, 44</x:t>
        </x:is>
      </x:c>
      <x:c r="J358" s="3" t="inlineStr">
        <x:is>
          <x:t>11</x:t>
        </x:is>
      </x:c>
      <x:c r="K358" s="3" t="inlineStr">
        <x:is>
          <x:t>3. Colonias, perfumes y productos cosméticos; cosméticos; cosméticos a base de cannabis; cosméticos de belleza.
35. Asesoramiento sobre productos de consumo en relación con productos cosméticos; servicio de distribución comercial en el ámbito de los cosméticos; servicios de información sobre productos de consumo relacionados con productos cosméticos; servicios de publicidad en relación con productos cosméticos; servicios de revendedores en el ámbito de los cosméticos; servicios de venta de tienda al por menor en línea de productos cosméticos y de belleza; servicios de venta de tienda minorista en línea de productos cosméticos y de belleza; servicios de venta de tienda minorista en línea en relación con productos cosméticos y de belleza; servicios de venta de tienda minorista en línea que incluyen productos cosméticos y de belleza; servicios de venta minorista en línea de cosméticos; servicios de venta minorista en línea de productos cosméticos; servicios de venta minorista en línea de productos cosméticos y de belleza, así como de prendas de vestir y complementos; servicios de venta minorista en línea en relación con productos cosméticos; servicios de venta minorista o mayorista de productos cosméticos.
44. Servicios de análisis cosmético para seleccionar los productos cosméticos más adecuados según las facciones y el tono de piel de cada persona; servicios de cuidados cosméticos corporales; servicios de tratamientos cosméticos corporales, faciales.
</x:t>
        </x:is>
      </x:c>
      <x:c r="L358" s="3" t="inlineStr">
        <x:is>
          <x:t>No</x:t>
        </x:is>
      </x:c>
      <x:c r="M358" s="3" t="inlineStr">
        <x:is>
          <x:t>LUZ ANGELA GOMEZ ARIAS, CARRERA 43B 14-51 OF 703, MEDELLIN, ANTIOQUIA, CO</x:t>
        </x:is>
      </x:c>
      <x:c r="N358" s="3" t="inlineStr">
        <x:is>
          <x:t/>
        </x:is>
      </x:c>
      <x:c r="O358" s="3" t="inlineStr">
        <x:is>
          <x:t>11 oct. 2022</x:t>
        </x:is>
      </x:c>
      <x:c r="P358" s="3" t="inlineStr">
        <x:is>
          <x:t/>
        </x:is>
      </x:c>
      <x:c r="Q358" s="3" t="inlineStr">
        <x:is>
          <x:t/>
        </x:is>
      </x:c>
    </x:row>
    <x:row r="359">
      <x:c r="A359" s="10" t="inlineStr">
        <x:f xml:space="preserve">HYPERLINK("http://sipi.sic.gov.co/sipi/View.ashx?4269572","SD2022/0072693")</x:f>
      </x:c>
      <x:c r="B359" s="3" t="inlineStr">
        <x:is>
          <x:t>WEST QUATERSAN</x:t>
        </x:is>
      </x:c>
      <x:c r="C359" s="3" t="inlineStr">
        <x:is>
          <x:t/>
        </x:is>
      </x:c>
      <x:c r="D359" s="3" t="inlineStr">
        <x:is>
          <x:t>19 jul. 2022</x:t>
        </x:is>
      </x:c>
      <x:c r="E359" s="3" t="inlineStr">
        <x:is>
          <x:t/>
        </x:is>
      </x:c>
      <x:c r="F359" s="3" t="inlineStr">
        <x:is>
          <x:t>Negada</x:t>
        </x:is>
      </x:c>
      <x:c r="G359" s="3" t="inlineStr">
        <x:is>
          <x:t>7601</x:t>
        </x:is>
      </x:c>
      <x:c r="H359" s="3" t="inlineStr">
        <x:is>
          <x:t> ELECTROQUIMICA WEST S.A. ELECTROWEST, CR 50 NO. 76 D SUR - 52, LA ESTRELLA, ANTIOQUIA, CO</x:t>
        </x:is>
      </x:c>
      <x:c r="I359" s="3" t="inlineStr">
        <x:is>
          <x:t>3, 5</x:t>
        </x:is>
      </x:c>
      <x:c r="J359" s="3" t="inlineStr">
        <x:is>
          <x:t>11</x:t>
        </x:is>
      </x:c>
      <x:c r="K359" s="3" t="inlineStr">
        <x:is>
          <x:t>3. Productos para el cuidado personal; tabletas para limpieza desinfectantes; cosméticos no medicinales; jabones cosméticos; aceites esenciales; geles no para uso médico, pañitos húmedos; pañuelos o toallas de limpieza pre humedecidas o impregnadas.
5. Productos antibacterianos para lavar las manos; preparaciones antisépticas para lavarse; limpiadores antisépticos; desinfectantes; desinfectantes para uso higiénico; jabones antibacterianos; jabones desinfectantes; jabones antisépticos; geles antisépticos; geles antibacteriales; y sprays antisépticos.
</x:t>
        </x:is>
      </x:c>
      <x:c r="L359" s="3" t="inlineStr">
        <x:is>
          <x:t>No</x:t>
        </x:is>
      </x:c>
      <x:c r="M359" s="3" t="inlineStr">
        <x:is>
          <x:t>EDUARDO DORADO SANCHEZ , Calle 123 No. 7 - 51 Oficina 902, BOGOTÁ, D.C., CO</x:t>
        </x:is>
      </x:c>
      <x:c r="N359" s="3" t="inlineStr">
        <x:is>
          <x:t/>
        </x:is>
      </x:c>
      <x:c r="O359" s="3" t="inlineStr">
        <x:is>
          <x:t>17 mar. 2025</x:t>
        </x:is>
      </x:c>
      <x:c r="P359" s="3" t="inlineStr">
        <x:is>
          <x:t/>
        </x:is>
      </x:c>
      <x:c r="Q359" s="3" t="inlineStr">
        <x:is>
          <x:t/>
        </x:is>
      </x:c>
    </x:row>
    <x:row r="360">
      <x:c r="A360" s="10" t="inlineStr">
        <x:f xml:space="preserve">HYPERLINK("http://sipi.sic.gov.co/sipi/View.ashx?4270142","SD2022/0072801")</x:f>
      </x:c>
      <x:c r="B360" s="3" t="inlineStr">
        <x:is>
          <x:t>SELVE</x:t>
        </x:is>
      </x:c>
      <x:c r="C360" s="9" t="inlineStr">
        <x:is>
          <x:t/>
        </x:is>
      </x:c>
      <x:c r="D360" s="3" t="inlineStr">
        <x:is>
          <x:t>19 jul. 2022</x:t>
        </x:is>
      </x:c>
      <x:c r="E360" s="3" t="inlineStr">
        <x:is>
          <x:t/>
        </x:is>
      </x:c>
      <x:c r="F360" s="3" t="inlineStr">
        <x:is>
          <x:t>Negada</x:t>
        </x:is>
      </x:c>
      <x:c r="G360" s="3" t="inlineStr">
        <x:is>
          <x:t>Selve</x:t>
        </x:is>
      </x:c>
      <x:c r="H360" s="3" t="inlineStr">
        <x:is>
          <x:t>SEBASTIAN ORREGO HENAO, Calle 27 #21-36, LA CEJA, ANTIOQUIA, CO</x:t>
        </x:is>
      </x:c>
      <x:c r="I360" s="3" t="inlineStr">
        <x:is>
          <x:t>3</x:t>
        </x:is>
      </x:c>
      <x:c r="J360" s="3" t="inlineStr">
        <x:is>
          <x:t>11</x:t>
        </x:is>
      </x:c>
      <x:c r="K360" s="3" t="inlineStr">
        <x:is>
          <x:t>3. Preparaciones bronceadoras y de protección solar; champús capilares; geles capilares; lociones capilares cosméticas; lociones capilares*; preparaciones capilares de protección solar; productos de perfumería, aceites esenciales, cosméticos no medicinales, lociones capilares no medicinales; aceites faciales; cremas faciales; geles corporales y faciales [cosméticos]; hidratantes faciales; hidratantes faciales de uso cosmético; jabones faciales; jabones cosméticos; jabones de baño; jabones de ducha; jabones de tocador; jabones desodorantes; jabones en crema; jabones en forma líquida.
</x:t>
        </x:is>
      </x:c>
      <x:c r="L360" s="3" t="inlineStr">
        <x:is>
          <x:t>Sí</x:t>
        </x:is>
      </x:c>
      <x:c r="M360" s="3" t="inlineStr">
        <x:is>
          <x:t>ALVARO JOSE  LUNA PELAEZ, CALLE 17AN No. 8N - 60, PISO 2, CALI, VALLE DEL CAUCA, CO</x:t>
        </x:is>
      </x:c>
      <x:c r="N360" s="3" t="inlineStr">
        <x:is>
          <x:t/>
        </x:is>
      </x:c>
      <x:c r="O360" s="3" t="inlineStr">
        <x:is>
          <x:t>30 ago. 2022</x:t>
        </x:is>
      </x:c>
      <x:c r="P360" s="3" t="inlineStr">
        <x:is>
          <x:t/>
        </x:is>
      </x:c>
      <x:c r="Q360" s="3" t="inlineStr">
        <x:is>
          <x:t/>
        </x:is>
      </x:c>
    </x:row>
    <x:row r="361">
      <x:c r="A361" s="10" t="inlineStr">
        <x:f xml:space="preserve">HYPERLINK("http://sipi.sic.gov.co/sipi/View.ashx?4270565","SD2022/0073330")</x:f>
      </x:c>
      <x:c r="B361" s="3" t="inlineStr">
        <x:is>
          <x:t>D´care</x:t>
        </x:is>
      </x:c>
      <x:c r="C361" s="9" t="inlineStr">
        <x:is>
          <x:t/>
        </x:is>
      </x:c>
      <x:c r="D361" s="3" t="inlineStr">
        <x:is>
          <x:t>21 jul. 2022</x:t>
        </x:is>
      </x:c>
      <x:c r="E361" s="3" t="inlineStr">
        <x:is>
          <x:t/>
        </x:is>
      </x:c>
      <x:c r="F361" s="3" t="inlineStr">
        <x:is>
          <x:t>Negada</x:t>
        </x:is>
      </x:c>
      <x:c r="G361" s="3" t="inlineStr">
        <x:is>
          <x:t>153121</x:t>
        </x:is>
      </x:c>
      <x:c r="H361" s="3" t="inlineStr">
        <x:is>
          <x:t> GENERAL DOLLAR SOURCING INC., Edificio Times Square Center, Piso No. 30, Costa del Este, CIUDAD DE PANAMA, PANAMA, PA</x:t>
        </x:is>
      </x:c>
      <x:c r="I361" s="3" t="inlineStr">
        <x:is>
          <x:t>3, 5, 8, 21</x:t>
        </x:is>
      </x:c>
      <x:c r="J361" s="3" t="inlineStr">
        <x:is>
          <x:t>11</x:t>
        </x:is>
      </x:c>
      <x:c r="K361" s="3" t="inlineStr">
        <x:is>
          <x:t>3. Shampoo, acondicionador, cremas corporales, gel de ducha, jabón líquido, jabón de manos, productos de cuidado personal, cremas faciales, toallitas impregnadas de preparaciones desmaquillantes, desodorantes, spray (rociadores) corporales [cosméticos], limpiadores faciales, gel de afeitar, crema para depilar, cremas dentales, perfumería (body spray), productos para el cabello, tintes para cabello, esmaltes, quitaesmaltes, mascarillas faciales, ceras corporales (depilatorias), jabón corporal de barra, preparaciones exfoliantes, aceites corporales, cremas reductoras [preparaciones cosméticas adelgazantes], desodorantes en spray y talco para pies, enjuagues bucales que no sean para uso médico, preparaciones de higiene íntima para uso sanitario.
5. Desinfectantes, enjuague bucal (para uso médico), compresas higiénicas, toallas sanitarias, jabones íntimos medicinales.
8. Rasuradoras, cortaúñas eléctricos o no, alicates, limas de uñas.
21. Cepillos de dientes.
</x:t>
        </x:is>
      </x:c>
      <x:c r="L361" s="3" t="inlineStr">
        <x:is>
          <x:t>No</x:t>
        </x:is>
      </x:c>
      <x:c r="M361" s="3" t="inlineStr">
        <x:is>
          <x:t>JUAN PABLO CADENA SARMIENTO, CALLE 70A No. 4-41 PISO 4, BOGOTÁ, D.C., CO</x:t>
        </x:is>
      </x:c>
      <x:c r="N361" s="3" t="inlineStr">
        <x:is>
          <x:t/>
        </x:is>
      </x:c>
      <x:c r="O361" s="3" t="inlineStr">
        <x:is>
          <x:t>09 sept. 2022</x:t>
        </x:is>
      </x:c>
      <x:c r="P361" s="3" t="inlineStr">
        <x:is>
          <x:t/>
        </x:is>
      </x:c>
      <x:c r="Q361" s="3" t="inlineStr">
        <x:is>
          <x:t/>
        </x:is>
      </x:c>
    </x:row>
    <x:row r="362">
      <x:c r="A362" s="10" t="inlineStr">
        <x:f xml:space="preserve">HYPERLINK("http://sipi.sic.gov.co/sipi/View.ashx?4270635","SD2022/0073023")</x:f>
      </x:c>
      <x:c r="B362" s="3" t="inlineStr">
        <x:is>
          <x:t>PROSA</x:t>
        </x:is>
      </x:c>
      <x:c r="C362" s="9" t="inlineStr">
        <x:is>
          <x:t/>
        </x:is>
      </x:c>
      <x:c r="D362" s="3" t="inlineStr">
        <x:is>
          <x:t>19 jul. 2022</x:t>
        </x:is>
      </x:c>
      <x:c r="E362" s="3" t="inlineStr">
        <x:is>
          <x:t/>
        </x:is>
      </x:c>
      <x:c r="F362" s="3" t="inlineStr">
        <x:is>
          <x:t>Negada</x:t>
        </x:is>
      </x:c>
      <x:c r="G362" s="3" t="inlineStr">
        <x:is>
          <x:t>Proceso de Registro de marca PROSA</x:t>
        </x:is>
      </x:c>
      <x:c r="H362" s="3" t="inlineStr">
        <x:is>
          <x:t>DUVAN ALEXANDER GIRALDO GÓMEZ, CARRERA 53 # 45-50 PISO 11. BODEGA 1109, MEDELLIN, ANTIOQUIA, CO</x:t>
        </x:is>
      </x:c>
      <x:c r="I362" s="3" t="inlineStr">
        <x:is>
          <x:t>3</x:t>
        </x:is>
      </x:c>
      <x:c r="J362" s="3" t="inlineStr">
        <x:is>
          <x:t>11</x:t>
        </x:is>
      </x:c>
      <x:c r="K362" s="3" t="inlineStr">
        <x:is>
          <x:t>3. Máscara de pestañas; adhesivos para falsas pestañas; cosméticos para pestañas; extensiones de pestañas; máscaras para pestañas largas; pestañas postizas; preparaciones cosméticas para pestañas; tintes para pestañas; cosméticos; cosméticos para las cejas; maquillaje; maquillajes de ojos.
</x:t>
        </x:is>
      </x:c>
      <x:c r="L362" s="3" t="inlineStr">
        <x:is>
          <x:t>Sí</x:t>
        </x:is>
      </x:c>
      <x:c r="M362" s="3" t="inlineStr">
        <x:is>
          <x:t>RODRIGO  VANEGAS GAVIRIA, CALLE 52 # 47-28 OF.329, MEDELLIN, ANTIOQUIA 050001, CO</x:t>
        </x:is>
      </x:c>
      <x:c r="N362" s="3" t="inlineStr">
        <x:is>
          <x:t/>
        </x:is>
      </x:c>
      <x:c r="O362" s="3" t="inlineStr">
        <x:is>
          <x:t>09 sept. 2022</x:t>
        </x:is>
      </x:c>
      <x:c r="P362" s="3" t="inlineStr">
        <x:is>
          <x:t/>
        </x:is>
      </x:c>
      <x:c r="Q362" s="3" t="inlineStr">
        <x:is>
          <x:t/>
        </x:is>
      </x:c>
    </x:row>
    <x:row r="363">
      <x:c r="A363" s="10" t="inlineStr">
        <x:f xml:space="preserve">HYPERLINK("http://sipi.sic.gov.co/sipi/View.ashx?4270833","SD2022/0073199")</x:f>
      </x:c>
      <x:c r="B363" s="3" t="inlineStr">
        <x:is>
          <x:t>TIERRA</x:t>
        </x:is>
      </x:c>
      <x:c r="C363" s="9" t="inlineStr">
        <x:is>
          <x:t/>
        </x:is>
      </x:c>
      <x:c r="D363" s="3" t="inlineStr">
        <x:is>
          <x:t>05 ago. 2022</x:t>
        </x:is>
      </x:c>
      <x:c r="E363" s="3" t="inlineStr">
        <x:is>
          <x:t/>
        </x:is>
      </x:c>
      <x:c r="F363" s="3" t="inlineStr">
        <x:is>
          <x:t>Negada</x:t>
        </x:is>
      </x:c>
      <x:c r="G363" s="3" t="inlineStr">
        <x:is>
          <x:t>199519961999</x:t>
        </x:is>
      </x:c>
      <x:c r="H363" s="3" t="inlineStr">
        <x:is>
          <x:t>Maria Alejandra Bermúdez Montaño , Carrera 11 # 64-25, BOGOTÁ, D.C., CO</x:t>
        </x:is>
      </x:c>
      <x:c r="I363" s="3" t="inlineStr">
        <x:is>
          <x:t>3</x:t>
        </x:is>
      </x:c>
      <x:c r="J363" s="3" t="inlineStr">
        <x:is>
          <x:t>11</x:t>
        </x:is>
      </x:c>
      <x:c r="K363" s="3" t="inlineStr">
        <x:is>
          <x:t>3. Jabones faciales; jabones no medicados para la cara; jabones para el cuerpo; jabones para el cuidado del cuerpo; jabones para la piel; jabones para uso personal; jabones corporales no medicados; jabones cosméticos; jabones de baño; jabones de baño en forma líquida, sólida o de gel; jabones de ducha; jabones de tocador; jabones de tocador no medicinales; jabones de tocador perfumados; jabones desodorizantes; jabones para las manos; jabones perfumados; mascarillas corporales; mascarillas corporales en polvo para uso cosmético; mascarillas corporales para uso cosmético; mascarillas cosméticas; mascarillas cosméticas para el cutis; mascarillas de belleza; mascarillas de belleza para el contorno de los ojos; mascarillas envasadas para uso cosmético; mascarillas faciales;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hidratantes para la piel; mascarillas limpiadoras; mascarillas limpiadoras para corporales; mascarillas limpiadoras para faciales; mascarillas para el cuidado de la piel de las manos; mascarillas para eliminar los puntos negros; mascarillas para hidratar la piel; mascarillas para la cara; mascarillas para la piel; mascarillas para la piel de uso cosmético; mascarillas para pieles grasas; aceites y lociones de masaje; cremas y lociones cosméticas; cremas y lociones cosméticas para el cuidado de la cara y el cuerpo; cremas y lociones cosméticas para el cuidado del rostro y el cuerpo; cremas, aceites, lociones y preparaciones limpiadoras e hidratantes; cremas, leches, lociones, geles y polvos cosméticos para la cara, el cuerpo y las manos; cremas, lociones y geles hidratantes; emulsiones, geles y lociones para el cuidado de la piel; leches y lociones para el rostro; leches y lociones para el rostro de uso cosmético; leches, geles, lociones y cremas desmaquillantes; lociones antienvejecimiento; lociones antienvejecimiento para uso cosmético; lociones brillantes para el cuerpo; lociones con filtro solar; lociones con filtro solar para uso cosmético; lociones corporales; lociones cosméticas para el cuidado de la piel; lociones cosméticas para el rostro; lociones cosméticas para la cara; lociones cosméticas para la piel; lociones cosméticas para reducir la aparición de manchas de envejecimiento y pecas; lociones de belleza; lociones depilatorias; lociones desmaquillantes; lociones faciales; lociones faciales [cosméticos]; lociones faciales no medicadas; lociones hidratantes [cosméticos]; lociones hidratantes para el cuerpo; lociones hidratantes para el cuerpo [cosméticos]; lociones hidratantes para la piel; lociones hidratantes para la piel [cosméticos]; lociones limpiadoras no medicadas; lociones limpiadoras para la piel; lociones no medicadas para el rostro; lociones no medicinales para aclarar la piel; lociones no medicinales para el cuidado de la piel [cosméticos]; lociones no medicinales para la piel; lociones para bebés; lociones para después de afeitar; lociones para después del afeitado; lociones para el afeitado; lociones para el cabello; lociones para el cabello de uso cosmético; lociones para el cuerpo; lociones para el cuerpo de uso cosmético; lociones para el cuidado de la piel; lociones para el cuidado de la piel [cosméticos]; lociones para el cuidado del rostro y del cuerpo de uso cosmético; lociones para el rostro y el cuerpo; lociones para fortalecer el cabello; lociones para fortalecer las uñas; lociones para la barba; lociones para la piel [productos cosméticos]; lociones para las manos; lociones para las manos de uso cosmético; lociones para los ojos; lociones para los ojos de uso cosmético; lociones para reducir la celulitis; lociones para reducir la celulitis de uso cosmético; lociones para uso cosmético; lociones perfumadas [preparaciones de tocador]; lociones perfumadas para el cuerpo; lociones tonificantes para el cuerpo; lociones tónicas para el cuerpo; lociones tónicas para el rostro, el cuerpo y las manos de uso cosmético; lociones y cremas corporales perfumadas; lociones, cremas y aceites de aplicación tópica para la piel y el cuerpo, de uso cosmético; lociones, cremas y preparaciones para el cuidado del rostro, cuerpo, cuero cabelludo, uñas y cabello; productos cosméticos, a saber, leches, lociones y emulsiones; productos de perfumería, aceites esenciales, cosméticos no medicinales, lociones capilares no medicinales; productos de perfumería, aceites esenciales, cosméticos, lociones capilares; champús para el cabello humano; champús para el cabello y el cuerpo; cremas para el cabello de uso cosmético; cremas para el cabello para uso cosmético; enjuagues para el cabello de uso cosmético; espumas para el cabello [productos de tocador]; jabones líquidos para el cabello y el cuerpo; mascarillas para el cabello y el cuero cabelludo; máscaras para el cabello y el cuero cabelludo; preparaciones cosméticas para el cabello y el cuero cabelludo; preparaciones no medicinales para el cuidado de la piel, el cabello y el cuero cabelludo; productos cosméticos para el cabello y el cuero cabelludo; productos de enjuague para el cabello [champús acondicionadores]; revitalizantes para el cabello de uso cosmético; suavizantes para el cabello de uso cosmético; perfumes; perfumes líquidos; perfumes sólidos; desodorantes antitranspirantes; desodorantes corporales; desodorantes corporales [perfumería]; desodorantes corporales [productos de perfumería]; desodorantes corporales en comprimidos; desodorantes para el cuerpo; desodorantes para los pies; desodorantes para seres humanos; desodorantes para uso personal [perfumería]; desodorantes roll-on [artículos de aseo]; desodorantes y antitranspirantes para uso personal; duchas vaginales para la higiene íntima o en cuanto desodorantes; espráis desodorantes para los pies; espráis desodorantes para mujeres; espráis utilizados como desodorantes y perfumes corporales; jabones desodorantes; depilatorios; productos depilatorios; geles depilatorios; sprays depilatorios; jabones en forma líquida; jabones líquidos; jabones líquidos no medicinales; jabones líquidos para el baño; cremas acondicionadoras para la piel, de uso cosmético; cremas antiarrugas; cremas antiarrugas para uso cosmético; cremas antienvejecimiento; cremas antienvejecimiento para uso cosmético; cremas autobronceadoras; cremas bronceadoras; cremas bronceadoras para la piel; cremas bálsamos de belleza; cremas capilares; cremas con filtro solar; cremas con filtro solar para uso cosmético; cremas con retinol para uso cosmético; cremas con vitamina a para uso cosmético; cremas corporales; cremas corporales [cosméticos]; cremas cosmética para el cuerpo; cremas cosméticas; cremas cosméticas a base de extractos de plantas; cremas cosméticas de masaje;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masaje cosméticas; cremas de masaje no medicinales; cremas de masaje, que no sean para uso médico; cremas de noche; cremas de protección capilar, no medicinales; cremas de protección para el cabello; cremas de protección solar; cremas de protección solar para uso cosmético; cremas desmaquillantes; cremas emolientes reparadoras para el cuidado diario de la piel; cremas evanescentes;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después del sol; cremas para el cuerpo [cosméticos]; cremas para el cuidado de la piel que no sean de uso médico;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las manos; cremas para las manos de uso cosmético; cremas para los labios; cremas para los labios de uso cosmético; cremas para los ojos; cremas para los ojos de uso cosmético; cremas para reducir la celulitis; cremas para reducir la celulitis de uso cosmético; cremas para tez clara; cremas para tez clara de uso cosmético;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tonificantes [cosméticos]; cremas tópicas a base de hierbas para reafirmar y realzar el busto; cremas y geles cosméticos para cara, manos y cuerpo; cremas y geles cosméticos para rostro, manos y cuerpo; cremas y lociones bronceadoras; cremas y preparaciones para después del sol; geles, cremas y aceites de ducha; lociones, cremas y preparaciones para el cuidado de la cara, cuerpo, cuero cabelludo, uñas y cabello; bases de maquillaje; bases de maquillaje cremosas; bases de maquillaje en crema; bases de maquillaje líquidas; bases de maquillaje para la piel; cola de maquillaje para uso cosmético; fondo de maquillaje; fundación de maquillaje;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maquillaje [cosméticos]; maquillaje para el rostro; maquillaje para el rostro y el cuerpo; maquillaje para la cara; maquillaje para la cara y el cuerpo; maquillaje para la piel; maquillaje para los ojos; maquillaje para polveras; maquillaje vendido en polveras; maquillajes de base; maquillajes de base en crema; maquillajes de ojos; maquillajes faciales;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polvos de maquillaje; preparaciones de maquillaje para el rostro y el cuerpo; preparaciones de maquillaje para la cara y el cuerpo; productos cosméticos y de maquillaje; productos de maquillaje; sprays para fijar el maquillaje; espumas y geles para peinar el cabello; geles antienvejecimiento; geles antienvejecimiento para uso cosmético; geles bronceadores; geles capilares; geles corporales y faciales [cosméticos]; geles cosméticos; geles de aloe vera para uso cosmético; geles de baño; geles de baño y de ducha; geles de baño y de ducha no medicinales; geles de belleza; geles de ducha; geles de ducha no para uso médico; geles de ducha y de baño; geles hidratantes; geles hidratantes [cosméticos]; geles no medicinales; geles para antes del afeitado; geles para después del afeitado; geles para el afeitado; geles para el cabello; geles para el cuerpo [cosméticos]; geles para el cuerpo y la cara [cosméticos]; geles para la ducha; geles para los ojos; geles para los ojos de uso cosmético; geles para uso cosmético; geles y espumas para el cabello; geles y sales de baño y de ducha no medicinales; geles, aerosoles, espumas y bálsamos para peinar y cuidar el cabello; bases para esmaltes de uñas; brillos de uñas para aplicar sobre el esmalte; esmaltes de base para las uñas [productos cosméticos]; esmaltes de uñas; esmaltes de uñas en gel; esmaltes de uñas para uso cosmético; esmaltes de uñas y quitaesmaltes; kits para el cuidado de las uñas que comprenden esmaltes de uñas y quitaesmaltes; bálsamos labiales; bálsamos labiales no medicinales; lápices labiales; lápices labiales hidratantes.
</x:t>
        </x:is>
      </x:c>
      <x:c r="L363" s="3" t="inlineStr">
        <x:is>
          <x:t>No</x:t>
        </x:is>
      </x:c>
      <x:c r="M363" s="3" t="inlineStr">
        <x:is>
          <x:t/>
        </x:is>
      </x:c>
      <x:c r="N363" s="3" t="inlineStr">
        <x:is>
          <x:t/>
        </x:is>
      </x:c>
      <x:c r="O363" s="3" t="inlineStr">
        <x:is>
          <x:t>21 oct. 2022</x:t>
        </x:is>
      </x:c>
      <x:c r="P363" s="3" t="inlineStr">
        <x:is>
          <x:t/>
        </x:is>
      </x:c>
      <x:c r="Q363" s="3" t="inlineStr">
        <x:is>
          <x:t/>
        </x:is>
      </x:c>
    </x:row>
    <x:row r="364">
      <x:c r="A364" s="10" t="inlineStr">
        <x:f xml:space="preserve">HYPERLINK("http://sipi.sic.gov.co/sipi/View.ashx?4271775","SD2022/0073229")</x:f>
      </x:c>
      <x:c r="B364" s="3" t="inlineStr">
        <x:is>
          <x:t>HARMONY</x:t>
        </x:is>
      </x:c>
      <x:c r="C364" s="3" t="inlineStr">
        <x:is>
          <x:t/>
        </x:is>
      </x:c>
      <x:c r="D364" s="3" t="inlineStr">
        <x:is>
          <x:t>20 jul. 2022</x:t>
        </x:is>
      </x:c>
      <x:c r="E364" s="3" t="inlineStr">
        <x:is>
          <x:t/>
        </x:is>
      </x:c>
      <x:c r="F364" s="3" t="inlineStr">
        <x:is>
          <x:t>Negada</x:t>
        </x:is>
      </x:c>
      <x:c r="G364" s="3" t="inlineStr">
        <x:is>
          <x:t/>
        </x:is>
      </x:c>
      <x:c r="H364" s="3" t="inlineStr">
        <x:is>
          <x:t>DIANA CAROLINA ESPAÑA PEREZ, CALLE 41 NORTE #4N-95, CALI, VALLE DEL CAUCA, CO</x:t>
        </x:is>
      </x:c>
      <x:c r="I364" s="3" t="inlineStr">
        <x:is>
          <x:t>3</x:t>
        </x:is>
      </x:c>
      <x:c r="J364" s="3" t="inlineStr">
        <x:is>
          <x:t>11</x:t>
        </x:is>
      </x:c>
      <x:c r="K364" s="3" t="inlineStr">
        <x:is>
          <x:t>3. Aceites para el cabello; aceites suavizantes para el cabello; acondicionadores de cabello; acondicionadores para el cabello; ceras para el cabello; champúes para el cabello; champús para el cabello y el cuerpo; champús y acondicionadores para el cabello; crema para peinar el cabello; cremas de protección para el cabello; espuma de protección para el cabello; espumas para el cabello; geles para el cabello; hidratantes para el cabello.
</x:t>
        </x:is>
      </x:c>
      <x:c r="L364" s="3" t="inlineStr">
        <x:is>
          <x:t>No</x:t>
        </x:is>
      </x:c>
      <x:c r="M364" s="3" t="inlineStr">
        <x:is>
          <x:t/>
        </x:is>
      </x:c>
      <x:c r="N364" s="3" t="inlineStr">
        <x:is>
          <x:t/>
        </x:is>
      </x:c>
      <x:c r="O364" s="3" t="inlineStr">
        <x:is>
          <x:t>09 ago. 2022</x:t>
        </x:is>
      </x:c>
      <x:c r="P364" s="3" t="inlineStr">
        <x:is>
          <x:t/>
        </x:is>
      </x:c>
      <x:c r="Q364" s="3" t="inlineStr">
        <x:is>
          <x:t/>
        </x:is>
      </x:c>
    </x:row>
    <x:row r="365">
      <x:c r="A365" s="10" t="inlineStr">
        <x:f xml:space="preserve">HYPERLINK("http://sipi.sic.gov.co/sipi/View.ashx?4275272","SD2022/0074048")</x:f>
      </x:c>
      <x:c r="B365" s="3" t="inlineStr">
        <x:is>
          <x:t>goclean</x:t>
        </x:is>
      </x:c>
      <x:c r="C365" s="9" t="inlineStr">
        <x:is>
          <x:t/>
        </x:is>
      </x:c>
      <x:c r="D365" s="3" t="inlineStr">
        <x:is>
          <x:t>22 jul. 2022</x:t>
        </x:is>
      </x:c>
      <x:c r="E365" s="3" t="inlineStr">
        <x:is>
          <x:t/>
        </x:is>
      </x:c>
      <x:c r="F365" s="3" t="inlineStr">
        <x:is>
          <x:t>Negada</x:t>
        </x:is>
      </x:c>
      <x:c r="G365" s="3" t="inlineStr">
        <x:is>
          <x:t/>
        </x:is>
      </x:c>
      <x:c r="H365" s="3" t="inlineStr">
        <x:is>
          <x:t> GoClean, carrera 57 # 188-80, BOGOTA, CUNDINAMARCA, CO</x:t>
        </x:is>
      </x:c>
      <x:c r="I365" s="3" t="inlineStr">
        <x:is>
          <x:t>3</x:t>
        </x:is>
      </x:c>
      <x:c r="J365" s="3" t="inlineStr">
        <x:is>
          <x:t>11</x:t>
        </x:is>
      </x:c>
      <x:c r="K365" s="3" t="inlineStr">
        <x:is>
          <x:t>3. Productos de limpieza.
</x:t>
        </x:is>
      </x:c>
      <x:c r="L365" s="3" t="inlineStr">
        <x:is>
          <x:t>No</x:t>
        </x:is>
      </x:c>
      <x:c r="M365" s="3" t="inlineStr">
        <x:is>
          <x:t>DIEGO ARMANDO VELEZ ACEVEDO, carrera 57 # 188-80, BOGOTA, CUNDINAMARCA 110111, CO</x:t>
        </x:is>
      </x:c>
      <x:c r="N365" s="3" t="inlineStr">
        <x:is>
          <x:t/>
        </x:is>
      </x:c>
      <x:c r="O365" s="3" t="inlineStr">
        <x:is>
          <x:t>09 ago. 2022</x:t>
        </x:is>
      </x:c>
      <x:c r="P365" s="3" t="inlineStr">
        <x:is>
          <x:t/>
        </x:is>
      </x:c>
      <x:c r="Q365" s="3" t="inlineStr">
        <x:is>
          <x:t/>
        </x:is>
      </x:c>
    </x:row>
    <x:row r="366">
      <x:c r="A366" s="10" t="inlineStr">
        <x:f xml:space="preserve">HYPERLINK("http://sipi.sic.gov.co/sipi/View.ashx?4275560","SD2022/0074130")</x:f>
      </x:c>
      <x:c r="B366" s="3" t="inlineStr">
        <x:is>
          <x:t>DCARAWAK</x:t>
        </x:is>
      </x:c>
      <x:c r="C366" s="9" t="inlineStr">
        <x:is>
          <x:t/>
        </x:is>
      </x:c>
      <x:c r="D366" s="3" t="inlineStr">
        <x:is>
          <x:t>22 jul. 2022</x:t>
        </x:is>
      </x:c>
      <x:c r="E366" s="3" t="inlineStr">
        <x:is>
          <x:t/>
        </x:is>
      </x:c>
      <x:c r="F366" s="3" t="inlineStr">
        <x:is>
          <x:t>Negada</x:t>
        </x:is>
      </x:c>
      <x:c r="G366" s="3" t="inlineStr">
        <x:is>
          <x:t/>
        </x:is>
      </x:c>
      <x:c r="H366" s="3" t="inlineStr">
        <x:is>
          <x:t> LABORATORIOS PRONABELL S.A.S., CRA 12 NO. 24 B - 45 BRR LA AURORA, FUNZA, CUNDINAMARCA, CO</x:t>
        </x:is>
      </x:c>
      <x:c r="I366" s="3" t="inlineStr">
        <x:is>
          <x:t>3</x:t>
        </x:is>
      </x:c>
      <x:c r="J366" s="3" t="inlineStr">
        <x:is>
          <x:t>11</x:t>
        </x:is>
      </x:c>
      <x:c r="K366" s="3" t="inlineStr">
        <x:is>
          <x:t>3. Colonias, perfumes y productos cosméticos; composiciones para aclarar la piel [cosméticos]; correctores de imperfecciones [productos cosméticos]; cosméticos; cosméticos de belleza; cosméticos ecológicos; cosméticos naturales; cosméticos no medicinales; cosméticos orgánicos; cosméticos y preparaciones cosméticas; cremas corporales [cosméticos]; cremas de limpieza [productos cosméticos]; cremas hidratantes para la piel [cosméticos]; geles cosméticos; jabones cosméticos; limpiadores cosméticos cutáneos; maquillaje [cosméticos]; perfumería para cosméticos; productos cosméticos a base de hierbas; productos cosméticos para niños; productos cosméticos y de belleza; productos de perfumería, aceites esenciales, cosméticos no medicinales, lociones capilares no medicinales; productos de perfumería, aceites esenciales, cosméticos, lociones capilares; tónicos cosméticos.
</x:t>
        </x:is>
      </x:c>
      <x:c r="L366" s="3" t="inlineStr">
        <x:is>
          <x:t>No</x:t>
        </x:is>
      </x:c>
      <x:c r="M366" s="3" t="inlineStr">
        <x:is>
          <x:t>LUIS EDGAR MORENO PRADA, Carrera 12 # 24B - 45 Barrio La Aurora, FUNZA, CUNDINAMARCA 250020, CO</x:t>
        </x:is>
      </x:c>
      <x:c r="N366" s="3" t="inlineStr">
        <x:is>
          <x:t/>
        </x:is>
      </x:c>
      <x:c r="O366" s="3" t="inlineStr">
        <x:is>
          <x:t>29 jul. 2022</x:t>
        </x:is>
      </x:c>
      <x:c r="P366" s="3" t="inlineStr">
        <x:is>
          <x:t/>
        </x:is>
      </x:c>
      <x:c r="Q366" s="3" t="inlineStr">
        <x:is>
          <x:t/>
        </x:is>
      </x:c>
    </x:row>
    <x:row r="367">
      <x:c r="A367" s="10" t="inlineStr">
        <x:f xml:space="preserve">HYPERLINK("http://sipi.sic.gov.co/sipi/View.ashx?4276776","SD2022/0074449")</x:f>
      </x:c>
      <x:c r="B367" s="3" t="inlineStr">
        <x:is>
          <x:t>DALUA</x:t>
        </x:is>
      </x:c>
      <x:c r="C367" s="9" t="inlineStr">
        <x:is>
          <x:t/>
        </x:is>
      </x:c>
      <x:c r="D367" s="3" t="inlineStr">
        <x:is>
          <x:t>23 jul. 2022</x:t>
        </x:is>
      </x:c>
      <x:c r="E367" s="3" t="inlineStr">
        <x:is>
          <x:t/>
        </x:is>
      </x:c>
      <x:c r="F367" s="3" t="inlineStr">
        <x:is>
          <x:t>Negada</x:t>
        </x:is>
      </x:c>
      <x:c r="G367" s="3" t="inlineStr">
        <x:is>
          <x:t/>
        </x:is>
      </x:c>
      <x:c r="H367" s="3" t="inlineStr">
        <x:is>
          <x:t>Franci Daniela Zapata Riaño, Calle 5#11-79, PEREIRA, RISARALDA, CO</x:t>
        </x:is>
      </x:c>
      <x:c r="I367" s="3" t="inlineStr">
        <x:is>
          <x:t>3</x:t>
        </x:is>
      </x:c>
      <x:c r="J367" s="3" t="inlineStr">
        <x:is>
          <x:t>11</x:t>
        </x:is>
      </x:c>
      <x:c r="K367" s="3" t="inlineStr">
        <x:is>
          <x:t>3. Aceites bronceadores [cosméticos];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apitoxina [veneno de abeja melífera] con fines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tonificantes [cosméticos]; cremas y geles cosméticos para cara, manos y cuerpo; cremas y geles cosméticos para rostro, manos y cuerpo; cremas, leches, lociones, geles y polvos cosméticos para la cara, el cuerpo y las manos; endurecedores de uñas [cosméticos]; esmaltes de base para las uñas [productos cosméticos]; exfoliantes corporales cosméticos; filtro solar [cosméticos]; geles bronceadores [cosméticos]; geles corporales y faciales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leches bronceadoras [cosméticos]; leches para después del sol [productos cosméticos];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autobronceadoras [cosméticos]; lociones faciales [cosméticos]; lociones hidratantes [cosméticos]; lociones hidratantes para el cuerpo [cosméticos]; lociones hidratantes para la piel [cosméticos]; lociones no medicinales para el cuidado de la piel [cosméticos]; lociones para el cuidado de la piel [cosméticos]; lociones para la piel [productos cosméticos]; maquillaje [cosméticos]; mascarillas faciales [productos cosméticos]; mascarillas para el cutis [cosméticos]; mascarillas para la piel [cosméticos]; papel secante anti-brillo [cosméticos]; papel secante facial [cosméticos]; parches cosméticos con filtro y pantalla solar para aplicar sobre la piel; parches de gel para los ojos con fines cosméticos; pañitos cosméticos prehumedecidos; perfumería para cosméticos; polvos compactos para polveras [cosméticos]; polvos cosméticos; polvos faciales [cosméticos]; polvos faciales cosméticos; polvos faciales cosméticos de color blanco; preparaciones autobronceadoras [cosméticos]; preparaciones blanqueadoras para la piel [productos cosméticos]; preparaciones de cuidado facial [cosméticos]; preparaciones de protección solar [productos cosméticos]; preparaciones faciales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de revestimiento para esculpir uñas [productos cosméticos]; productos y preparaciones cosméticos para el cuidado de la piel; protectores solares para los labios [productos cosméticos]; quitaesmalte para uñas [cosméticos]; quitaesmaltes de uñas [cosméticos]; tatuajes temporales con fines cosméticos; tintes cosméticos; tintes de labios [cosméticos]; tintes labiales [cosméticos]; tintes labiales [productos cosméticos]; tintes para los labios [productos cosméticos]; tiras blanqueadoras de dientes impregnadas con preparaciones blanqueadoras [cosméticos]; toallas de papel para las manos impregnadas de cosméticos; toallas de papel para las manos impregnadas de productos cosméticos; toallitas desechables impregnadas con preparados cosméticos para bebés; toallitas impregnadas con preparados cosméticos; toallitas impregnadas de productos cosméticos; tónicos cosméticos; tónicos cosméticos para el rostro; tónicos cosméticos para la cara; tónicos faciales [cosméticos]; veneno de abeja con fines cosméticos;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tratamientos para permanentes capilares; champúes para el cabello; champúes para el cabello a base de cáñamo; champús 3 en 1; champús acondicionadores; champús anticaspa; champús corporales;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para automóviles; champús para bebés; champús para coches; champús para el cabello; champús para el cabello humano; champús para el cabello y el cuerpo; champús para el cuerpo; champús para el lavado de coches y camiones; champús para el lavado de vehículos; champús y acondicionadores; champús y acondicionadores para animales de compañía [preparaciones de peluquería no medicinales ni veterinarias]; champús y acondicionadores para el cabello; champús*; productos de enjuague para el cabello [champús acondicionadores]; productos para lavar perros [champús]; tratamientos de alisado para el cabello; tónicos clarificadores faciales; tónicos faciales; tónicos faciales clarificantes; tónicos faciales revitalizantes; tónicos no medicinales para la piel; tónicos para la piel para uso cosmético; tónicos para uso cosmético; tónicos revitalizantes faciales;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colorantes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de enjuague para el cabello;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cera para el cabello; tratamientos de permanente del cabello; tratamientos de permanente para el cabello; tratamientos de queratina para el cabello; productos neutralizantes para permanentes; soluciones de rizado permanente en frío; soluciones para permanentes en frío; cera para el pelo; ceras para el cuidado del pelo; ceras para el pelo; cremas para el cuidado del pelo; enjuagues de color para el pelo; preparaciones para decolorar el pelo; aceites para el bronceado de la piel; aceites perfumados para el cuidado de la piel; acondicionadores para la piel; bases de maquillaje para la piel; bronceadores para la piel; bálsamos [cremas] para disimular las imperfecciones de la piel; bálsamos para disimular las imperfecciones de la piel; correctores para disimular manchas e imperfecciones de la piel; crema en gel para matificar la piel; crema para aclarar la piel; cremas acondicionadoras para la piel, de uso cosmético; cremas bronceadoras para la piel; cremas cosméticas para el cuidado de la piel; cremas cosméticas para la piel; cremas cosméticas para pieles secas; cremas cosméticas para reafirmar la piel; cremas cosméticas para tonificar la piel; cremas de bálsamo para disimular las imperfecciones de la piel; cremas emolientes reparadoras para el cuidado diario de la piel; cremas limpiadoras para la piel; cremas líquidas y sólidas para la piel; cremas no medicadas para aliviar la piel;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el cuidado de la piel; cremas no medicinales para la piel; cremas para aclarar la piel; cremas para broncear la piel; cremas para el cuidado de la piel que no sean de uso médico; cremas para el cuidado de la piel que no sean para uso médico; cremas para el cuidado de la piel, no medicinales; cremas para la piel; cremas para la piel de uso cosmético; cremas para la piel no medicinales a base de aceites esenciales para uso en aromaterapia; cremas para limpiar la piel [no medicinales]; cremas reparadoras para la piel de uso cosmético; cremas revitalizantes para la piel; emolientes para la piel; emolientes para la piel de uso cosmético; emulsiones, geles y lociones para el cuidado de la piel; espumas limpiadoras para la piel; espumas para el cuidado de la piel; exfoliantes para la piel; geles para acelerar, realzar y prolongar el bronceado de la piel; geles para el bronceado de la piel; hidratante para la piel; hidratantes para la piel; jabones para la piel; joyas de piel autoadhesivas para uso cosmético; joyas de piel en cuanto motivos decorativos para uso cosmético; joyas de piel en cuanto transferencias decorativas para uso cosmético; joyas de piel para uso cosmético; joyería de piel autoadhesivas para uso cosmético; joyería de piel en cuanto motivos decorativos para uso cosmético; joyería de piel en cuanto transferencias decorativas para uso cosmético; joyería de piel para uso cosmético; leches limpiadoras para el cuidado de la piel; limpiadores de la piel; limpiadores de la piel a base de cáñamo; limpiadores de la piel no medicinales; limpiadores líquidos para la piel; limpiadores no medicinales para la piel; lociones cosméticas para el bronceado de la piel; lociones cosméticas para el cuidado de la piel; lociones cosméticas para la piel; lociones estimulantes no medicinales para la piel; lociones hidratantes para la piel; lociones lechosas para el cuidado de la piel; lociones limpiadoras para la piel; lociones lácteas para el cuidado de la piel; lociones no medicinales para aclarar la piel; lociones no medicinales para la piel; lociones para el bronceado de la piel; lociones para el cuidado de la piel; lociones para la piel; lociones para la piel no medicadas; lociones, cremas y aceites de aplicación tópica para la piel y el cuerpo, de uso cosmético; maquillaje para la piel; mascarillas faciales para tonificar la piel; mascarillas hidratantes para la piel; mascarillas para el cuidado de la piel de las manos; mascarillas para el cuidado de la piel de los pies; mascarillas para hidratar la piel; mascarillas para la piel; mascarillas para la piel de uso cosmético; mascarillas para pieles grasas; papel secante para pieles grasas; paños impregnados de productos de limpieza para la piel; paños impregnados de productos limpiadores para la piel; paños o toallitas impregnados de productos limpiadores para la piel; preparaciones antiarrugas para el cuidado de la piel; preparaciones antienvejecimiento para el cuidado de la piel; preparaciones cosméticas contra la sequedad de la piel durante el embarazo; preparaciones cosméticas para el bronceado de la piel; preparaciones cosméticas para el cuidado de la piel; preparaciones cosméticas para el cuidado de la piel en forma de geles; preparaciones cosméticas para el cuidado y el tratamiento de la piel; preparaciones cosméticas para el tratamiento de la piel; preparaciones cosméticas para la regeneración de la piel; preparaciones cosméticas para proteger la piel de los rayos del sol; preparaciones cosméticas termoactivas para el cuidado de la piel; preparaciones desengrasantes para uso en la piel; preparaciones exfoliantes y de limpieza para la piel; preparaciones limpiadoras no medicamentosas para la piel; preparaciones limpiadoras no medicinales para la piel; preparaciones limpiadoras para pieles curtidas; preparaciones no medicinales para el cuidado de la piel; preparaciones para blanquear la piel; preparaciones para el bronceado de la piel; preparaciones para el cuidado de la piel; preparaciones para el cuidado de la piel a base de cbd; preparaciones para el cuidado de la piel, no medicinales; preparados no medicinales para el cuidado de la piel; preparados para el cuidado de la piel a base de cbd; productos no medicinales para el cuidado de la piel; productos para aclarar la piel; productos para afinar el grano de la piel; productos para el cuidado de la piel, no medicinales; productos para lustrar pieles curtidas; productos para mejorar la textura de la piel; productos para refrescar la piel; productos y preparaciones no medicinales para el cuidado de la piel; revitalizantes para la piel; serum calmante para la piel; serum para calmar la piel [cosmético]; sueros no medicados para la piel de la cara; sueros no medicinales para la piel; sueros para la piel a base de cáñamo; toallitas impregnadas con preparados para el cuidado de la piel; toallitas impregnadas con un limpiador de la piel; toallitas impregnadas de productos limpiadores para la piel; toallitas o paños impregnados de productos limpiadores para la piel.
</x:t>
        </x:is>
      </x:c>
      <x:c r="L367" s="3" t="inlineStr">
        <x:is>
          <x:t>No</x:t>
        </x:is>
      </x:c>
      <x:c r="M367" s="3" t="inlineStr">
        <x:is>
          <x:t/>
        </x:is>
      </x:c>
      <x:c r="N367" s="3" t="inlineStr">
        <x:is>
          <x:t/>
        </x:is>
      </x:c>
      <x:c r="O367" s="3" t="inlineStr">
        <x:is>
          <x:t>09 sept. 2022</x:t>
        </x:is>
      </x:c>
      <x:c r="P367" s="3" t="inlineStr">
        <x:is>
          <x:t/>
        </x:is>
      </x:c>
      <x:c r="Q367" s="3" t="inlineStr">
        <x:is>
          <x:t/>
        </x:is>
      </x:c>
    </x:row>
    <x:row r="368">
      <x:c r="A368" s="10" t="inlineStr">
        <x:f xml:space="preserve">HYPERLINK("http://sipi.sic.gov.co/sipi/View.ashx?4279044","SD2022/0075157")</x:f>
      </x:c>
      <x:c r="B368" s="3" t="inlineStr">
        <x:is>
          <x:t>Cannabipet</x:t>
        </x:is>
      </x:c>
      <x:c r="C368" s="9" t="inlineStr">
        <x:is>
          <x:t/>
        </x:is>
      </x:c>
      <x:c r="D368" s="3" t="inlineStr">
        <x:is>
          <x:t>26 jul. 2022</x:t>
        </x:is>
      </x:c>
      <x:c r="E368" s="3" t="inlineStr">
        <x:is>
          <x:t/>
        </x:is>
      </x:c>
      <x:c r="F368" s="3" t="inlineStr">
        <x:is>
          <x:t>Negada</x:t>
        </x:is>
      </x:c>
      <x:c r="G368" s="3" t="inlineStr">
        <x:is>
          <x:t>Registro Cannabipet</x:t>
        </x:is>
      </x:c>
      <x:c r="H368" s="3" t="inlineStr">
        <x:is>
          <x:t>Salvador Emilio  Mateus Rodríguez, Carrera 9 #23-49 Lc 108, BOGOTÁ, D.C. 110311, CO</x:t>
        </x:is>
      </x:c>
      <x:c r="I368" s="3" t="inlineStr">
        <x:is>
          <x:t>3</x:t>
        </x:is>
      </x:c>
      <x:c r="J368" s="3" t="inlineStr">
        <x:is>
          <x:t>11</x:t>
        </x:is>
      </x:c>
      <x:c r="K368" s="3" t="inlineStr">
        <x:is>
          <x:t>3. Cosméticos a base de cannabis.
</x:t>
        </x:is>
      </x:c>
      <x:c r="L368" s="3" t="inlineStr">
        <x:is>
          <x:t>Sí</x:t>
        </x:is>
      </x:c>
      <x:c r="M368" s="3" t="inlineStr">
        <x:is>
          <x:t/>
        </x:is>
      </x:c>
      <x:c r="N368" s="3" t="inlineStr">
        <x:is>
          <x:t/>
        </x:is>
      </x:c>
      <x:c r="O368" s="3" t="inlineStr">
        <x:is>
          <x:t>11 oct. 2022</x:t>
        </x:is>
      </x:c>
      <x:c r="P368" s="3" t="inlineStr">
        <x:is>
          <x:t/>
        </x:is>
      </x:c>
      <x:c r="Q368" s="3" t="inlineStr">
        <x:is>
          <x:t/>
        </x:is>
      </x:c>
    </x:row>
    <x:row r="369">
      <x:c r="A369" s="10" t="inlineStr">
        <x:f xml:space="preserve">HYPERLINK("http://sipi.sic.gov.co/sipi/View.ashx?4279611","SD2022/0074991")</x:f>
      </x:c>
      <x:c r="B369" s="3" t="inlineStr">
        <x:is>
          <x:t>Genesis Virtuosa y Bella</x:t>
        </x:is>
      </x:c>
      <x:c r="C369" s="9" t="inlineStr">
        <x:is>
          <x:t/>
        </x:is>
      </x:c>
      <x:c r="D369" s="3" t="inlineStr">
        <x:is>
          <x:t>25 jul. 2022</x:t>
        </x:is>
      </x:c>
      <x:c r="E369" s="3" t="inlineStr">
        <x:is>
          <x:t/>
        </x:is>
      </x:c>
      <x:c r="F369" s="3" t="inlineStr">
        <x:is>
          <x:t>Negada</x:t>
        </x:is>
      </x:c>
      <x:c r="G369" s="3" t="inlineStr">
        <x:is>
          <x:t/>
        </x:is>
      </x:c>
      <x:c r="H369" s="3" t="inlineStr">
        <x:is>
          <x:t>Bryan Santiago Osorio Mora, Cra 5 #9-22, PITALITO, HUILA 417070, CO</x:t>
        </x:is>
      </x:c>
      <x:c r="I369" s="3" t="inlineStr">
        <x:is>
          <x:t>3</x:t>
        </x:is>
      </x:c>
      <x:c r="J369" s="3" t="inlineStr">
        <x:is>
          <x:t>11</x:t>
        </x:is>
      </x:c>
      <x:c r="K369" s="3" t="inlineStr">
        <x:is>
          <x:t>3. Bases de maquillaje; bases de maquillaje cremosas; bases de maquillaje en crema; bases de maquillaje líquidas; bases de maquillaje para la piel; cola de maquillaje para uso cosmético; fondo de maquillaje; fundación de maquillaje;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maquillaje [cosméticos]; maquillaje de teatro, a saber, sangre falsa; maquillaje para el cuerpo; maquillaje para el rostro; maquillaje para el rostro y el cuerpo; maquillaje para la cara; maquillaje para la cara y el cuerpo; maquillaje para la piel; maquillaje para los ojos; maquillaje para polveras; maquillaje teatral; maquillaje vendido en polveras; maquillajes de base; maquillajes de base en crema; maquillajes de ojos; maquillajes faciales; maquillajes para el teatro; mizu-oshiroi [bases de maquillaje líquidas];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polvos de maquillaje; preparaciones de maquillaje para el rostro y el cuerpo; preparaciones de maquillaje para la cara y el cuerpo; productos cosméticos y de maquillaje; productos de maquillaje; sprays para fijar el maquillaje; tiza para maquillaje.
</x:t>
        </x:is>
      </x:c>
      <x:c r="L369" s="3" t="inlineStr">
        <x:is>
          <x:t>Sí</x:t>
        </x:is>
      </x:c>
      <x:c r="M369" s="3" t="inlineStr">
        <x:is>
          <x:t/>
        </x:is>
      </x:c>
      <x:c r="N369" s="3" t="inlineStr">
        <x:is>
          <x:t/>
        </x:is>
      </x:c>
      <x:c r="O369" s="3" t="inlineStr">
        <x:is>
          <x:t>30 ago. 2022</x:t>
        </x:is>
      </x:c>
      <x:c r="P369" s="3" t="inlineStr">
        <x:is>
          <x:t/>
        </x:is>
      </x:c>
      <x:c r="Q369" s="3" t="inlineStr">
        <x:is>
          <x:t/>
        </x:is>
      </x:c>
    </x:row>
    <x:row r="370">
      <x:c r="A370" s="10" t="inlineStr">
        <x:f xml:space="preserve">HYPERLINK("http://sipi.sic.gov.co/sipi/View.ashx?4279808","SD2022/0075021")</x:f>
      </x:c>
      <x:c r="B370" s="3" t="inlineStr">
        <x:is>
          <x:t>MAGMA  M esenci on fire </x:t>
        </x:is>
      </x:c>
      <x:c r="C370" s="9" t="inlineStr">
        <x:is>
          <x:t/>
        </x:is>
      </x:c>
      <x:c r="D370" s="3" t="inlineStr">
        <x:is>
          <x:t>25 jul. 2022</x:t>
        </x:is>
      </x:c>
      <x:c r="E370" s="3" t="inlineStr">
        <x:is>
          <x:t/>
        </x:is>
      </x:c>
      <x:c r="F370" s="3" t="inlineStr">
        <x:is>
          <x:t>Negada</x:t>
        </x:is>
      </x:c>
      <x:c r="G370" s="3" t="inlineStr">
        <x:is>
          <x:t/>
        </x:is>
      </x:c>
      <x:c r="H370" s="3" t="inlineStr">
        <x:is>
          <x:t> BIOMAG GROUP S.A.S., Cll 98 # 22 64 Of. 315, BOGOTÁ, D.C., CO</x:t>
        </x:is>
      </x:c>
      <x:c r="I370" s="3" t="inlineStr">
        <x:is>
          <x:t>3</x:t>
        </x:is>
      </x:c>
      <x:c r="J370" s="3" t="inlineStr">
        <x:is>
          <x:t>11</x:t>
        </x:is>
      </x:c>
      <x:c r="K370" s="3" t="inlineStr">
        <x:is>
          <x:t>3. Cosméticos; cosméticos y preparaciones cosméticas.
</x:t>
        </x:is>
      </x:c>
      <x:c r="L370" s="3" t="inlineStr">
        <x:is>
          <x:t>Sí</x:t>
        </x:is>
      </x:c>
      <x:c r="M370" s="3" t="inlineStr">
        <x:is>
          <x:t>Marco Antonio Gallego Trujillo, calle 98 #22-64, BOGOTÁ, D.C. 110111, CO</x:t>
        </x:is>
      </x:c>
      <x:c r="N370" s="3" t="inlineStr">
        <x:is>
          <x:t/>
        </x:is>
      </x:c>
      <x:c r="O370" s="3" t="inlineStr">
        <x:is>
          <x:t>11 oct. 2022</x:t>
        </x:is>
      </x:c>
      <x:c r="P370" s="3" t="inlineStr">
        <x:is>
          <x:t/>
        </x:is>
      </x:c>
      <x:c r="Q370" s="3" t="inlineStr">
        <x:is>
          <x:t/>
        </x:is>
      </x:c>
    </x:row>
    <x:row r="371">
      <x:c r="A371" s="10" t="inlineStr">
        <x:f xml:space="preserve">HYPERLINK("http://sipi.sic.gov.co/sipi/View.ashx?4280157","SD2022/0075225")</x:f>
      </x:c>
      <x:c r="B371" s="3" t="inlineStr">
        <x:is>
          <x:t>KAPILSAN</x:t>
        </x:is>
      </x:c>
      <x:c r="C371" s="9" t="inlineStr">
        <x:is>
          <x:t/>
        </x:is>
      </x:c>
      <x:c r="D371" s="3" t="inlineStr">
        <x:is>
          <x:t>26 jul. 2022</x:t>
        </x:is>
      </x:c>
      <x:c r="E371" s="3" t="inlineStr">
        <x:is>
          <x:t/>
        </x:is>
      </x:c>
      <x:c r="F371" s="3" t="inlineStr">
        <x:is>
          <x:t>Negada</x:t>
        </x:is>
      </x:c>
      <x:c r="G371" s="3" t="inlineStr">
        <x:is>
          <x:t/>
        </x:is>
      </x:c>
      <x:c r="H371" s="3" t="inlineStr">
        <x:is>
          <x:t>REINALDO RAMIREZ MORENO, CR 52 NO 75 45, ITAGUI, ANTIOQUIA, CO</x:t>
        </x:is>
      </x:c>
      <x:c r="I371" s="3" t="inlineStr">
        <x:is>
          <x:t>3</x:t>
        </x:is>
      </x:c>
      <x:c r="J371" s="3" t="inlineStr">
        <x:is>
          <x:t>11</x:t>
        </x:is>
      </x:c>
      <x:c r="K371" s="3" t="inlineStr">
        <x:is>
          <x:t>3. Acondicionadores de cabello; brillantina para el cabello; cera para el cabello; champús para el cabello humano; champús para el cabello y el cuerpo; cosméticos para el cabello; cremas para el cabello; enjuagues para el cabello; espumas para el cabello; geles para el cabello; geles, aerosoles, espumas y bálsamos para peinar y cuidar el cabello; hidratantes para el cabello; lacas para el cabello; lociones para el cabello; lociones para fortalecer el cabello; lociones para rizar el cabello; mascarillas para el cabello; mascarillas para el cuidado del cabello; mascarillas para el peinado del cabello; máscaras para el cabello; preparaciones cosméticas para el cabello y el cuero cabelludo; preparaciones cosméticas para el cuidado del cabello; preparaciones para alisar el cabello; preparaciones para atildar el cabello; productos de enjuague para el cabello.
</x:t>
        </x:is>
      </x:c>
      <x:c r="L371" s="3" t="inlineStr">
        <x:is>
          <x:t>No</x:t>
        </x:is>
      </x:c>
      <x:c r="M371" s="3" t="inlineStr">
        <x:is>
          <x:t>WILLIAM ORLANDO  QUIROGA, Carrera 13 No. 32-93. Torre 3, Oficina 708. Parque Central Baviera., BOGOTA, CUNDINAMARCA, CO</x:t>
        </x:is>
      </x:c>
      <x:c r="N371" s="3" t="inlineStr">
        <x:is>
          <x:t/>
        </x:is>
      </x:c>
      <x:c r="O371" s="3" t="inlineStr">
        <x:is>
          <x:t>29 jul. 2022</x:t>
        </x:is>
      </x:c>
      <x:c r="P371" s="3" t="inlineStr">
        <x:is>
          <x:t/>
        </x:is>
      </x:c>
      <x:c r="Q371" s="3" t="inlineStr">
        <x:is>
          <x:t/>
        </x:is>
      </x:c>
    </x:row>
    <x:row r="372">
      <x:c r="A372" s="10" t="inlineStr">
        <x:f xml:space="preserve">HYPERLINK("http://sipi.sic.gov.co/sipi/View.ashx?4280706","SD2022/0075211")</x:f>
      </x:c>
      <x:c r="B372" s="3" t="inlineStr">
        <x:is>
          <x:t/>
        </x:is>
      </x:c>
      <x:c r="C372" s="9" t="inlineStr">
        <x:is>
          <x:t/>
        </x:is>
      </x:c>
      <x:c r="D372" s="3" t="inlineStr">
        <x:is>
          <x:t>26 jul. 2022</x:t>
        </x:is>
      </x:c>
      <x:c r="E372" s="3" t="inlineStr">
        <x:is>
          <x:t/>
        </x:is>
      </x:c>
      <x:c r="F372" s="3" t="inlineStr">
        <x:is>
          <x:t>Negada</x:t>
        </x:is>
      </x:c>
      <x:c r="G372" s="3" t="inlineStr">
        <x:is>
          <x:t>A Cosméticos</x:t>
        </x:is>
      </x:c>
      <x:c r="H372" s="3" t="inlineStr">
        <x:is>
          <x:t>Catalina López, Calle 131a#57-41, Apto 304 interior 2, BOGOTÁ, D.C. 111111, CO</x:t>
        </x:is>
      </x:c>
      <x:c r="I372" s="3" t="inlineStr">
        <x:is>
          <x:t>3</x:t>
        </x:is>
      </x:c>
      <x:c r="J372" s="3" t="inlineStr">
        <x:is>
          <x:t>11</x:t>
        </x:is>
      </x:c>
      <x:c r="K372" s="3" t="inlineStr">
        <x:is>
          <x:t>3. Cosméticos; cosméticos de belleza; kits de maquillaje; maquillaje; maquillaje [cosméticos]; perfumes.
</x:t>
        </x:is>
      </x:c>
      <x:c r="L372" s="3" t="inlineStr">
        <x:is>
          <x:t>No</x:t>
        </x:is>
      </x:c>
      <x:c r="M372" s="3" t="inlineStr">
        <x:is>
          <x:t/>
        </x:is>
      </x:c>
      <x:c r="N372" s="3" t="inlineStr">
        <x:is>
          <x:t/>
        </x:is>
      </x:c>
      <x:c r="O372" s="3" t="inlineStr">
        <x:is>
          <x:t>09 dic. 2022</x:t>
        </x:is>
      </x:c>
      <x:c r="P372" s="3" t="inlineStr">
        <x:is>
          <x:t/>
        </x:is>
      </x:c>
      <x:c r="Q372" s="3" t="inlineStr">
        <x:is>
          <x:t/>
        </x:is>
      </x:c>
    </x:row>
    <x:row r="373">
      <x:c r="A373" s="10" t="inlineStr">
        <x:f xml:space="preserve">HYPERLINK("http://sipi.sic.gov.co/sipi/View.ashx?4280863","SD2022/0075348")</x:f>
      </x:c>
      <x:c r="B373" s="3" t="inlineStr">
        <x:is>
          <x:t>JIE KOU</x:t>
        </x:is>
      </x:c>
      <x:c r="C373" s="3" t="inlineStr">
        <x:is>
          <x:t/>
        </x:is>
      </x:c>
      <x:c r="D373" s="3" t="inlineStr">
        <x:is>
          <x:t>26 jul. 2022</x:t>
        </x:is>
      </x:c>
      <x:c r="E373" s="3" t="inlineStr">
        <x:is>
          <x:t/>
        </x:is>
      </x:c>
      <x:c r="F373" s="3" t="inlineStr">
        <x:is>
          <x:t>Negada</x:t>
        </x:is>
      </x:c>
      <x:c r="G373" s="3" t="inlineStr">
        <x:is>
          <x:t>Proceso de registro de marca JIE KOU</x:t>
        </x:is>
      </x:c>
      <x:c r="H373" s="3" t="inlineStr">
        <x:is>
          <x:t>DUVAN ALEXANDER GIRALDO GÓMEZ, CARRERA 53 # 45-50 PISO 11. BODEGA 1109, MEDELLIN, ANTIOQUIA, CO</x:t>
        </x:is>
      </x:c>
      <x:c r="I373" s="3" t="inlineStr">
        <x:is>
          <x:t>3</x:t>
        </x:is>
      </x:c>
      <x:c r="J373" s="3" t="inlineStr">
        <x:is>
          <x:t>11</x:t>
        </x:is>
      </x:c>
      <x:c r="K373" s="3" t="inlineStr">
        <x:is>
          <x:t>3. Maquillaje; maquillaje [cosméticos]; bases de maquillaje; kits de maquillaje; lápices de maquillaje; maquillaje para la cara; maquillaje para la piel; maquillaje para los ojos; maquillaje para polveras; maquillajes de base; maquillajes de ojos; maquillajes faciales; cosméticos; cosméticos para el cabello; cosméticos para el cuero cabelludo; cosméticos para el cuidado del cuerpo; cosméticos para las cejas; cosméticos para los labios; cosméticos para pestañas; cosméticos para polveras; cosméticos y preparaciones cosméticas.
</x:t>
        </x:is>
      </x:c>
      <x:c r="L373" s="3" t="inlineStr">
        <x:is>
          <x:t>No</x:t>
        </x:is>
      </x:c>
      <x:c r="M373" s="3" t="inlineStr">
        <x:is>
          <x:t>RODRIGO  VANEGAS GAVIRIA, CALLE 52 # 47-28 OF.329, MEDELLIN, ANTIOQUIA 050001, CO</x:t>
        </x:is>
      </x:c>
      <x:c r="N373" s="3" t="inlineStr">
        <x:is>
          <x:t/>
        </x:is>
      </x:c>
      <x:c r="O373" s="3" t="inlineStr">
        <x:is>
          <x:t>30 ago. 2022</x:t>
        </x:is>
      </x:c>
      <x:c r="P373" s="3" t="inlineStr">
        <x:is>
          <x:t/>
        </x:is>
      </x:c>
      <x:c r="Q373" s="3" t="inlineStr">
        <x:is>
          <x:t/>
        </x:is>
      </x:c>
    </x:row>
    <x:row r="374">
      <x:c r="A374" s="10" t="inlineStr">
        <x:f xml:space="preserve">HYPERLINK("http://sipi.sic.gov.co/sipi/View.ashx?4281344","SD2022/0075382")</x:f>
      </x:c>
      <x:c r="B374" s="3" t="inlineStr">
        <x:is>
          <x:t>ML MY LOVE </x:t>
        </x:is>
      </x:c>
      <x:c r="C374" s="9" t="inlineStr">
        <x:is>
          <x:t/>
        </x:is>
      </x:c>
      <x:c r="D374" s="3" t="inlineStr">
        <x:is>
          <x:t>26 jul. 2022</x:t>
        </x:is>
      </x:c>
      <x:c r="E374" s="3" t="inlineStr">
        <x:is>
          <x:t/>
        </x:is>
      </x:c>
      <x:c r="F374" s="3" t="inlineStr">
        <x:is>
          <x:t>Negada</x:t>
        </x:is>
      </x:c>
      <x:c r="G374" s="3" t="inlineStr">
        <x:is>
          <x:t/>
        </x:is>
      </x:c>
      <x:c r="H374" s="3" t="inlineStr">
        <x:is>
          <x:t>MARIA CAMILA ALZATE GAVIRIA, CR 95 NO 70GB 10 T21 IN 9904, MEDELLIN, ANTIOQUIA, CO</x:t>
        </x:is>
      </x:c>
      <x:c r="I374" s="3" t="inlineStr">
        <x:is>
          <x:t>3</x:t>
        </x:is>
      </x:c>
      <x:c r="J374" s="3" t="inlineStr">
        <x:is>
          <x:t>11</x:t>
        </x:is>
      </x:c>
      <x:c r="K374" s="3" t="inlineStr">
        <x:is>
          <x:t>3. Bases para esmaltes de uñas; esmaltes de uñas; esmaltes de uñas para uso cosmético; esmaltes de uñas y quitaesmaltes; kits para el cuidado de las uñas que comprenden esmaltes de uñas y quitaesmaltes; kits para el cuidado de las uñas que comprenden lacas de uñas y quitaesmaltes; quitaesmaltes de uñas [cosméticos].
</x:t>
        </x:is>
      </x:c>
      <x:c r="L374" s="3" t="inlineStr">
        <x:is>
          <x:t>No</x:t>
        </x:is>
      </x:c>
      <x:c r="M374" s="3" t="inlineStr">
        <x:is>
          <x:t/>
        </x:is>
      </x:c>
      <x:c r="N374" s="3" t="inlineStr">
        <x:is>
          <x:t/>
        </x:is>
      </x:c>
      <x:c r="O374" s="3" t="inlineStr">
        <x:is>
          <x:t>09 sept. 2022</x:t>
        </x:is>
      </x:c>
      <x:c r="P374" s="3" t="inlineStr">
        <x:is>
          <x:t/>
        </x:is>
      </x:c>
      <x:c r="Q374" s="3" t="inlineStr">
        <x:is>
          <x:t/>
        </x:is>
      </x:c>
    </x:row>
    <x:row r="375">
      <x:c r="A375" s="10" t="inlineStr">
        <x:f xml:space="preserve">HYPERLINK("http://sipi.sic.gov.co/sipi/View.ashx?4281606","SD2022/0075452")</x:f>
      </x:c>
      <x:c r="B375" s="3" t="inlineStr">
        <x:is>
          <x:t>Kühl</x:t>
        </x:is>
      </x:c>
      <x:c r="C375" s="9" t="inlineStr">
        <x:is>
          <x:t/>
        </x:is>
      </x:c>
      <x:c r="D375" s="3" t="inlineStr">
        <x:is>
          <x:t>26 jul. 2022</x:t>
        </x:is>
      </x:c>
      <x:c r="E375" s="3" t="inlineStr">
        <x:is>
          <x:t/>
        </x:is>
      </x:c>
      <x:c r="F375" s="3" t="inlineStr">
        <x:is>
          <x:t>Negada</x:t>
        </x:is>
      </x:c>
      <x:c r="G375" s="3" t="inlineStr">
        <x:is>
          <x:t>7538</x:t>
        </x:is>
      </x:c>
      <x:c r="H375" s="3" t="inlineStr">
        <x:is>
          <x:t> J.G.B. S.A., CARRERA 5 NO. 23-82, CALI, VALLE DEL CAUCA, CO</x:t>
        </x:is>
      </x:c>
      <x:c r="I375" s="3" t="inlineStr">
        <x:is>
          <x:t>3</x:t>
        </x:is>
      </x:c>
      <x:c r="J375" s="3" t="inlineStr">
        <x:is>
          <x:t>11</x:t>
        </x:is>
      </x:c>
      <x:c r="K375" s="3" t="inlineStr">
        <x:is>
          <x:t>3. Cremas dentales; dentífricos y enjuagues bucales.
</x:t>
        </x:is>
      </x:c>
      <x:c r="L375" s="3" t="inlineStr">
        <x:is>
          <x:t>Sí</x:t>
        </x:is>
      </x:c>
      <x:c r="M375" s="3" t="inlineStr">
        <x:is>
          <x:t>EDUARDO DORADO SANCHEZ , Calle 123 No. 7 - 51 Oficina 902, BOGOTÁ, D.C., CO</x:t>
        </x:is>
      </x:c>
      <x:c r="N375" s="3" t="inlineStr">
        <x:is>
          <x:t/>
        </x:is>
      </x:c>
      <x:c r="O375" s="3" t="inlineStr">
        <x:is>
          <x:t>30 ago. 2022</x:t>
        </x:is>
      </x:c>
      <x:c r="P375" s="3" t="inlineStr">
        <x:is>
          <x:t/>
        </x:is>
      </x:c>
      <x:c r="Q375" s="3" t="inlineStr">
        <x:is>
          <x:t/>
        </x:is>
      </x:c>
    </x:row>
    <x:row r="376">
      <x:c r="A376" s="10" t="inlineStr">
        <x:f xml:space="preserve">HYPERLINK("http://sipi.sic.gov.co/sipi/View.ashx?4281908","SD2022/0075547")</x:f>
      </x:c>
      <x:c r="B376" s="3" t="inlineStr">
        <x:is>
          <x:t>SAVIA DEL PRADO</x:t>
        </x:is>
      </x:c>
      <x:c r="C376" s="9" t="inlineStr">
        <x:is>
          <x:t/>
        </x:is>
      </x:c>
      <x:c r="D376" s="3" t="inlineStr">
        <x:is>
          <x:t>27 jul. 2022</x:t>
        </x:is>
      </x:c>
      <x:c r="E376" s="3" t="inlineStr">
        <x:is>
          <x:t/>
        </x:is>
      </x:c>
      <x:c r="F376" s="3" t="inlineStr">
        <x:is>
          <x:t>Negada</x:t>
        </x:is>
      </x:c>
      <x:c r="G376" s="3" t="inlineStr">
        <x:is>
          <x:t/>
        </x:is>
      </x:c>
      <x:c r="H376" s="3" t="inlineStr">
        <x:is>
          <x:t>JUAN MANUEL ESCOBAR LONDOÑO, CR 56C NO 80 SUR 87 , LA ESTRELLA, ANTIOQUIA, CO</x:t>
        </x:is>
      </x:c>
      <x:c r="I376" s="3" t="inlineStr">
        <x:is>
          <x:t>3</x:t>
        </x:is>
      </x:c>
      <x:c r="J376" s="3" t="inlineStr">
        <x:is>
          <x:t>11</x:t>
        </x:is>
      </x:c>
      <x:c r="K376" s="3" t="inlineStr">
        <x:is>
          <x:t>3. Aceites y sales de baño que no sean para uso médico; geles y sales de baño y de ducha no medicinales; sales de baño; sales de baño cosméticas; sales de baño no medicinales; sales de baño para uso cosmético; sales de baño perfumadas; sales de baño que no sean para uso médico; sales para el baño; aceites perfumados que difunden aromas al ser calentados; aromas [aceites esenciales]; aromas para fragancias.
</x:t>
        </x:is>
      </x:c>
      <x:c r="L376" s="3" t="inlineStr">
        <x:is>
          <x:t>No</x:t>
        </x:is>
      </x:c>
      <x:c r="M376" s="3" t="inlineStr">
        <x:is>
          <x:t/>
        </x:is>
      </x:c>
      <x:c r="N376" s="3" t="inlineStr">
        <x:is>
          <x:t/>
        </x:is>
      </x:c>
      <x:c r="O376" s="3" t="inlineStr">
        <x:is>
          <x:t>20 sept. 2022</x:t>
        </x:is>
      </x:c>
      <x:c r="P376" s="3" t="inlineStr">
        <x:is>
          <x:t/>
        </x:is>
      </x:c>
      <x:c r="Q376" s="3" t="inlineStr">
        <x:is>
          <x:t/>
        </x:is>
      </x:c>
    </x:row>
    <x:row r="377">
      <x:c r="A377" s="10" t="inlineStr">
        <x:f xml:space="preserve">HYPERLINK("http://sipi.sic.gov.co/sipi/View.ashx?4284209","SD2022/0076021")</x:f>
      </x:c>
      <x:c r="B377" s="3" t="inlineStr">
        <x:is>
          <x:t>lorganique</x:t>
        </x:is>
      </x:c>
      <x:c r="C377" s="9" t="inlineStr">
        <x:is>
          <x:t/>
        </x:is>
      </x:c>
      <x:c r="D377" s="3" t="inlineStr">
        <x:is>
          <x:t>27 jul. 2022</x:t>
        </x:is>
      </x:c>
      <x:c r="E377" s="3" t="inlineStr">
        <x:is>
          <x:t/>
        </x:is>
      </x:c>
      <x:c r="F377" s="3" t="inlineStr">
        <x:is>
          <x:t>Negada</x:t>
        </x:is>
      </x:c>
      <x:c r="G377" s="3" t="inlineStr">
        <x:is>
          <x:t>1088287847</x:t>
        </x:is>
      </x:c>
      <x:c r="H377" s="3" t="inlineStr">
        <x:is>
          <x:t>Ivonne  Carvajal Marin, carrera 83 aa #17-78, MEDELLIN, ANTIOQUIA, CO</x:t>
        </x:is>
      </x:c>
      <x:c r="I377" s="3" t="inlineStr">
        <x:is>
          <x:t>3, 5, 42</x:t>
        </x:is>
      </x:c>
      <x:c r="J377" s="3" t="inlineStr">
        <x:is>
          <x:t>11</x:t>
        </x:is>
      </x:c>
      <x:c r="K377" s="3" t="inlineStr">
        <x:is>
          <x:t>3. Champús capilares; champúes para el cabello; champús para el cabello; champús no medicinales; champús para el cabello humano; champús para el cabello y el cuerpo; champús y acondicionadores; champús no medicinales contra la caspa; champúes para bebés; cremas cosméticas para el tratamiento de los labios; preparaciones cosméticas para el tratamiento de la piel; preparaciones para tratamientos capilares; preparados cosméticos para el tratamiento de la piel; productos y tratamientos para el cabello; cosméticos para tratamiento de belleza cosméticos para el cuidado de belleza; cremas no medicinales para el tratamiento del cuero cabelludo; preparaciones cosméticas no medicinales para tratamientos capilares; preparaciones cosméticas no medicamentosas para tratamientos capilares.
5. Champú para el crecimiento del cabello.
42. Investigación en laboratorio en el ámbito de los productos cosméticos; desarrollo y pruebas de métodos de producción química.
</x:t>
        </x:is>
      </x:c>
      <x:c r="L377" s="3" t="inlineStr">
        <x:is>
          <x:t>No</x:t>
        </x:is>
      </x:c>
      <x:c r="M377" s="3" t="inlineStr">
        <x:is>
          <x:t/>
        </x:is>
      </x:c>
      <x:c r="N377" s="3" t="inlineStr">
        <x:is>
          <x:t/>
        </x:is>
      </x:c>
      <x:c r="O377" s="3" t="inlineStr">
        <x:is>
          <x:t>20 sept. 2022</x:t>
        </x:is>
      </x:c>
      <x:c r="P377" s="3" t="inlineStr">
        <x:is>
          <x:t/>
        </x:is>
      </x:c>
      <x:c r="Q377" s="3" t="inlineStr">
        <x:is>
          <x:t/>
        </x:is>
      </x:c>
    </x:row>
    <x:row r="378">
      <x:c r="A378" s="10" t="inlineStr">
        <x:f xml:space="preserve">HYPERLINK("http://sipi.sic.gov.co/sipi/View.ashx?4285266","SD2022/0076343")</x:f>
      </x:c>
      <x:c r="B378" s="3" t="inlineStr">
        <x:is>
          <x:t>BIOSEELE COSMÉTICA CONSCIENTE</x:t>
        </x:is>
      </x:c>
      <x:c r="C378" s="9" t="inlineStr">
        <x:is>
          <x:t/>
        </x:is>
      </x:c>
      <x:c r="D378" s="3" t="inlineStr">
        <x:is>
          <x:t>28 jul. 2022</x:t>
        </x:is>
      </x:c>
      <x:c r="E378" s="3" t="inlineStr">
        <x:is>
          <x:t/>
        </x:is>
      </x:c>
      <x:c r="F378" s="3" t="inlineStr">
        <x:is>
          <x:t>Negada</x:t>
        </x:is>
      </x:c>
      <x:c r="G378" s="3" t="inlineStr">
        <x:is>
          <x:t/>
        </x:is>
      </x:c>
      <x:c r="H378" s="3" t="inlineStr">
        <x:is>
          <x:t>HANS  DIEDERICHS, Carrera 43a n 54s-65, MEDELLIN, ANTIOQUIA, CO</x:t>
        </x:is>
      </x:c>
      <x:c r="I378" s="3" t="inlineStr">
        <x:is>
          <x:t>3</x:t>
        </x:is>
      </x:c>
      <x:c r="J378" s="3" t="inlineStr">
        <x:is>
          <x:t>11</x:t>
        </x:is>
      </x:c>
      <x:c r="K378" s="3" t="inlineStr">
        <x:is>
          <x:t>3. CREMAS COSMÉTICAS; CREMAS FACIALES Y CORPORALES; CREMAS HIDRATANTES; CREMAS REPARADORAS; CREMA PARA ACLARAR LA PIEL; CREMAS A BASE DE ACEITES ESENCIALES; CREMAS PARA EL CUIDADO DE LA PIEL; CREMAS EXFOLIANTES; CREMAS DEPILATORIAS; CREMA PARA LAS MANOS; BÁLSAMOS [CREMAS]; BLOQUEADOR SOLAR [COSMÉTICOS]; MASCARILLAS DE BELLEZA; SERUM; COSMÉTICOS PARA EL CABELLO; CHAMPÚS; CERAS PARA EL CABELLO; ACONDICIONADORES DE CABELLO; ACEITE PARA EL PEINADO DEL CABELLO; ACEITES COSMÉTICOS; BÁLSAMOS CAPILARES; CREMAS CAPILARES; LOCIONES CAPILARES; PREPARACIONES CAPILARES; JABONES; JABONES COSMÉTICOS; JABONES EN FORMA LÍQUIDA, SÓLIDA O DE GEL; JABONES DESODORANTES; JABONES FACIALES Y CORPORALES; JABONES PARA LAS MANOS, EL ROSTRO Y EL CUERPO; KITS DE COSMÉTICOS QUE CONTIENEN PRINCIPALMENTE MÁSCARA DE PESTAÑAS, LÁPICES DE LABIOS Y LÁPICES DE CEJAS; MAQUILLAJE; ACEITES ESENCIALES, PRODUCTOS DE PERFUMERÍA; TRATAMIENTOS CAPILARES, ACEITES PARA EL CABELLO, ESENCIAS, LOCIONES.
</x:t>
        </x:is>
      </x:c>
      <x:c r="L378" s="3" t="inlineStr">
        <x:is>
          <x:t>Sí</x:t>
        </x:is>
      </x:c>
      <x:c r="M378" s="3" t="inlineStr">
        <x:is>
          <x:t>HANS  DIEDERICHS, Carrera 43a n 54s-65, MEDELLIN, ANTIOQUIA, CO</x:t>
        </x:is>
      </x:c>
      <x:c r="N378" s="3" t="inlineStr">
        <x:is>
          <x:t/>
        </x:is>
      </x:c>
      <x:c r="O378" s="3" t="inlineStr">
        <x:is>
          <x:t>11 oct. 2022</x:t>
        </x:is>
      </x:c>
      <x:c r="P378" s="3" t="inlineStr">
        <x:is>
          <x:t/>
        </x:is>
      </x:c>
      <x:c r="Q378" s="3" t="inlineStr">
        <x:is>
          <x:t/>
        </x:is>
      </x:c>
    </x:row>
    <x:row r="379">
      <x:c r="A379" s="10" t="inlineStr">
        <x:f xml:space="preserve">HYPERLINK("http://sipi.sic.gov.co/sipi/View.ashx?4286644","SD2022/0076735")</x:f>
      </x:c>
      <x:c r="B379" s="3" t="inlineStr">
        <x:is>
          <x:t>FILAJ</x:t>
        </x:is>
      </x:c>
      <x:c r="C379" s="9" t="inlineStr">
        <x:is>
          <x:t/>
        </x:is>
      </x:c>
      <x:c r="D379" s="3" t="inlineStr">
        <x:is>
          <x:t>28 jul. 2022</x:t>
        </x:is>
      </x:c>
      <x:c r="E379" s="3" t="inlineStr">
        <x:is>
          <x:t/>
        </x:is>
      </x:c>
      <x:c r="F379" s="3" t="inlineStr">
        <x:is>
          <x:t>Negada</x:t>
        </x:is>
      </x:c>
      <x:c r="G379" s="3" t="inlineStr">
        <x:is>
          <x:t>FILAJ</x:t>
        </x:is>
      </x:c>
      <x:c r="H379" s="3" t="inlineStr">
        <x:is>
          <x:t>JOSÉ NICOLÁS PABÓN ACOSTA, CL 20 C NO. 93 25 IN 1 AP 201, BOGOTÁ, D.C., CO</x:t>
        </x:is>
      </x:c>
      <x:c r="I379" s="3" t="inlineStr">
        <x:is>
          <x:t>3</x:t>
        </x:is>
      </x:c>
      <x:c r="J379" s="3" t="inlineStr">
        <x:is>
          <x:t>11</x:t>
        </x:is>
      </x:c>
      <x:c r="K379" s="3" t="inlineStr">
        <x:is>
          <x:t>3. Cosméticos.
</x:t>
        </x:is>
      </x:c>
      <x:c r="L379" s="3" t="inlineStr">
        <x:is>
          <x:t>No</x:t>
        </x:is>
      </x:c>
      <x:c r="M379" s="3" t="inlineStr">
        <x:is>
          <x:t/>
        </x:is>
      </x:c>
      <x:c r="N379" s="3" t="inlineStr">
        <x:is>
          <x:t/>
        </x:is>
      </x:c>
      <x:c r="O379" s="3" t="inlineStr">
        <x:is>
          <x:t>09 ago. 2022</x:t>
        </x:is>
      </x:c>
      <x:c r="P379" s="3" t="inlineStr">
        <x:is>
          <x:t/>
        </x:is>
      </x:c>
      <x:c r="Q379" s="3" t="inlineStr">
        <x:is>
          <x:t/>
        </x:is>
      </x:c>
    </x:row>
    <x:row r="380">
      <x:c r="A380" s="10" t="inlineStr">
        <x:f xml:space="preserve">HYPERLINK("http://sipi.sic.gov.co/sipi/View.ashx?4290246","SD2022/0080377")</x:f>
      </x:c>
      <x:c r="B380" s="3" t="inlineStr">
        <x:is>
          <x:t>HUDDA MATTE ME</x:t>
        </x:is>
      </x:c>
      <x:c r="C380" s="3" t="inlineStr">
        <x:is>
          <x:t/>
        </x:is>
      </x:c>
      <x:c r="D380" s="3" t="inlineStr">
        <x:is>
          <x:t>08 ago. 2022</x:t>
        </x:is>
      </x:c>
      <x:c r="E380" s="3" t="inlineStr">
        <x:is>
          <x:t/>
        </x:is>
      </x:c>
      <x:c r="F380" s="3" t="inlineStr">
        <x:is>
          <x:t>Negada</x:t>
        </x:is>
      </x:c>
      <x:c r="G380" s="3" t="inlineStr">
        <x:is>
          <x:t>HUDDA MATTE ME</x:t>
        </x:is>
      </x:c>
      <x:c r="H380" s="3" t="inlineStr">
        <x:is>
          <x:t>JUAN CARLOS DUQUE ECHEVERRI, CL 34 17 25, BUCARAMANGA, SANTANDER, CO</x:t>
        </x:is>
      </x:c>
      <x:c r="I380" s="3" t="inlineStr">
        <x:is>
          <x:t>3</x:t>
        </x:is>
      </x:c>
      <x:c r="J380" s="3" t="inlineStr">
        <x:is>
          <x:t>11</x:t>
        </x:is>
      </x:c>
      <x:c r="K380" s="3" t="inlineStr">
        <x:is>
          <x:t>3. Abrillantadores y cremas para el cuero; aceite de almendras; aceite de amla para uso cosmético; aceite de coco para uso cosmético; aceite de lavanda para uso cosmético; aceite de neem para uso cosmético; aceite de ricino para uso cosmético; aceite de rosas; aceite de rosas para uso cosmético; aceite fijador para el cabello; aceites aromáticos; aceites bronceadores; aceites bronceadores [cosméticos]; aceites bronceadores de uso cosmético; aceites cosméticos; aceites cosméticos para la piel; aceites de baño para uso cosmético; aceites esenciales para uso cosmético; aceites para bebés; aceites para el cuerpo de uso cosmético; aceites para perfumes y fragancias; aceites para uso cosmético; aceites puros para uso cosmético; aceites solares de uso cosmético; aceites suavizantes para el cabello; adhesivos para falsas pestañas; adhesivos para fijar cejas postizas; adhesivos para fijar postizos; adhesivos para fijar uñas postizas; adhesivos para fijar uñas y pestañas postizas; adhesivos para la fijación de cejas postizas; adhesivos para pegar las pestañas postizas; adhesivos para pegar las uñas postizas; adhesivos para pestañas postizas; adhesivos para pestañas, cabello y uñas postizos; adhesivos para postizos capilares; adhesivos para uñas postizas; agua de colonia; agua de azahar para uso cosmético; agua de perfume; agua micelar; agua micelar de limpieza; aguas de tocador; aguas de tocador perfumadas; aguas de tocador y colonias; aguas perfumadas; algodón e hisopos de algodón para uso cosmético; algodón impregnado de preparaciones desmaquillantes; algodón para uso cosmético; algodón y bastoncillos de algodón para uso cosmético; almohadillas de algodón para desmaquillar; almohadillas de algodón para uso cosmético; almohadillas de limpieza impregnadas con cosméticos; almohadillas de limpieza impregnadas con productos cosméticos; almohadillas de limpieza impregnadas de cosméticos; almohadillas de limpieza prehumedecidas; almohadillas de limpieza preimpregnadas; almohadillas desmaquillantes de algodón hidrófilo; almohadillas limpiadoras impregnadas de productos cosméticos; almohadillas para uso cosmético; almohadillas, toallitas o pañitos de limpieza prehumedecidos o impregnados; antifaces de gel; autobronceadores; autobronceadores [cosméticos]; barras de labios; barras de labios con protección solar [cosméticos]; barras de labios en stick con protección solar [cosméticos]; barras de labios hidratantes; bases de maquillaje; bases de maquillaje cremosas; bases de maquillaje en crema; bases de maquillaje líquidas; bases de maquillaje para la piel; bases neutralizantes para labios; bases para esmaltes de uñas; bases para perfumes de flores; bastoncillos de algodón impregnados de preparaciones desmaquillantes; bastoncillos de algodón impregnados de preparados desmaquilladores; bastoncillos de algodón multiuso para utilización personal; bastoncillos de algodón multiusos para uso personal; bastoncillos de algodón para uso cosmético; bolas de algodón impregnadas de preparaciones desmaquillantes; bolas de algodón impregnadas de preparados desmaquilladores; bolas de algodón para uso cosmético; brillantina corporal; brillantina para el cabello; brillantina para las uñas; brillos corporales; brillos de labios; brillos de uñas para aplicar sobre el esmalte; brillos faciales; brillos faciales y corporales; brillos para uso cosmético; bronceadores para la piel; calcomanías decorativas para uso cosmético; calcomanías decorativas para uñas; calcomanías para las uñas; cejas postizas; cejas postizas autoadhesivas; champús para bebés; champús para el cabello; champús para el cuerpo; champús*; colonia; colorantes de labios; colorantes de labios [cosméticos]; colorantes de tocador; colorantes labiales; colorantes labiales [cosméticos]; colorantes labiales [productos cosméticos]; colorantes para los labios; colorantes para los labios [productos cosméticos]; colorete; colorete en lápiz; colorete líquido; coloretes; coloretes en crema; composiciones para aclarar la piel [cosméticos]; corrector facial; correctores antiojeras; correctores de imperfecciones [productos cosméticos]; correctores de líneas y arrugas faciales; correctores de ojos; correctores para disimular manchas e imperfecciones de la piel; cosméticos; cosméticos biológicos; cosméticos de belleza; cosméticos en forma de cremas; cosméticos en forma de polvos; cosméticos funcionales en cuanto preparaciones para blanquear la piel; cosméticos naturales; cosméticos no medicinales; cosméticos para animales; cosméticos para broncear la piel; cosméticos para cuidados corporales y estéticos; cosméticos para el cabello;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crema corporal para uso cosmético; cremas antienvejecimiento; cremas antienvejecimiento para uso cosmético; cremas autobronceadoras; cremas bronceadoras; cremas bronceadoras para la piel; cremas bálsamos de belleza; cremas capilares; cremas con filtro solar; cremas con filtro solar para uso cosmético; cremas con vitamina a para uso cosmético; cremas contra las pecas; cremas contra las pecas [para uso cosmético]; cremas corporales; cremas corporales [cosméticos]; cremas cosmética para el cuerpo; cremas cosméticas; cremas cosméticas de masaje; cremas cosméticas para el rostro; cremas cosméticas para la piel; cremas cosméticas para las manos; cremas cosméticas para pieles secas; cremas de masaje cosméticas; cremas de protección solar; cremas desmaquillantes; cremas exfoliantes; cremas exfoliantes para uso cosmético; cremas faciales; cremas faciales para uso cosmético; cremas hidratantes; cremas limpiadoras; cremas limpiadoras [cosméticos]; cremas limpiadoras [productos cosméticos]; cremas limpiadoras para uso cosmético; cremas para aclarar la piel; cremas para el cabello para uso cosmético; cremas para el cuerpo [cosméticos]; cremas para el cuerpo cosméticas; cremas para el rostro; cremas para el rostro de uso cosmético; cremas para el rostro y el cuerpo; cremas para el rostro y el cuerpo de uso cosmético; cremas para las manos; cremas para las manos de uso cosmético; cremas para las uñas; cremas para las uñas de uso cosmético; cremas para los labios; cremas para los labios de uso cosmético; cremas para los ojos; cremas para los ojos de uso cosmético; cremas para manos a base de cáñamo; cremas perfumadas; cremas y lociones cosméticas; cremas y lociones cosméticas para el cuidado de la cara y el cuerpo; cremas y lociones cosméticas para el cuidado del rostro y el cuerpo; cremas, leches, lociones, geles y polvos cosméticos para la cara, el cuerpo y las manos; cremas, lociones y geles hidratantes; cremas, lociones y otras preparaciones cosméticas bronceadoras; cristales de baño para uso cosmético; decolorantes capilares; depilatorios; desmaquilladores; desmaquilladores de ojos; desmaquillantes de ojos; diamantina [abrasivo]; discos desmaquillantes de algodón hidrófilo; emolientes para la piel; emolientes para la piel de uso cosmético; emulsiones faciales; emulsiones faciales para uso cosmético; emulsiones para el cuerpo; emulsiones para el cuerpo de uso cosmético; emulsiones térmicas para uso cosmético; emulsiones, geles y lociones para el cuidado de la piel; endurecedores de uñas; escarcha corporal; escarcha para las uñas; esmaltes de base para las uñas [productos cosméticos]; esmaltes de uñas; esmaltes de uñas en gel; esmaltes de uñas para uso cosmético; esmaltes de uñas y quitaesmaltes; espráis utilizados como desodorantes y perfumes corporales; espuma de limpieza; espuma de protección para el cabello; espuma limpiadora; espumas [cosméticas]; espumas cosméticas con filtro solar; espumas depilatorias; espumas para el cuidado de la piel; espumas y geles para peinar el cabello; estuches para lápices de labios; estuches para pintalabios; exfoliante corporal; exfoliantes; exfoliantes [preparaciones cosméticas]; exfoliantes corporales; exfoliantes corporales cosméticos; exfoliantes corporales para uso cosmético; exfoliantes faciales; exfoliantes faciales y corporales no medicamentosos; exfoliantes faciales y corporales no medicinales; exfoliantes iluminadores; exfoliantes para el cuerpo; exfoliantes para el cuerpo de uso cosmético; exfoliantes para la cara; exfoliantes para la piel; exfoliantes para labios; exfoliantes para las manos; exfoliantes para los pies; exfoliantes para uso cosmético; extensiones de pestañas; fijadores capilares; fijadores para el cabello; filtro solar [cosméticos]; fondo de maquillaje; fortalecedores de uñas; fragancias; fragancias corporales; fundación de maquillaje; gel crema matificante; gel exfoliante, no medicinal; gel para baño y ducha; gel para ducha y baño; geles bronceadores; geles bronceadores [cosméticos]; geles capilares; geles cosméticos; geles de aloe vera para uso cosmético; geles de belleza; geles desmaquillantes; geles exfoliantes, no medicinales; geles hidratantes; geles hidratantes [cosméticos]; geles para los ojos; granulados de limpieza facial; hidratantes; hidratantes [cosméticos]; hidratantes faciales; hidratantes faciales [cosméticos]; hidratantes faciales de uso cosmético; hidratantes para el cabello; hidratantes para la piel; hisopos de algodón impregnados de preparados desmaquilladores; hisopos de algodón para uso cosmético; hisopos impregnados de preparaciones desmaquillantes; hisopos impregnados de preparados desmaquilladores; hisopos para uso cosmético; joyas de piel autoadhesivas para uso cosmético; joyas de piel en cuanto motivos decorativos para uso cosmético; joyas de piel en cuanto transferencias decorativas para uso cosmético; joyas de piel para uso cosmético; joyas de tatuaje para uso cosmético; joyería de piel en cuanto motivos decorativos para uso cosmético; joyería de piel en cuanto transferencias decorativas para uso cosmético; joyería de piel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kits para el cuidado de las uñas que comprenden principalmente lacas de uñas, quitaesmaltes y uñas postizas; lacas de uñas; leche bronceadora; leches bronceadoras; leches de limpieza facial; leches desmaquillantes; leches hidratantes; leches hidratantes corporales; leches limpiadoras; leches para el cuerpo; leches para el cuerpo de uso cosmético; leches para el rostro y el cuerpo; leches para el rostro y el cuerpo de uso cosmético; leches y lociones para el rostro; leches y lociones para el rostro de uso cosmético; leches, geles y aceites bronceadores y para después del sol, de uso cosmético; leches, geles, lociones y cremas desmaquillantes; limpiadores cosméticos faciales; limpiadores cosméticos para la piel; limpiadores cutáneos; limpiadores cutáneos [cosméticos]; limpiadores cutáneos [productos cosméticos]; limpiadores cutáneos con propiedades suavizantes [cosméticos]; limpiadores faciales; limpiadores faciales [cosméticos]; limpiadores faciales [productos cosméticos]; limpiadores líquidos para la piel; limpiadores para la cara; lociones corporales; lociones de belleza; lociones desmaquillantes; lociones estimulantes no medicinales para la piel; lociones faciales; lociones faciales [cosméticos]; lociones faciales no medicadas; lociones hidratantes [cosméticos]; lociones hidratantes para el cuerpo; lociones hidratantes para el cuerpo [cosméticos]; lociones lácteas; lociones para bebés; lápices de cejas; lápices de labios; lápices de labios [pintalabios]; lápices de labios [pintalabios] hidratantes; lápices de labios hidratantes; lápices de maquillaje; lápices de ojos; lápices de ojos para uso cosmético; lápices de párpados; lápices labiales; lápices labiales hidratantes; lápices para aplicar el esmalte de uñas; lápices para uso cosmético; lápices perfiladores de ojos; lápices quitaesmaltes; lápices quitaesmaltes de uñas; manteca corporal; manteca corporal para uso cosmético; manteca de almendra para uso cosmético; manteca de aloe vera para uso cosmético; manteca de argán para uso cosmético; manteca de coco para uso cosmético; manteca de karité para uso cosmético; maquillaje; maquillaje [cosméticos]; maquillaje para el cuerpo; maquillaje para el rostro; maquillaje para el rostro y el cuerpo; maquillaje para la cara; maquillaje para la cara y el cuerpo; maquillaje para la piel; maquillaje para los ojos; maquillaje para polveras; maquillaje vendido en polveras; maquillajes de base; maquillajes de base en crema; maquillajes de ojos; maquillajes faciales; mascarillas corporales; mascarillas corporales en forma de cremas; mascarillas corporales en forma de cremas para uso cosmético; mascarillas corporales en forma de lociones; mascarillas corporales en forma de lociones para uso cosmético; mascarillas corporales en polvo; mascarillas corporales en polvo para uso cosmético; mascarillas corporales para uso cosmético; mascarillas cosméticas; mascarillas cosméticas para el cutis; mascarillas de belleza; mascarillas de belleza para el cabello; mascarillas de belleza para el contorno de los ojos; mascarillas de belleza para las manos; mascarillas desechables calentadas al vapor, que no sean para uso médico; mascarillas envasadas para uso cosmético;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hidratantes para la piel; mascarillas limpiadoras; mascarillas limpiadoras para corporales; mascarillas limpiadoras para faciales; mascarillas oculares para uso cosmético; mascarillas para el cabello; mascarillas para el cabello y el cuero cabelludo; mascarillas para el cuero cabelludo; mascarillas para el cuidado capilar; mascarillas para el cuidado de la piel de las manos; mascarillas para el cuidado de la piel de los pies; mascarillas para el cuidado del cabello; mascarillas para el cutis; mascarillas para el cutis [cosméticos]; mascarillas para el peinado del cabello; mascarillas para eliminar los comedones; mascarillas para eliminar los puntos negros; mascarillas para hidratar la piel; mascarillas para la cara; mascarillas para la piel; mascarillas para la piel [cosméticos]; mascarillas para la piel de uso cosmético; mascarillas para pieles grasas; máscara de pestañas; máscara para pestañas largas; máscaras calentadoras en gel para los ojos; máscaras para el cabello; máscaras para pestañas largas; máscaras refrigerantes en gel para los ojos; máscaras refrigerantes para los ojos; papel secante facial [cosméticos]; papel secante facial para uso cosmético; papel secante para pieles grasas; parches refrigerantes en gel para los ojos; pañitos para bebés; pañitos para bebés para uso cosmético; paños de limpieza húmedos; paños húmedos para bebés; paños húmedos para bebés de uso cosmético; paños impregnados de preparaciones desmaquilladoras; paños impregnados de productos de limpieza para la piel; paños impregnados de productos limpiadores para la piel; paños o toallitas impregnados de productos limpiadores para la piel; pegatinas de arte corporal; pegatinas decorativas para el cuerpo; pegatinas decorativas para uñas; perfiladores de labios; perfiladores de ojos; perfumería para cosméticos; perfumería y fragancias; perfumes; perfumes líquidos; perfumes y aguas de colonia; perfumes y aguas de tocador; perfumes y colonias; perfumes, aguas de colonia y productos para después del afeitado; perlas de baño; pestañas artificiales magnéticas; pestañas postizas; pestañas postizas magnéticas; pintalabios; pintalabios hidratantes; pintura facial; pintura para la cara y el cuerpo; polvo de cejas; polvos brillantes para el cuerpo; polvos compactos para polveras; polvos compactos para polveras [cosméticos]; polvos compactos para polveras cosméticas; polvos cosméticos; polvos de maquillaje; polvos faciales; polvos faciales [cosméticos]; polvos faciales blancos para uso cosmético; polvos faciales compactos; polvos faciales cosméticos; polvos faciales cosméticos de color blanco; polvos faciales en crema; polvos faciales en papel; polvos faciales para uso cosmético; polvos faciales sueltos; polvos faciales, a saber, papel revestido con polvo facial; polvos para bebés; polvos para bebés [productos de tocador]; polvos para el cuerpo; polvos para el cuerpo de uso cosmético; preparaciones autobronceadoras; preparaciones blanqueadoras; preparaciones con filtro solar; preparaciones cosméticas; preparaciones cosméticas colorantes; preparaciones cosméticas de cuidado facial; preparaciones cosméticas de protección solar; preparaciones cosméticas para el cuidado del cuerpo; preparaciones cosméticas para el rostro; preparaciones cosméticas para el rostro y el cuerpo; preparaciones cosméticas para el tratamiento de la piel; preparaciones cosméticas para la cara; preparaciones cosméticas para pestañas; preparaciones de cuidado facial; preparaciones de maquillaje para el rostro y el cuerpo; preparaciones de maquillaje para la cara y el cuerpo; preparaciones de tocador*; preparaciones faciales; preparaciones faciales [cosméticos]; preparaciones hidratantes; preparaciones hidratantes [cosméticos];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maquillaje; productos de perfumería; protectores solares en barra; protectores solares en stick; protectores solares para bebés; protectores solares para los labios; protectores solares para los labios [productos cosméticos]; puntas de uñas; quitaesmalte para uñas [cosméticos]; quitaesmaltes; quitaesmaltes de uñas [cosméticos]; reparadores de uñas; rodillos abrasivos; rubores para las mejillas; sales de baño; sales de baño cosméticas; sales de baño para uso cosmético; sombras de ojos; sombras de ojos en polvo o en lápiz; sombras de párpados; sprays depilatorios; sprays para afeitar; sprays para fijar el maquillaje; sueros de belleza; sueros faciales; sueros faciales para uso cosmético; sueros no medicados para la piel de la cara; sueros no medicinales para la piel; sueros para el contorno de los ojos; sueros para el cuidado del cabello; sueros para el lifting facial; sueros para el peinado del cabello; sueros para la piel a base de cáñamo; sueros para uso cosmético; talco; tintes cosméticos; tintes de cejas; tintes de labios; tintes de labios [cosméticos]; tintes de labios para uso cosmético; tintes de pestañas; tintes de tocador; tintes labiales; tintes labiales [cosméticos]; tintes labiales [productos cosméticos]; tintes labiales para uso cosmético; tintes para cejas; tintes para los labios; tintes para los labios [productos cosméticos]; tintes para pestañas; tintes temporales para hacer mechas; tintes y decolorantes para el cabello; tiza para limpiar; tiza para maquillaje; tiza para uso cosmético; toallas de papel para las manos impregnadas de productos cosméticos; toallitas desechables impregnadas con preparados cosméticos para bebés; toallitas desechables impregnadas con preparados de limpieza para bebés; toallitas impregnadas de aceites esenciales, para uso cosmético; toallitas impregnadas de lociones cosméticas; toallitas impregnadas de preparaciones desmaquillantes; toallitas impregnadas de productos cosméticos; toallitas impregnadas de productos limpiadores para la piel; toallitas limpiadoras para el rostro; toallitas o paños impregnados de productos limpiadores para la piel; toallitas para bebés; toallitas para bebés impregnadas de preparaciones de limpieza; toallitas para el rostro; tónicos clarificadores faciales; tónicos cosméticos; tónicos cosméticos para el rostro; tónicos cosméticos para la cara; tónicos faciales; tónicos faciales [cosméticos]; tónicos faciales clarificantes; tónicos faciales revitalizantes; tónicos no medicinales para la piel; tónicos para la piel para uso cosmético; tónicos para uso cosmético; tónicos revitalizantes faciales; uñas postizas; uñas postizas para los dedos de los pies.
</x:t>
        </x:is>
      </x:c>
      <x:c r="L380" s="3" t="inlineStr">
        <x:is>
          <x:t>No</x:t>
        </x:is>
      </x:c>
      <x:c r="M380" s="3" t="inlineStr">
        <x:is>
          <x:t/>
        </x:is>
      </x:c>
      <x:c r="N380" s="3" t="inlineStr">
        <x:is>
          <x:t/>
        </x:is>
      </x:c>
      <x:c r="O380" s="3" t="inlineStr">
        <x:is>
          <x:t>09 dic. 2022</x:t>
        </x:is>
      </x:c>
      <x:c r="P380" s="3" t="inlineStr">
        <x:is>
          <x:t/>
        </x:is>
      </x:c>
      <x:c r="Q380" s="3" t="inlineStr">
        <x:is>
          <x:t/>
        </x:is>
      </x:c>
    </x:row>
    <x:row r="381">
      <x:c r="A381" s="10" t="inlineStr">
        <x:f xml:space="preserve">HYPERLINK("http://sipi.sic.gov.co/sipi/View.ashx?4290939","SD2022/0077619")</x:f>
      </x:c>
      <x:c r="B381" s="3" t="inlineStr">
        <x:is>
          <x:t>BRASSIA </x:t>
        </x:is>
      </x:c>
      <x:c r="C381" s="9" t="inlineStr">
        <x:is>
          <x:t/>
        </x:is>
      </x:c>
      <x:c r="D381" s="3" t="inlineStr">
        <x:is>
          <x:t>01 ago. 2022</x:t>
        </x:is>
      </x:c>
      <x:c r="E381" s="3" t="inlineStr">
        <x:is>
          <x:t/>
        </x:is>
      </x:c>
      <x:c r="F381" s="3" t="inlineStr">
        <x:is>
          <x:t>Negada</x:t>
        </x:is>
      </x:c>
      <x:c r="G381" s="3" t="inlineStr">
        <x:is>
          <x:t/>
        </x:is>
      </x:c>
      <x:c r="H381" s="3" t="inlineStr">
        <x:is>
          <x:t> BRASSIA I.P.S S.A.S, CIRCULAR 3 # 74 - 49, MEDELLIN, ANTIOQUIA, CO</x:t>
        </x:is>
      </x:c>
      <x:c r="I381" s="3" t="inlineStr">
        <x:is>
          <x:t>3</x:t>
        </x:is>
      </x:c>
      <x:c r="J381" s="3" t="inlineStr">
        <x:is>
          <x:t>11</x:t>
        </x:is>
      </x:c>
      <x:c r="K381" s="3" t="inlineStr">
        <x:is>
          <x:t>3. JABONES, PERFUMERIA, ACEITES PARA EL CUERPO, LOCIONES PARA EL CABELLO, LOCIONES COSMETICAS, COSMETICOS, CREMAS CORPORALES PARA USO COSMETICO, MAQUILLAJE, DESODORANTES, TOALLAS HUMEDAS, CREMAS FACIALES Y LOCIONES PARA USO COSMETICOS, TRATAMIENTOS CAPILARES, CHAMPUS Y ACONDICIONADORES PARA EL CABELLO, BALSAMOS CAPILARES, PREPARACIONES COSMETICAS PARA EL CUIDADO DEL CABELLO Y LA PIEL HUMANA, PRODUCTOS PARA EL CUIDADO Y BELLEZA CAPILAR, PRODUCTOS PARA EL CUIDADO Y LA BELLEZA DEL ROSTRO Y LA PIEL, AGUAS DE TOCADOR, MASCARILLAS FACIALES DE BELLEZA, MASCARILLAS FACIALES COSMETICAS, MASCARILLAS HIDRATANTES PARA LA PIEL, COSMETICOS NO MEDICINALES, ACEITES ESENCIALES. DECOLORANTES PARA EL CABELLO, PREPARACIONES PARA ALISAR EL CABELLO. PRODUCTOS COSMETICOS DE USO FACIAL, CAPILAR Y CORPORAL.
</x:t>
        </x:is>
      </x:c>
      <x:c r="L381" s="3" t="inlineStr">
        <x:is>
          <x:t>Sí</x:t>
        </x:is>
      </x:c>
      <x:c r="M381" s="3" t="inlineStr">
        <x:is>
          <x:t>JOHN JAIRO SÁNCHEZ GÓMEZ, CALLE 43 Nº 73 - 91, Int 101, MEDELLIN, ANTIOQUIA, CO</x:t>
        </x:is>
      </x:c>
      <x:c r="N381" s="3" t="inlineStr">
        <x:is>
          <x:t/>
        </x:is>
      </x:c>
      <x:c r="O381" s="3" t="inlineStr">
        <x:is>
          <x:t>19 ago. 2022</x:t>
        </x:is>
      </x:c>
      <x:c r="P381" s="3" t="inlineStr">
        <x:is>
          <x:t/>
        </x:is>
      </x:c>
      <x:c r="Q381" s="3" t="inlineStr">
        <x:is>
          <x:t/>
        </x:is>
      </x:c>
    </x:row>
    <x:row r="382">
      <x:c r="A382" s="10" t="inlineStr">
        <x:f xml:space="preserve">HYPERLINK("http://sipi.sic.gov.co/sipi/View.ashx?4296311","SD2022/0079040")</x:f>
      </x:c>
      <x:c r="B382" s="3" t="inlineStr">
        <x:is>
          <x:t>Freyja</x:t>
        </x:is>
      </x:c>
      <x:c r="C382" s="9" t="inlineStr">
        <x:is>
          <x:t/>
        </x:is>
      </x:c>
      <x:c r="D382" s="3" t="inlineStr">
        <x:is>
          <x:t>10 ago. 2022</x:t>
        </x:is>
      </x:c>
      <x:c r="E382" s="3" t="inlineStr">
        <x:is>
          <x:t/>
        </x:is>
      </x:c>
      <x:c r="F382" s="3" t="inlineStr">
        <x:is>
          <x:t>Negada</x:t>
        </x:is>
      </x:c>
      <x:c r="G382" s="3" t="inlineStr">
        <x:is>
          <x:t/>
        </x:is>
      </x:c>
      <x:c r="H382" s="3" t="inlineStr">
        <x:is>
          <x:t> Phytoterra S.A.S, Carrera 7D # 145-56, BOGOTÁ, D.C., CO</x:t>
        </x:is>
      </x:c>
      <x:c r="I382" s="3" t="inlineStr">
        <x:is>
          <x:t>3</x:t>
        </x:is>
      </x:c>
      <x:c r="J382" s="3" t="inlineStr">
        <x:is>
          <x:t>11</x:t>
        </x:is>
      </x:c>
      <x:c r="K382" s="3" t="inlineStr">
        <x:is>
          <x:t>3. Cosméticos.
</x:t>
        </x:is>
      </x:c>
      <x:c r="L382" s="3" t="inlineStr">
        <x:is>
          <x:t>No</x:t>
        </x:is>
      </x:c>
      <x:c r="M382" s="3" t="inlineStr">
        <x:is>
          <x:t>Cristina Lucía  Mora Arango, Carrera 7D No 145-56, BOGOTÁ, D.C., CO</x:t>
        </x:is>
      </x:c>
      <x:c r="N382" s="3" t="inlineStr">
        <x:is>
          <x:t/>
        </x:is>
      </x:c>
      <x:c r="O382" s="3" t="inlineStr">
        <x:is>
          <x:t>21 jul. 2023</x:t>
        </x:is>
      </x:c>
      <x:c r="P382" s="3" t="inlineStr">
        <x:is>
          <x:t/>
        </x:is>
      </x:c>
      <x:c r="Q382" s="3" t="inlineStr">
        <x:is>
          <x:t/>
        </x:is>
      </x:c>
    </x:row>
    <x:row r="383">
      <x:c r="A383" s="10" t="inlineStr">
        <x:f xml:space="preserve">HYPERLINK("http://sipi.sic.gov.co/sipi/View.ashx?4297143","SD2022/0082227")</x:f>
      </x:c>
      <x:c r="B383" s="3" t="inlineStr">
        <x:is>
          <x:t>BE CLEAN</x:t>
        </x:is>
      </x:c>
      <x:c r="C383" s="9" t="inlineStr">
        <x:is>
          <x:t/>
        </x:is>
      </x:c>
      <x:c r="D383" s="3" t="inlineStr">
        <x:is>
          <x:t>11 ago. 2022</x:t>
        </x:is>
      </x:c>
      <x:c r="E383" s="3" t="inlineStr">
        <x:is>
          <x:t/>
        </x:is>
      </x:c>
      <x:c r="F383" s="3" t="inlineStr">
        <x:is>
          <x:t>Negada</x:t>
        </x:is>
      </x:c>
      <x:c r="G383" s="3" t="inlineStr">
        <x:is>
          <x:t>79648909m2</x:t>
        </x:is>
      </x:c>
      <x:c r="H383" s="3" t="inlineStr">
        <x:is>
          <x:t>FELIX EDUARDO GAMBOA RUBIANO, SIN ESTABLECER, MEDELLIN, ANTIOQUIA, CO</x:t>
        </x:is>
      </x:c>
      <x:c r="I383" s="3" t="inlineStr">
        <x:is>
          <x:t>3</x:t>
        </x:is>
      </x:c>
      <x:c r="J383" s="3" t="inlineStr">
        <x:is>
          <x:t>11</x:t>
        </x:is>
      </x:c>
      <x:c r="K383" s="3" t="inlineStr">
        <x:is>
          <x:t>3. Desengrasadoras para la limpieza; desengrasantes de limpieza; desengrasantes para la limpieza; espuma de limpieza; espumas de limpieza; líquidos de limpieza; preparaciones de limpieza; productos de limpieza; agentes de limpieza para uso doméstico; agentes y preparaciones de limpieza; detergentes para la limpieza de la ropa para uso doméstico; geles de limpieza de inodoros; líquidos de limpieza en seco; preparaciones de limpieza para azulejos; preparaciones de limpieza para cristales; preparaciones de limpieza para el baño; preparaciones de limpieza para el hogar; preparaciones de limpieza para uso doméstico; preparaciones de limpieza para uso en los inodoros; preparaciones de limpieza para vehículos; preparaciones de limpieza para vidrios; preparaciones de limpieza polivalentes; preparaciones desengrasantes para la limpieza; preparaciones para la limpieza de alfombras; preparaciones para la limpieza de automóviles; preparaciones para la limpieza de carros; preparaciones para la limpieza de coches; preparaciones para la limpieza del baño; preparaciones para la limpieza de los platos; preparaciones para la limpieza de superficies duras; preparaciones para la limpieza de vehiculos; preparaciones para la limpieza de vehículos; preparaciones químicas de limpieza para uso doméstico; productos de limpieza ácidos para desagües; productos de limpieza alcalinos para desagües; productos de limpieza cáusticos para desagües; productos de limpieza de alfombras; productos de limpieza de automóviles; productos de limpieza de carros; productos de limpieza de coches; productos de limpieza de vehiculos;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para cristales; productos de limpieza para el hogar; productos de limpieza para uso doméstico; productos de limpieza para uso en azulejos; productos de limpieza para vidrios; productos de limpieza químicos para desagües; productos desengrasantes para la limpieza; sustancias blanqueadoras para uso en la limpieza doméstica; sustancias de limpieza para uso doméstico; preparaciones para la limpieza de moquetas y alfombras; productos de limpieza de moquetas y alfombras; productos de limpieza en aerosoles para productos textiles; detergentes para la limpieza que no sean para procesos de fabricación; preparaciones de limpieza para gomas y ruedas de automóviles; preparaciones de limpieza para gomas y ruedas de vehículos; preparaciones de limpieza para neumáticos y ruedas de automóviles.
</x:t>
        </x:is>
      </x:c>
      <x:c r="L383" s="3" t="inlineStr">
        <x:is>
          <x:t>Sí</x:t>
        </x:is>
      </x:c>
      <x:c r="M383" s="3" t="inlineStr">
        <x:is>
          <x:t/>
        </x:is>
      </x:c>
      <x:c r="N383" s="3" t="inlineStr">
        <x:is>
          <x:t/>
        </x:is>
      </x:c>
      <x:c r="O383" s="3" t="inlineStr">
        <x:is>
          <x:t>11 oct. 2022</x:t>
        </x:is>
      </x:c>
      <x:c r="P383" s="3" t="inlineStr">
        <x:is>
          <x:t/>
        </x:is>
      </x:c>
      <x:c r="Q383" s="3" t="inlineStr">
        <x:is>
          <x:t/>
        </x:is>
      </x:c>
    </x:row>
    <x:row r="384">
      <x:c r="A384" s="10" t="inlineStr">
        <x:f xml:space="preserve">HYPERLINK("http://sipi.sic.gov.co/sipi/View.ashx?4297745","SD2022/0079400")</x:f>
      </x:c>
      <x:c r="B384" s="3" t="inlineStr">
        <x:is>
          <x:t>STUDIO BLOND PLEX</x:t>
        </x:is>
      </x:c>
      <x:c r="C384" s="9" t="inlineStr">
        <x:is>
          <x:t/>
        </x:is>
      </x:c>
      <x:c r="D384" s="3" t="inlineStr">
        <x:is>
          <x:t>04 ago. 2022</x:t>
        </x:is>
      </x:c>
      <x:c r="E384" s="3" t="inlineStr">
        <x:is>
          <x:t/>
        </x:is>
      </x:c>
      <x:c r="F384" s="3" t="inlineStr">
        <x:is>
          <x:t>Negada</x:t>
        </x:is>
      </x:c>
      <x:c r="G384" s="3" t="inlineStr">
        <x:is>
          <x:t>IM28793-STUDIO BLOND PLEX </x:t>
        </x:is>
      </x:c>
      <x:c r="H384" s="3" t="inlineStr">
        <x:is>
          <x:t>CESAR RAUL DAVILA CABREJOS, JR. HELIO 5647, LOS OLIVOS, LIMA, LIMA, PE</x:t>
        </x:is>
      </x:c>
      <x:c r="I384" s="3" t="inlineStr">
        <x:is>
          <x:t>3</x:t>
        </x:is>
      </x:c>
      <x:c r="J384" s="3" t="inlineStr">
        <x:is>
          <x:t>11</x:t>
        </x:is>
      </x:c>
      <x:c r="K384" s="3" t="inlineStr">
        <x:is>
          <x:t>3. Artículos De Tocador: Aceites Esenciales Y Extractos Aromáticos; Preparaciones Para La Limpieza Y Cuidado Del Cuerpo; Perfumería Y Fragancias; Maquillaje; Productos Para Eliminar El Maquillaje: Tónicos [Cosméticos]; Cosméticos Y Productos Cosméticos; Cosméticos Para Uñas; Productos Cosméticos Solares; Cosméticos Para Tratamiento De Belleza; Preparados Para El Baño De Uso Cosmético; Productos De Limpieza Del Acné (Cosméticos); Cremas Para La Cara Y El Cuerpo [Cosméticos]; Lociones Capilares; Cremas Para El Cabello; Tinturas Para El Cabello; Champús Para El Cabello; Preparaciones Para Alisar El Cabello; Preparaciones Para Ondular El Cabello; Preparaciones Y Tratamientos Para El Cabello; Productos De Enjuague Para El Cabello [Champús Acondicionadores); Preparaciones Para El Aseo Y Cuidado Del Cabello; Productos De Afeitar; Productos Para El Cuidado De La Barba; Productos Depilatorios; Productos Para El Depilado Y El Afeitado; Esmalte De Uñas; Disolventes Para Quitar Esmaltes; Preparaciones De Tocador Que No Sean Para Uso Médico; Productos De Limpieza Facial; Productos De Limpieza Para Uso Personal; Lociones De Aromaterapia; Cremas De Aromaterapia; Aceites Para Uso Cosmético; Aceites De Perfumería; Aceites De Tocador.
</x:t>
        </x:is>
      </x:c>
      <x:c r="L384" s="3" t="inlineStr">
        <x:is>
          <x:t>No</x:t>
        </x:is>
      </x:c>
      <x:c r="M384" s="3" t="inlineStr">
        <x:is>
          <x:t>GUILLERMO ANDRES NAVARRO ROMERO, CALLE 79B No. 5-81, BOGOTÁ, D.C. 110221, CO</x:t>
        </x:is>
      </x:c>
      <x:c r="N384" s="3" t="inlineStr">
        <x:is>
          <x:t/>
        </x:is>
      </x:c>
      <x:c r="O384" s="3" t="inlineStr">
        <x:is>
          <x:t>30 sept. 2022</x:t>
        </x:is>
      </x:c>
      <x:c r="P384" s="3" t="inlineStr">
        <x:is>
          <x:t/>
        </x:is>
      </x:c>
      <x:c r="Q384" s="3" t="inlineStr">
        <x:is>
          <x:t/>
        </x:is>
      </x:c>
    </x:row>
    <x:row r="385">
      <x:c r="A385" s="10" t="inlineStr">
        <x:f xml:space="preserve">HYPERLINK("http://sipi.sic.gov.co/sipi/View.ashx?4297954","SD2022/0079440")</x:f>
      </x:c>
      <x:c r="B385" s="3" t="inlineStr">
        <x:is>
          <x:t>SPORT PEAK</x:t>
        </x:is>
      </x:c>
      <x:c r="C385" s="3" t="inlineStr">
        <x:is>
          <x:t/>
        </x:is>
      </x:c>
      <x:c r="D385" s="3" t="inlineStr">
        <x:is>
          <x:t>04 ago. 2022</x:t>
        </x:is>
      </x:c>
      <x:c r="E385" s="3" t="inlineStr">
        <x:is>
          <x:t/>
        </x:is>
      </x:c>
      <x:c r="F385" s="3" t="inlineStr">
        <x:is>
          <x:t>Negada</x:t>
        </x:is>
      </x:c>
      <x:c r="G385" s="3" t="inlineStr">
        <x:is>
          <x:t/>
        </x:is>
      </x:c>
      <x:c r="H385" s="3" t="inlineStr">
        <x:is>
          <x:t> The Gillette Company LLC, One Gillette Park, BOSTON, MASSACHUSETTS 02127, US</x:t>
        </x:is>
      </x:c>
      <x:c r="I385" s="3" t="inlineStr">
        <x:is>
          <x:t>3</x:t>
        </x:is>
      </x:c>
      <x:c r="J385" s="3" t="inlineStr">
        <x:is>
          <x:t>11</x:t>
        </x:is>
      </x:c>
      <x:c r="K385" s="3" t="inlineStr">
        <x:is>
          <x:t>3. Desodorantes para el cuidado personal, Antitranspirantes.
</x:t>
        </x:is>
      </x:c>
      <x:c r="L385" s="3" t="inlineStr">
        <x:is>
          <x:t>No</x:t>
        </x:is>
      </x:c>
      <x:c r="M385" s="3" t="inlineStr">
        <x:is>
          <x:t>JUAN PABLO CONCHA DELGADO, AVENIDA 82 No. 10-62 PISO 5, BOGOTÁ, D.C., CO</x:t>
        </x:is>
      </x:c>
      <x:c r="N385" s="3" t="inlineStr">
        <x:is>
          <x:t/>
        </x:is>
      </x:c>
      <x:c r="O385" s="3" t="inlineStr">
        <x:is>
          <x:t>29 nov. 2022</x:t>
        </x:is>
      </x:c>
      <x:c r="P385" s="3" t="inlineStr">
        <x:is>
          <x:t/>
        </x:is>
      </x:c>
      <x:c r="Q385" s="3" t="inlineStr">
        <x:is>
          <x:t/>
        </x:is>
      </x:c>
    </x:row>
    <x:row r="386">
      <x:c r="A386" s="10" t="inlineStr">
        <x:f xml:space="preserve">HYPERLINK("http://sipi.sic.gov.co/sipi/View.ashx?4298687","SD2022/0079603")</x:f>
      </x:c>
      <x:c r="B386" s="3" t="inlineStr">
        <x:is>
          <x:t>Bíosh Natural</x:t>
        </x:is>
      </x:c>
      <x:c r="C386" s="9" t="inlineStr">
        <x:is>
          <x:t/>
        </x:is>
      </x:c>
      <x:c r="D386" s="3" t="inlineStr">
        <x:is>
          <x:t>05 ago. 2022</x:t>
        </x:is>
      </x:c>
      <x:c r="E386" s="3" t="inlineStr">
        <x:is>
          <x:t/>
        </x:is>
      </x:c>
      <x:c r="F386" s="3" t="inlineStr">
        <x:is>
          <x:t>Negada</x:t>
        </x:is>
      </x:c>
      <x:c r="G386" s="3" t="inlineStr">
        <x:is>
          <x:t>S - SD - BÍOSH NATURAL</x:t>
        </x:is>
      </x:c>
      <x:c r="H386" s="3" t="inlineStr">
        <x:is>
          <x:t>PAOLA CRISTINA  MESA ARANGO, Casa 59, Vereda la Clarita, GUARNE, ANTIOQUIA, CO</x:t>
        </x:is>
      </x:c>
      <x:c r="I386" s="3" t="inlineStr">
        <x:is>
          <x:t>3</x:t>
        </x:is>
      </x:c>
      <x:c r="J386" s="3" t="inlineStr">
        <x:is>
          <x:t>11</x:t>
        </x:is>
      </x:c>
      <x:c r="K386" s="3" t="inlineStr">
        <x:is>
          <x:t>3. Cosméticos, jabones, productos de perfumería, aceites esenciales, lociones capilares, preparaciones para blanquear y otras sustancias para lavar la ropa; preparaciones para limpiar, pulir, desengrasar y raspar y dentífricos no medicinales.
</x:t>
        </x:is>
      </x:c>
      <x:c r="L386" s="3" t="inlineStr">
        <x:is>
          <x:t>Sí</x:t>
        </x:is>
      </x:c>
      <x:c r="M386" s="3" t="inlineStr">
        <x:is>
          <x:t>WILLIAM ORLANDO  QUIROGA, Carrera 13 No. 32-93. Torre 3, Oficina 708. Parque Central Baviera., BOGOTA, CUNDINAMARCA, CO</x:t>
        </x:is>
      </x:c>
      <x:c r="N386" s="3" t="inlineStr">
        <x:is>
          <x:t/>
        </x:is>
      </x:c>
      <x:c r="O386" s="3" t="inlineStr">
        <x:is>
          <x:t>19 ago. 2022</x:t>
        </x:is>
      </x:c>
      <x:c r="P386" s="3" t="inlineStr">
        <x:is>
          <x:t/>
        </x:is>
      </x:c>
      <x:c r="Q386" s="3" t="inlineStr">
        <x:is>
          <x:t/>
        </x:is>
      </x:c>
    </x:row>
    <x:row r="387">
      <x:c r="A387" s="10" t="inlineStr">
        <x:f xml:space="preserve">HYPERLINK("http://sipi.sic.gov.co/sipi/View.ashx?4298762","SD2022/0079618")</x:f>
      </x:c>
      <x:c r="B387" s="3" t="inlineStr">
        <x:is>
          <x:t>CERA MOLDEADORA Y FIJADORA MONKEY BLACK CON KERATINA BIOTINA Y PANTENOL</x:t>
        </x:is>
      </x:c>
      <x:c r="C387" s="9" t="inlineStr">
        <x:is>
          <x:t/>
        </x:is>
      </x:c>
      <x:c r="D387" s="3" t="inlineStr">
        <x:is>
          <x:t>05 ago. 2022</x:t>
        </x:is>
      </x:c>
      <x:c r="E387" s="3" t="inlineStr">
        <x:is>
          <x:t/>
        </x:is>
      </x:c>
      <x:c r="F387" s="3" t="inlineStr">
        <x:is>
          <x:t>Negada</x:t>
        </x:is>
      </x:c>
      <x:c r="G387" s="3" t="inlineStr">
        <x:is>
          <x:t/>
        </x:is>
      </x:c>
      <x:c r="H387" s="3" t="inlineStr">
        <x:is>
          <x:t>James Albeiro Rios Guerrero, calle 81 # 3bn 95, CALI, VALLE DEL CAUCA, CO</x:t>
        </x:is>
      </x:c>
      <x:c r="I387" s="3" t="inlineStr">
        <x:is>
          <x:t>3</x:t>
        </x:is>
      </x:c>
      <x:c r="J387" s="3" t="inlineStr">
        <x:is>
          <x:t>11</x:t>
        </x:is>
      </x:c>
      <x:c r="K387" s="3" t="inlineStr">
        <x:is>
          <x:t>3. Bálsamos capilares; bálsamos capilares no medicinales; champús capilares; cremas capilares; fijadores capilares; geles capilares; lociones capilares cosméticas; preparaciones de tintes capilares; preparaciones para tratamientos capilares; productos de perfumería, aceites esenciales, cosméticos no medicinales, lociones capilares no medicinales.
</x:t>
        </x:is>
      </x:c>
      <x:c r="L387" s="3" t="inlineStr">
        <x:is>
          <x:t>No</x:t>
        </x:is>
      </x:c>
      <x:c r="M387" s="3" t="inlineStr">
        <x:is>
          <x:t>Fabian Ricardo Ramirez Garcia , carrera 4 # 8 - 63 oficina 404, CALI, VALLE DEL CAUCA, CO</x:t>
        </x:is>
      </x:c>
      <x:c r="N387" s="3" t="inlineStr">
        <x:is>
          <x:t/>
        </x:is>
      </x:c>
      <x:c r="O387" s="3" t="inlineStr">
        <x:is>
          <x:t>30 oct. 2023</x:t>
        </x:is>
      </x:c>
      <x:c r="P387" s="3" t="inlineStr">
        <x:is>
          <x:t/>
        </x:is>
      </x:c>
      <x:c r="Q387" s="3" t="inlineStr">
        <x:is>
          <x:t/>
        </x:is>
      </x:c>
    </x:row>
    <x:row r="388">
      <x:c r="A388" s="10" t="inlineStr">
        <x:f xml:space="preserve">HYPERLINK("http://sipi.sic.gov.co/sipi/View.ashx?4298875","SD2022/0079666")</x:f>
      </x:c>
      <x:c r="B388" s="3" t="inlineStr">
        <x:is>
          <x:t>UNO A ASEO INTEGRADO</x:t>
        </x:is>
      </x:c>
      <x:c r="C388" s="9" t="inlineStr">
        <x:is>
          <x:t/>
        </x:is>
      </x:c>
      <x:c r="D388" s="3" t="inlineStr">
        <x:is>
          <x:t>05 ago. 2022</x:t>
        </x:is>
      </x:c>
      <x:c r="E388" s="3" t="inlineStr">
        <x:is>
          <x:t/>
        </x:is>
      </x:c>
      <x:c r="F388" s="3" t="inlineStr">
        <x:is>
          <x:t>Negada</x:t>
        </x:is>
      </x:c>
      <x:c r="G388" s="3" t="inlineStr">
        <x:is>
          <x:t>4-1078</x:t>
        </x:is>
      </x:c>
      <x:c r="H388" s="3" t="inlineStr">
        <x:is>
          <x:t> UNO A ASEO INTEGRADO S.A., CR 42 46 34, MEDELLIN, ANTIOQUIA, CO</x:t>
        </x:is>
      </x:c>
      <x:c r="I388" s="3" t="inlineStr">
        <x:is>
          <x:t>3, 35</x:t>
        </x:is>
      </x:c>
      <x:c r="J388" s="3" t="inlineStr">
        <x:is>
          <x:t>11</x:t>
        </x:is>
      </x:c>
      <x:c r="K388" s="3" t="inlineStr">
        <x:is>
          <x:t>3. Preparaciones para suavizar y eliminar las manchas, desengrasantes para la limpieza, jabones, preparaciones y sustancias para limpiar, fregar y pulir.
35. Compra, venta, importación, exportación y comercialización de preparaciones para suavizar y eliminar las manchas, desengrasantes para la limpieza, jabones, preparaciones y sustancias para limpiar, fregar y pulir.
</x:t>
        </x:is>
      </x:c>
      <x:c r="L388" s="3" t="inlineStr">
        <x:is>
          <x:t>No</x:t>
        </x:is>
      </x:c>
      <x:c r="M388" s="3" t="inlineStr">
        <x:is>
          <x:t>GUSTAVO ADOLFO ORTEGA HERNANDEZ, Carrera 25 #1 A SUR 155 OFC. 1355, Edificio Platinum Superior, MEDELLIN, ANTIOQUIA, CO</x:t>
        </x:is>
      </x:c>
      <x:c r="N388" s="3" t="inlineStr">
        <x:is>
          <x:t/>
        </x:is>
      </x:c>
      <x:c r="O388" s="3" t="inlineStr">
        <x:is>
          <x:t>20 dic. 2022</x:t>
        </x:is>
      </x:c>
      <x:c r="P388" s="3" t="inlineStr">
        <x:is>
          <x:t/>
        </x:is>
      </x:c>
      <x:c r="Q388" s="3" t="inlineStr">
        <x:is>
          <x:t/>
        </x:is>
      </x:c>
    </x:row>
    <x:row r="389">
      <x:c r="A389" s="10" t="inlineStr">
        <x:f xml:space="preserve">HYPERLINK("http://sipi.sic.gov.co/sipi/View.ashx?4299230","SD2022/0080317")</x:f>
      </x:c>
      <x:c r="B389" s="3" t="inlineStr">
        <x:is>
          <x:t>CARE METHOD.</x:t>
        </x:is>
      </x:c>
      <x:c r="C389" s="9" t="inlineStr">
        <x:is>
          <x:t/>
        </x:is>
      </x:c>
      <x:c r="D389" s="3" t="inlineStr">
        <x:is>
          <x:t>08 ago. 2022</x:t>
        </x:is>
      </x:c>
      <x:c r="E389" s="3" t="inlineStr">
        <x:is>
          <x:t/>
        </x:is>
      </x:c>
      <x:c r="F389" s="3" t="inlineStr">
        <x:is>
          <x:t>Negada</x:t>
        </x:is>
      </x:c>
      <x:c r="G389" s="3" t="inlineStr">
        <x:is>
          <x:t/>
        </x:is>
      </x:c>
      <x:c r="H389" s="3" t="inlineStr">
        <x:is>
          <x:t>Maria José Echeverri, Calle 12 # 27 - 64, PEREIRA, RISARALDA 660000, CO</x:t>
        </x:is>
      </x:c>
      <x:c r="I389" s="3" t="inlineStr">
        <x:is>
          <x:t>3</x:t>
        </x:is>
      </x:c>
      <x:c r="J389" s="3" t="inlineStr">
        <x:is>
          <x:t>11</x:t>
        </x:is>
      </x:c>
      <x:c r="K389" s="3" t="inlineStr">
        <x:is>
          <x:t>3. Abrillantadores capilares; bálsamos capilares; bálsamos capilares no medicinales; champús capilares; cremas capilares; geles capilares; lociones capilares cosméticas; lociones capilares no medicinales; lociones capilares*; preparaciones capilares a base de aceite de coco virgen ecológico y de aceite de coco virgen; preparaciones capilares no medicamentosas; mascarillas para el cuidado capilar; serum calmante para la piel; aceite fijador para el cabello; aceite para el peinado del cabello; aceites cosméticos.
</x:t>
        </x:is>
      </x:c>
      <x:c r="L389" s="3" t="inlineStr">
        <x:is>
          <x:t>No</x:t>
        </x:is>
      </x:c>
      <x:c r="M389" s="3" t="inlineStr">
        <x:is>
          <x:t/>
        </x:is>
      </x:c>
      <x:c r="N389" s="3" t="inlineStr">
        <x:is>
          <x:t/>
        </x:is>
      </x:c>
      <x:c r="O389" s="3" t="inlineStr">
        <x:is>
          <x:t>30 sept. 2022</x:t>
        </x:is>
      </x:c>
      <x:c r="P389" s="3" t="inlineStr">
        <x:is>
          <x:t/>
        </x:is>
      </x:c>
      <x:c r="Q389" s="3" t="inlineStr">
        <x:is>
          <x:t/>
        </x:is>
      </x:c>
    </x:row>
    <x:row r="390">
      <x:c r="A390" s="10" t="inlineStr">
        <x:f xml:space="preserve">HYPERLINK("http://sipi.sic.gov.co/sipi/View.ashx?4300523","SD2022/0080068")</x:f>
      </x:c>
      <x:c r="B390" s="3" t="inlineStr">
        <x:is>
          <x:t>setu cosmetics</x:t>
        </x:is>
      </x:c>
      <x:c r="C390" s="9" t="inlineStr">
        <x:is>
          <x:t/>
        </x:is>
      </x:c>
      <x:c r="D390" s="3" t="inlineStr">
        <x:is>
          <x:t>07 ago. 2022</x:t>
        </x:is>
      </x:c>
      <x:c r="E390" s="3" t="inlineStr">
        <x:is>
          <x:t/>
        </x:is>
      </x:c>
      <x:c r="F390" s="3" t="inlineStr">
        <x:is>
          <x:t>Negada</x:t>
        </x:is>
      </x:c>
      <x:c r="G390" s="3" t="inlineStr">
        <x:is>
          <x:t/>
        </x:is>
      </x:c>
      <x:c r="H390" s="3" t="inlineStr">
        <x:is>
          <x:t>DEISY CAROLINA GOMEZ HERNANDEZ, Calle 23 5-35 apto 1608, BOGOTÁ, D.C. 110313, CO</x:t>
        </x:is>
      </x:c>
      <x:c r="I390" s="3" t="inlineStr">
        <x:is>
          <x:t>3, 35</x:t>
        </x:is>
      </x:c>
      <x:c r="J390" s="3" t="inlineStr">
        <x:is>
          <x:t>11</x:t>
        </x:is>
      </x:c>
      <x:c r="K390" s="3" t="inlineStr">
        <x:is>
          <x:t>3. Aceites bronceadores [cosméticos];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apitoxina [veneno de abeja melífera] con fines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cremas corporales [cosméticos]; cremas limpiadoras [cosméticos]; cremas limpiadoras [productos cosméticos]; cremas tonificantes [cosméticos].
35. Asesoramiento sobre productos de consumo en relación con productos cosméticos; investigación de marketing en el ámbito de los productos cosméticos, la perfumería y los productos de belleza; servicio de distribución comercial en el ámbito de los cosméticos; servicios de agencia de ventas de productos cosméticos; servicios de agencia de ventas de utensilios cosméticos; servicios de distribución comercial al por mayor de productos cosméticos; servicios de información sobre productos de consumo relacionados con productos cosméticos; servicios de publicidad en relación con productos cosméticos; servicios de revendedores en el ámbito de los cosméticos; servicios de venta de tienda al por menor en línea de productos cosméticos y de belleza; servicios de venta de tienda al por menor en línea que incluyen productos cosméticos y de belleza; servicios de venta de tienda minorista en línea de productos cosméticos y de belleza; servicios de venta de tienda minorista en línea en relación con productos cosméticos y de belleza; servicios de venta de tienda minorista en línea que incluyen productos cosméticos y de belleza; servicios de venta minorista en línea de cosméticos; servicios de venta minorista en línea de productos cosméticos; servicios de venta minorista en línea de productos cosméticos y de belleza, así como de prendas de vestir y complementos; servicios de venta minorista en línea en relación con productos cosméticos; servicios de venta minorista o mayorista de productos cosméticos; servicios de venta minorista o mayorista de productos cosméticos, productos de tocador, dentífricos, jabones y detergentes; servicios de venta minorista por correspondencia de cosméticos; servicios de venta minorista por correspondencia de productos cosméticos.
</x:t>
        </x:is>
      </x:c>
      <x:c r="L390" s="3" t="inlineStr">
        <x:is>
          <x:t>No</x:t>
        </x:is>
      </x:c>
      <x:c r="M390" s="3" t="inlineStr">
        <x:is>
          <x:t/>
        </x:is>
      </x:c>
      <x:c r="N390" s="3" t="inlineStr">
        <x:is>
          <x:t/>
        </x:is>
      </x:c>
      <x:c r="O390" s="3" t="inlineStr">
        <x:is>
          <x:t>21 oct. 2022</x:t>
        </x:is>
      </x:c>
      <x:c r="P390" s="3" t="inlineStr">
        <x:is>
          <x:t/>
        </x:is>
      </x:c>
      <x:c r="Q390" s="3" t="inlineStr">
        <x:is>
          <x:t/>
        </x:is>
      </x:c>
    </x:row>
    <x:row r="391">
      <x:c r="A391" s="10" t="inlineStr">
        <x:f xml:space="preserve">HYPERLINK("http://sipi.sic.gov.co/sipi/View.ashx?4301273","SD2022/0086100")</x:f>
      </x:c>
      <x:c r="B391" s="3" t="inlineStr">
        <x:is>
          <x:t>Miller Landy</x:t>
        </x:is>
      </x:c>
      <x:c r="C391" s="9" t="inlineStr">
        <x:is>
          <x:t/>
        </x:is>
      </x:c>
      <x:c r="D391" s="3" t="inlineStr">
        <x:is>
          <x:t>01 nov. 2022</x:t>
        </x:is>
      </x:c>
      <x:c r="E391" s="3" t="inlineStr">
        <x:is>
          <x:t/>
        </x:is>
      </x:c>
      <x:c r="F391" s="3" t="inlineStr">
        <x:is>
          <x:t>Negada</x:t>
        </x:is>
      </x:c>
      <x:c r="G391" s="3" t="inlineStr">
        <x:is>
          <x:t>Miller Landy</x:t>
        </x:is>
      </x:c>
      <x:c r="H391" s="3" t="inlineStr">
        <x:is>
          <x:t>Andrea Stefania Valencia Orobio, Carerra 60C # 7 - 112 Barrio Independencia Etapa 1, BUENAVENTURA, VALLE DEL CAUCA, CO</x:t>
        </x:is>
      </x:c>
      <x:c r="I391" s="3" t="inlineStr">
        <x:is>
          <x:t>3, 25, 30, 33, 43</x:t>
        </x:is>
      </x:c>
      <x:c r="J391" s="3" t="inlineStr">
        <x:is>
          <x:t>11</x:t>
        </x:is>
      </x:c>
      <x:c r="K391" s="3" t="inlineStr">
        <x:is>
          <x:t>3. Aceites cosméticos; cosméticos; cosméticos a base de hierbas; cosméticos biológicos; cosméticos de belleza; cosméticos ecológicos; cosméticos naturales; cosméticos orgánicos; cosméticos para el cabello; exfoliantes para uso cosmético; geles cosméticos; champúes para el cabello; champús para el cabello; champús para el cabello humano; champús para el cabello y el cuerpo; crema para peinar el cabello; cremas para el cabello; lociones para el cabello.
25. Vestidos; prendas de vestir para bebés y niños pequeños; prendas de vestir para hombres; prendas de vestir para mujeres; prendas de vestir tejidas; prendas de vestir*; prendas de vestir, calzado y artículos de sombrerería.
30. Helados; helados a base de frutas; helados alimenticios vegetales; helados blandos; helados cremosos; helados cremosos a base de yogurt; helados cremosos blandos; helados cremosos de frutas; helados cremosos de frutas en palito o en barra; helados cremosos en barras [productos de confitería]; helados cremosos lácteos; helados cremosos no lácteos; helados cremosos veganos; helados cremosos, sorbetes; helados de agua; helados de confitería.
33. Destilado de viche.
43. Prestación de servicios de restaurantes.
</x:t>
        </x:is>
      </x:c>
      <x:c r="L391" s="3" t="inlineStr">
        <x:is>
          <x:t>Sí</x:t>
        </x:is>
      </x:c>
      <x:c r="M391" s="3" t="inlineStr">
        <x:is>
          <x:t/>
        </x:is>
      </x:c>
      <x:c r="N391" s="3" t="inlineStr">
        <x:is>
          <x:t/>
        </x:is>
      </x:c>
      <x:c r="O391" s="3" t="inlineStr">
        <x:is>
          <x:t>20 dic. 2022</x:t>
        </x:is>
      </x:c>
      <x:c r="P391" s="3" t="inlineStr">
        <x:is>
          <x:t/>
        </x:is>
      </x:c>
      <x:c r="Q391" s="3" t="inlineStr">
        <x:is>
          <x:t/>
        </x:is>
      </x:c>
    </x:row>
    <x:row r="392">
      <x:c r="A392" s="10" t="inlineStr">
        <x:f xml:space="preserve">HYPERLINK("http://sipi.sic.gov.co/sipi/View.ashx?4302379","SD2022/0081458")</x:f>
      </x:c>
      <x:c r="B392" s="3" t="inlineStr">
        <x:is>
          <x:t>ONIX MD</x:t>
        </x:is>
      </x:c>
      <x:c r="C392" s="9" t="inlineStr">
        <x:is>
          <x:t/>
        </x:is>
      </x:c>
      <x:c r="D392" s="3" t="inlineStr">
        <x:is>
          <x:t>10 ago. 2022</x:t>
        </x:is>
      </x:c>
      <x:c r="E392" s="3" t="inlineStr">
        <x:is>
          <x:t/>
        </x:is>
      </x:c>
      <x:c r="F392" s="3" t="inlineStr">
        <x:is>
          <x:t>Negada</x:t>
        </x:is>
      </x:c>
      <x:c r="G392" s="3" t="inlineStr">
        <x:is>
          <x:t>ONIX MD</x:t>
        </x:is>
      </x:c>
      <x:c r="H392" s="3" t="inlineStr">
        <x:is>
          <x:t> INVERSIONES COSMETICAS MD S.A.S, Vereda el Zarzal Sec la cuesta, FINCA LOS GIRASOLAES, COPACABANA, ANTIOQUIA, CO</x:t>
        </x:is>
      </x:c>
      <x:c r="I392" s="3" t="inlineStr">
        <x:is>
          <x:t>3</x:t>
        </x:is>
      </x:c>
      <x:c r="J392" s="3" t="inlineStr">
        <x:is>
          <x:t>11</x:t>
        </x:is>
      </x:c>
      <x:c r="K392" s="3" t="inlineStr">
        <x:is>
          <x:t>3. Aceites bronceadores [cosméticos]; aceites cosméticos; aceites cosméticos para la piel; aceites de protección solar [cosméticos]; aceites minerales [cosméticos]; aceites para bronceado [cosméticos].
</x:t>
        </x:is>
      </x:c>
      <x:c r="L392" s="3" t="inlineStr">
        <x:is>
          <x:t>Sí</x:t>
        </x:is>
      </x:c>
      <x:c r="M392" s="3" t="inlineStr">
        <x:is>
          <x:t>Douglas López Henao, Calle 47b Cr 43 c -48, COPACABANA, ANTIOQUIA, CO</x:t>
        </x:is>
      </x:c>
      <x:c r="N392" s="3" t="inlineStr">
        <x:is>
          <x:t/>
        </x:is>
      </x:c>
      <x:c r="O392" s="3" t="inlineStr">
        <x:is>
          <x:t>11 oct. 2022</x:t>
        </x:is>
      </x:c>
      <x:c r="P392" s="3" t="inlineStr">
        <x:is>
          <x:t/>
        </x:is>
      </x:c>
      <x:c r="Q392" s="3" t="inlineStr">
        <x:is>
          <x:t/>
        </x:is>
      </x:c>
    </x:row>
    <x:row r="393">
      <x:c r="A393" s="10" t="inlineStr">
        <x:f xml:space="preserve">HYPERLINK("http://sipi.sic.gov.co/sipi/View.ashx?4303307","SD2022/0080840")</x:f>
      </x:c>
      <x:c r="B393" s="3" t="inlineStr">
        <x:is>
          <x:t>kenna</x:t>
        </x:is>
      </x:c>
      <x:c r="C393" s="9" t="inlineStr">
        <x:is>
          <x:t/>
        </x:is>
      </x:c>
      <x:c r="D393" s="3" t="inlineStr">
        <x:is>
          <x:t>11 ago. 2022</x:t>
        </x:is>
      </x:c>
      <x:c r="E393" s="3" t="inlineStr">
        <x:is>
          <x:t/>
        </x:is>
      </x:c>
      <x:c r="F393" s="3" t="inlineStr">
        <x:is>
          <x:t>Negada</x:t>
        </x:is>
      </x:c>
      <x:c r="G393" s="3" t="inlineStr">
        <x:is>
          <x:t>kenna</x:t>
        </x:is>
      </x:c>
      <x:c r="H393" s="3" t="inlineStr">
        <x:is>
          <x:t>Cristian Emilio  Valencia Perez, carrera 22 # 7d 67, ZIPAQUIRA, CUNDINAMARCA, CO</x:t>
        </x:is>
      </x:c>
      <x:c r="I393" s="3" t="inlineStr">
        <x:is>
          <x:t>3</x:t>
        </x:is>
      </x:c>
      <x:c r="J393" s="3" t="inlineStr">
        <x:is>
          <x:t>11</x:t>
        </x:is>
      </x:c>
      <x:c r="K393" s="3" t="inlineStr">
        <x:is>
          <x:t>3. Jabones no medicinales; productos de perfumería, aceites esenciales, cosméticos no medicinales, lociones capilares no medicinales; dentífricos no medicinales.
</x:t>
        </x:is>
      </x:c>
      <x:c r="L393" s="3" t="inlineStr">
        <x:is>
          <x:t>No</x:t>
        </x:is>
      </x:c>
      <x:c r="M393" s="3" t="inlineStr">
        <x:is>
          <x:t/>
        </x:is>
      </x:c>
      <x:c r="N393" s="3" t="inlineStr">
        <x:is>
          <x:t/>
        </x:is>
      </x:c>
      <x:c r="O393" s="3" t="inlineStr">
        <x:is>
          <x:t>20 dic. 2022</x:t>
        </x:is>
      </x:c>
      <x:c r="P393" s="3" t="inlineStr">
        <x:is>
          <x:t/>
        </x:is>
      </x:c>
      <x:c r="Q393" s="3" t="inlineStr">
        <x:is>
          <x:t/>
        </x:is>
      </x:c>
    </x:row>
    <x:row r="394">
      <x:c r="A394" s="10" t="inlineStr">
        <x:f xml:space="preserve">HYPERLINK("http://sipi.sic.gov.co/sipi/View.ashx?4303342","SD2022/0080845")</x:f>
      </x:c>
      <x:c r="B394" s="3" t="inlineStr">
        <x:is>
          <x:t>BELLA'S INTERNACIONAL</x:t>
        </x:is>
      </x:c>
      <x:c r="C394" s="9" t="inlineStr">
        <x:is>
          <x:t/>
        </x:is>
      </x:c>
      <x:c r="D394" s="3" t="inlineStr">
        <x:is>
          <x:t>09 ago. 2022</x:t>
        </x:is>
      </x:c>
      <x:c r="E394" s="3" t="inlineStr">
        <x:is>
          <x:t/>
        </x:is>
      </x:c>
      <x:c r="F394" s="3" t="inlineStr">
        <x:is>
          <x:t>Negada</x:t>
        </x:is>
      </x:c>
      <x:c r="G394" s="3" t="inlineStr">
        <x:is>
          <x:t>S - SD - BELLA'S INTERNATIONAL</x:t>
        </x:is>
      </x:c>
      <x:c r="H394" s="3" t="inlineStr">
        <x:is>
          <x:t>EDUARDO JOSE HENAO MORENO, Carrera 7 No. 67 - 57. Apto 301, Torre 58, Etapa 5. Los Ocobos, IBAGUE, TOLIMA, CO</x:t>
        </x:is>
      </x:c>
      <x:c r="I394" s="3" t="inlineStr">
        <x:is>
          <x:t>3</x:t>
        </x:is>
      </x:c>
      <x:c r="J394" s="3" t="inlineStr">
        <x:is>
          <x:t>11</x:t>
        </x:is>
      </x:c>
      <x:c r="K394" s="3" t="inlineStr">
        <x:is>
          <x:t>3. Cosméticos, productos de perfumería, aceites esenciales, lociones capilares, jabones no medicinales, dentífricos no medicinales, preparaciones para blanquear y otras sustancias para lavar la ropa; preparaciones para limpiar, pulir, desengrasar y raspar.
</x:t>
        </x:is>
      </x:c>
      <x:c r="L394" s="3" t="inlineStr">
        <x:is>
          <x:t>No</x:t>
        </x:is>
      </x:c>
      <x:c r="M394" s="3" t="inlineStr">
        <x:is>
          <x:t>WILLIAM ORLANDO  QUIROGA, Carrera 13 No. 32-93. Torre 3, Oficina 708. Parque Central Baviera., BOGOTA, CUNDINAMARCA, CO</x:t>
        </x:is>
      </x:c>
      <x:c r="N394" s="3" t="inlineStr">
        <x:is>
          <x:t/>
        </x:is>
      </x:c>
      <x:c r="O394" s="3" t="inlineStr">
        <x:is>
          <x:t>20 sept. 2022</x:t>
        </x:is>
      </x:c>
      <x:c r="P394" s="3" t="inlineStr">
        <x:is>
          <x:t/>
        </x:is>
      </x:c>
      <x:c r="Q394" s="3" t="inlineStr">
        <x:is>
          <x:t/>
        </x:is>
      </x:c>
    </x:row>
    <x:row r="395">
      <x:c r="A395" s="10" t="inlineStr">
        <x:f xml:space="preserve">HYPERLINK("http://sipi.sic.gov.co/sipi/View.ashx?4305951","SD2022/0081496")</x:f>
      </x:c>
      <x:c r="B395" s="3" t="inlineStr">
        <x:is>
          <x:t>CROKO</x:t>
        </x:is>
      </x:c>
      <x:c r="C395" s="9" t="inlineStr">
        <x:is>
          <x:t/>
        </x:is>
      </x:c>
      <x:c r="D395" s="3" t="inlineStr">
        <x:is>
          <x:t>10 ago. 2022</x:t>
        </x:is>
      </x:c>
      <x:c r="E395" s="3" t="inlineStr">
        <x:is>
          <x:t/>
        </x:is>
      </x:c>
      <x:c r="F395" s="3" t="inlineStr">
        <x:is>
          <x:t>Negada</x:t>
        </x:is>
      </x:c>
      <x:c r="G395" s="3" t="inlineStr">
        <x:is>
          <x:t>CROKO</x:t>
        </x:is>
      </x:c>
      <x:c r="H395" s="3" t="inlineStr">
        <x:is>
          <x:t>Daniela Rincón Marín, Calle 66a # 43-96. Interior 301, ITAGUI, ANTIOQUIA, CO</x:t>
        </x:is>
      </x:c>
      <x:c r="I395" s="3" t="inlineStr">
        <x:is>
          <x:t>3, 41</x:t>
        </x:is>
      </x:c>
      <x:c r="J395" s="3" t="inlineStr">
        <x:is>
          <x:t>11</x:t>
        </x:is>
      </x:c>
      <x:c r="K395" s="3" t="inlineStr">
        <x:is>
          <x:t>3. Cremas corporales, Cosméticos de belleza y pintura corporal para uso cosmético principalmente para mujeres en estado de embarazo.
41. Servicios de pintura corporal para mujeres en estado de embarazo.
</x:t>
        </x:is>
      </x:c>
      <x:c r="L395" s="3" t="inlineStr">
        <x:is>
          <x:t>Sí</x:t>
        </x:is>
      </x:c>
      <x:c r="M395" s="3" t="inlineStr">
        <x:is>
          <x:t>Manuela Granada Restrepo, carrera 25 No. 3b-81, MEDELLIN, ANTIOQUIA, CO</x:t>
        </x:is>
      </x:c>
      <x:c r="N395" s="3" t="inlineStr">
        <x:is>
          <x:t/>
        </x:is>
      </x:c>
      <x:c r="O395" s="3" t="inlineStr">
        <x:is>
          <x:t>11 oct. 2022</x:t>
        </x:is>
      </x:c>
      <x:c r="P395" s="3" t="inlineStr">
        <x:is>
          <x:t/>
        </x:is>
      </x:c>
      <x:c r="Q395" s="3" t="inlineStr">
        <x:is>
          <x:t/>
        </x:is>
      </x:c>
    </x:row>
    <x:row r="396">
      <x:c r="A396" s="10" t="inlineStr">
        <x:f xml:space="preserve">HYPERLINK("http://sipi.sic.gov.co/sipi/View.ashx?4306016","SD2022/0081529")</x:f>
      </x:c>
      <x:c r="B396" s="3" t="inlineStr">
        <x:is>
          <x:t>All Natu-mar COSMÉTICA ARTESANAL</x:t>
        </x:is>
      </x:c>
      <x:c r="C396" s="9" t="inlineStr">
        <x:is>
          <x:t/>
        </x:is>
      </x:c>
      <x:c r="D396" s="3" t="inlineStr">
        <x:is>
          <x:t>19 ago. 2022</x:t>
        </x:is>
      </x:c>
      <x:c r="E396" s="3" t="inlineStr">
        <x:is>
          <x:t/>
        </x:is>
      </x:c>
      <x:c r="F396" s="3" t="inlineStr">
        <x:is>
          <x:t>Negada</x:t>
        </x:is>
      </x:c>
      <x:c r="G396" s="3" t="inlineStr">
        <x:is>
          <x:t>allnatu-mar</x:t>
        </x:is>
      </x:c>
      <x:c r="H396" s="3" t="inlineStr">
        <x:is>
          <x:t>Claudia Marcela Gomez Caceres, Calle 6bis N 90a 49, BOGOTÁ, D.C., CO</x:t>
        </x:is>
      </x:c>
      <x:c r="I396" s="3" t="inlineStr">
        <x:is>
          <x:t>3</x:t>
        </x:is>
      </x:c>
      <x:c r="J396" s="3" t="inlineStr">
        <x:is>
          <x:t>11</x:t>
        </x:is>
      </x:c>
      <x:c r="K39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396" s="3" t="inlineStr">
        <x:is>
          <x:t>No</x:t>
        </x:is>
      </x:c>
      <x:c r="M396" s="3" t="inlineStr">
        <x:is>
          <x:t>JULIANA GONZÁLEZ GONZÁLEZ, CALLE 66 No.11- 50 OFIC 416, BOGOTÁ, D.C., CO</x:t>
        </x:is>
      </x:c>
      <x:c r="N396" s="3" t="inlineStr">
        <x:is>
          <x:t/>
        </x:is>
      </x:c>
      <x:c r="O396" s="3" t="inlineStr">
        <x:is>
          <x:t>09 dic. 2022</x:t>
        </x:is>
      </x:c>
      <x:c r="P396" s="3" t="inlineStr">
        <x:is>
          <x:t/>
        </x:is>
      </x:c>
      <x:c r="Q396" s="3" t="inlineStr">
        <x:is>
          <x:t/>
        </x:is>
      </x:c>
    </x:row>
    <x:row r="397">
      <x:c r="A397" s="10" t="inlineStr">
        <x:f xml:space="preserve">HYPERLINK("http://sipi.sic.gov.co/sipi/View.ashx?4306157","SD2022/0081699")</x:f>
      </x:c>
      <x:c r="B397" s="3" t="inlineStr">
        <x:is>
          <x:t>Bioetiq</x:t>
        </x:is>
      </x:c>
      <x:c r="C397" s="9" t="inlineStr">
        <x:is>
          <x:t/>
        </x:is>
      </x:c>
      <x:c r="D397" s="3" t="inlineStr">
        <x:is>
          <x:t>10 ago. 2022</x:t>
        </x:is>
      </x:c>
      <x:c r="E397" s="3" t="inlineStr">
        <x:is>
          <x:t/>
        </x:is>
      </x:c>
      <x:c r="F397" s="3" t="inlineStr">
        <x:is>
          <x:t>Negada</x:t>
        </x:is>
      </x:c>
      <x:c r="G397" s="3" t="inlineStr">
        <x:is>
          <x:t>Proceso de Registro de Marca Bioetiq</x:t>
        </x:is>
      </x:c>
      <x:c r="H397" s="3" t="inlineStr">
        <x:is>
          <x:t>JULIAN ANDRES AGUIRRE GIL, CALLE 3 NO. 52-20, MEDELLIN, ANTIOQUIA, CO</x:t>
        </x:is>
      </x:c>
      <x:c r="I397" s="3" t="inlineStr">
        <x:is>
          <x:t>3</x:t>
        </x:is>
      </x:c>
      <x:c r="J397" s="3" t="inlineStr">
        <x:is>
          <x:t>11</x:t>
        </x:is>
      </x:c>
      <x:c r="K397" s="3" t="inlineStr">
        <x:is>
          <x:t>3. Preparaciones cosméticas; cremas, lociones y otras preparaciones cosméticas bronceadoras; preparaciones cosméticas antienvejecimiento; preparaciones cosméticas no medicamentosas para tratamientos capilares; preparaciones cosméticas para el cuidado y el tratamiento de la piel; preparaciones cosméticas para el rostro y el cuerpo; aceites cosméticos; colonias, perfumes y productos cosméticos; cosméticos; cosméticos de belleza; cosméticos en forma de cremas; cosméticos naturales; cosméticos orgánicos; cosméticos para cuidados corporales y estéticos; cosméticos para el cabello; cosméticos para tratamiento de belleza cosméticos para el cuidado de belleza; cosméticos y preparaciones cosméticas; cremas corporales [cosméticos]; cremas de limpieza [cosméticos]; cremas hidratantes para la piel [cosméticos]; cremas limpiadoras [cosméticos]; cremas para el cuerpo [cosméticos]; cremas tonificantes [cosméticos]; cremas y geles cosméticos para cara, manos y cuerpo; cremas, leches, lociones, geles y polvos cosméticos para la cara, el cuerpo y las manos; esmaltes de base para las uñas [productos cosméticos]; exfoliantes corporales cosméticos; geles bronceadores [cosméticos]; geles cosméticos; geles hidratantes [cosméticos]; geles para el cuerpo [cosméticos]; geles para el cuerpo y la cara [cosméticos]; hidratantes [cosméticos]; kits de cosméticos que comprenden principalmente máscara de pestañas, lápices de labios, lápices de cejas, maquillaje, fundación de maquillaje y brillos de labios; leches bronceadoras [cosméticos]; limpiadores cosméticos cutáneos; limpiadores de la piel [productos cosméticos]; lociones autobronceadoras [cosméticos]; lociones hidratantes [cosméticos]; maquillaje [cosméticos].
</x:t>
        </x:is>
      </x:c>
      <x:c r="L397" s="3" t="inlineStr">
        <x:is>
          <x:t>No</x:t>
        </x:is>
      </x:c>
      <x:c r="M397" s="3" t="inlineStr">
        <x:is>
          <x:t>RODRIGO  VANEGAS GAVIRIA, CALLE 52 # 47-28 OF.329, MEDELLIN, ANTIOQUIA 050001, CO</x:t>
        </x:is>
      </x:c>
      <x:c r="N397" s="3" t="inlineStr">
        <x:is>
          <x:t/>
        </x:is>
      </x:c>
      <x:c r="O397" s="3" t="inlineStr">
        <x:is>
          <x:t>30 sept. 2022</x:t>
        </x:is>
      </x:c>
      <x:c r="P397" s="3" t="inlineStr">
        <x:is>
          <x:t/>
        </x:is>
      </x:c>
      <x:c r="Q397" s="3" t="inlineStr">
        <x:is>
          <x:t/>
        </x:is>
      </x:c>
    </x:row>
    <x:row r="398">
      <x:c r="A398" s="10" t="inlineStr">
        <x:f xml:space="preserve">HYPERLINK("http://sipi.sic.gov.co/sipi/View.ashx?4306411","SD2022/0081690")</x:f>
      </x:c>
      <x:c r="B398" s="3" t="inlineStr">
        <x:is>
          <x:t>NATIVA Arte Ancestral</x:t>
        </x:is>
      </x:c>
      <x:c r="C398" s="9" t="inlineStr">
        <x:is>
          <x:t/>
        </x:is>
      </x:c>
      <x:c r="D398" s="3" t="inlineStr">
        <x:is>
          <x:t>25 ago. 2022</x:t>
        </x:is>
      </x:c>
      <x:c r="E398" s="3" t="inlineStr">
        <x:is>
          <x:t/>
        </x:is>
      </x:c>
      <x:c r="F398" s="3" t="inlineStr">
        <x:is>
          <x:t>Negada</x:t>
        </x:is>
      </x:c>
      <x:c r="G398" s="3" t="inlineStr">
        <x:is>
          <x:t>NATIVA</x:t>
        </x:is>
      </x:c>
      <x:c r="H398" s="3" t="inlineStr">
        <x:is>
          <x:t>LYSSETTE GERALDINE ROLON ARAQUE, calle 54 # 6 96 , TUNJA, BOYACA, CO</x:t>
        </x:is>
      </x:c>
      <x:c r="I398" s="3" t="inlineStr">
        <x:is>
          <x:t>3</x:t>
        </x:is>
      </x:c>
      <x:c r="J398" s="3" t="inlineStr">
        <x:is>
          <x:t>11</x:t>
        </x:is>
      </x:c>
      <x:c r="K398" s="3" t="inlineStr">
        <x:is>
          <x:t>3. Cosméticos en forma de cremas; cremas de limpieza; aceites cosméticos; cosméticos; lociones hidratantes [cosméticos]; limpiadores cosméticos para la piel; jabones de tocador; jabones*.
</x:t>
        </x:is>
      </x:c>
      <x:c r="L398" s="3" t="inlineStr">
        <x:is>
          <x:t>No</x:t>
        </x:is>
      </x:c>
      <x:c r="M398" s="3" t="inlineStr">
        <x:is>
          <x:t/>
        </x:is>
      </x:c>
      <x:c r="N398" s="3" t="inlineStr">
        <x:is>
          <x:t/>
        </x:is>
      </x:c>
      <x:c r="O398" s="3" t="inlineStr">
        <x:is>
          <x:t>08 nov. 2022</x:t>
        </x:is>
      </x:c>
      <x:c r="P398" s="3" t="inlineStr">
        <x:is>
          <x:t/>
        </x:is>
      </x:c>
      <x:c r="Q398" s="3" t="inlineStr">
        <x:is>
          <x:t/>
        </x:is>
      </x:c>
    </x:row>
    <x:row r="399">
      <x:c r="A399" s="10" t="inlineStr">
        <x:f xml:space="preserve">HYPERLINK("http://sipi.sic.gov.co/sipi/View.ashx?4309494","SD2022/0082433")</x:f>
      </x:c>
      <x:c r="B399" s="3" t="inlineStr">
        <x:is>
          <x:t>EXTRACTOS &amp; ESENCIAS EL RECETARIO</x:t>
        </x:is>
      </x:c>
      <x:c r="C399" s="9" t="inlineStr">
        <x:is>
          <x:t/>
        </x:is>
      </x:c>
      <x:c r="D399" s="3" t="inlineStr">
        <x:is>
          <x:t>12 ago. 2022</x:t>
        </x:is>
      </x:c>
      <x:c r="E399" s="3" t="inlineStr">
        <x:is>
          <x:t/>
        </x:is>
      </x:c>
      <x:c r="F399" s="3" t="inlineStr">
        <x:is>
          <x:t>Negada</x:t>
        </x:is>
      </x:c>
      <x:c r="G399" s="3" t="inlineStr">
        <x:is>
          <x:t>S - SD - EXTRACTOS &amp; ESENCIAS EL RECETARIO</x:t>
        </x:is>
      </x:c>
      <x:c r="H399" s="3" t="inlineStr">
        <x:is>
          <x:t> EL RECETARIO EXTRACTOS Y ESENCIAS S.A.S., Calle 78 A sur 52 A – 20, LA ESTRELLA, ANTIOQUIA, CO</x:t>
        </x:is>
      </x:c>
      <x:c r="I399" s="3" t="inlineStr">
        <x:is>
          <x:t>3</x:t>
        </x:is>
      </x:c>
      <x:c r="J399" s="3" t="inlineStr">
        <x:is>
          <x:t>11</x:t>
        </x:is>
      </x:c>
      <x:c r="K399" s="3" t="inlineStr">
        <x:is>
          <x:t>3. Cosméticos, lociones capilares, jabones; productos de perfumería, aceites esenciales, preparaciones para blanquear y otras sustancias para lavar la ropa; preparaciones para limpiar, pulir, desengrasar y raspar, dentífricos no medicinales.
</x:t>
        </x:is>
      </x:c>
      <x:c r="L399" s="3" t="inlineStr">
        <x:is>
          <x:t>No</x:t>
        </x:is>
      </x:c>
      <x:c r="M399" s="3" t="inlineStr">
        <x:is>
          <x:t>WILLIAM ORLANDO  QUIROGA, Carrera 13 No. 32-93. Torre 3, Oficina 708. Parque Central Baviera., BOGOTA, CUNDINAMARCA, CO</x:t>
        </x:is>
      </x:c>
      <x:c r="N399" s="3" t="inlineStr">
        <x:is>
          <x:t/>
        </x:is>
      </x:c>
      <x:c r="O399" s="3" t="inlineStr">
        <x:is>
          <x:t>09 sept. 2022</x:t>
        </x:is>
      </x:c>
      <x:c r="P399" s="3" t="inlineStr">
        <x:is>
          <x:t/>
        </x:is>
      </x:c>
      <x:c r="Q399" s="3" t="inlineStr">
        <x:is>
          <x:t/>
        </x:is>
      </x:c>
    </x:row>
    <x:row r="400">
      <x:c r="A400" s="10" t="inlineStr">
        <x:f xml:space="preserve">HYPERLINK("http://sipi.sic.gov.co/sipi/View.ashx?4310221","SD2022/0082573")</x:f>
      </x:c>
      <x:c r="B400" s="3" t="inlineStr">
        <x:is>
          <x:t>LE MEMORABLE LM</x:t>
        </x:is>
      </x:c>
      <x:c r="C400" s="9" t="inlineStr">
        <x:is>
          <x:t/>
        </x:is>
      </x:c>
      <x:c r="D400" s="3" t="inlineStr">
        <x:is>
          <x:t>12 ago. 2022</x:t>
        </x:is>
      </x:c>
      <x:c r="E400" s="3" t="inlineStr">
        <x:is>
          <x:t/>
        </x:is>
      </x:c>
      <x:c r="F400" s="3" t="inlineStr">
        <x:is>
          <x:t>Negada</x:t>
        </x:is>
      </x:c>
      <x:c r="G400" s="3" t="inlineStr">
        <x:is>
          <x:t>SD - LE MEMORABLE LM</x:t>
        </x:is>
      </x:c>
      <x:c r="H400" s="3" t="inlineStr">
        <x:is>
          <x:t>MARÍA JOSÉ MESA LÓPEZ, Calle 4g No. 84b - 85, MEDELLIN, ANTIOQUIA, CO</x:t>
        </x:is>
      </x:c>
      <x:c r="I400" s="3" t="inlineStr">
        <x:is>
          <x:t>3</x:t>
        </x:is>
      </x:c>
      <x:c r="J400" s="3" t="inlineStr">
        <x:is>
          <x:t>11</x:t>
        </x:is>
      </x:c>
      <x:c r="K400"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00" s="3" t="inlineStr">
        <x:is>
          <x:t>No</x:t>
        </x:is>
      </x:c>
      <x:c r="M400" s="3" t="inlineStr">
        <x:is>
          <x:t>WILLIAM ORLANDO  QUIROGA, Carrera 13 No. 32-93. Torre 3, Oficina 708. Parque Central Baviera., BOGOTA, CUNDINAMARCA, CO</x:t>
        </x:is>
      </x:c>
      <x:c r="N400" s="3" t="inlineStr">
        <x:is>
          <x:t/>
        </x:is>
      </x:c>
      <x:c r="O400" s="3" t="inlineStr">
        <x:is>
          <x:t>11 oct. 2022</x:t>
        </x:is>
      </x:c>
      <x:c r="P400" s="3" t="inlineStr">
        <x:is>
          <x:t/>
        </x:is>
      </x:c>
      <x:c r="Q400" s="3" t="inlineStr">
        <x:is>
          <x:t/>
        </x:is>
      </x:c>
    </x:row>
    <x:row r="401">
      <x:c r="A401" s="10" t="inlineStr">
        <x:f xml:space="preserve">HYPERLINK("http://sipi.sic.gov.co/sipi/View.ashx?4310299","SD2022/0082582")</x:f>
      </x:c>
      <x:c r="B401" s="3" t="inlineStr">
        <x:is>
          <x:t>SAPHIRA</x:t>
        </x:is>
      </x:c>
      <x:c r="C401" s="3" t="inlineStr">
        <x:is>
          <x:t/>
        </x:is>
      </x:c>
      <x:c r="D401" s="3" t="inlineStr">
        <x:is>
          <x:t>12 ago. 2022</x:t>
        </x:is>
      </x:c>
      <x:c r="E401" s="3" t="inlineStr">
        <x:is>
          <x:t/>
        </x:is>
      </x:c>
      <x:c r="F401" s="3" t="inlineStr">
        <x:is>
          <x:t>Negada</x:t>
        </x:is>
      </x:c>
      <x:c r="G401" s="3" t="inlineStr">
        <x:is>
          <x:t/>
        </x:is>
      </x:c>
      <x:c r="H401" s="3" t="inlineStr">
        <x:is>
          <x:t> Saphira, LLC , 2875 NE 191st Street, Suite 500 Aventura, FL 33180 USA, AVENTURA, FLORIDA, US</x:t>
        </x:is>
      </x:c>
      <x:c r="I401" s="3" t="inlineStr">
        <x:is>
          <x:t>3</x:t>
        </x:is>
      </x:c>
      <x:c r="J401" s="3" t="inlineStr">
        <x:is>
          <x:t>11</x:t>
        </x:is>
      </x:c>
      <x:c r="K401" s="3" t="inlineStr">
        <x:is>
          <x:t>3. Preparaciones para el cuidado del cabello.
</x:t>
        </x:is>
      </x:c>
      <x:c r="L401" s="3" t="inlineStr">
        <x:is>
          <x:t>No</x:t>
        </x:is>
      </x:c>
      <x:c r="M401" s="3" t="inlineStr">
        <x:is>
          <x:t>MONICA BELA WOLF WASSERMAN, AK No. 113-143 Of. 805 Torre Samsung, BOGOTÁ, D.C., CO, BOGOTÁ, D.C., CO</x:t>
        </x:is>
      </x:c>
      <x:c r="N401" s="3" t="inlineStr">
        <x:is>
          <x:t/>
        </x:is>
      </x:c>
      <x:c r="O401" s="3" t="inlineStr">
        <x:is>
          <x:t>11 oct. 2022</x:t>
        </x:is>
      </x:c>
      <x:c r="P401" s="3" t="inlineStr">
        <x:is>
          <x:t/>
        </x:is>
      </x:c>
      <x:c r="Q401" s="3" t="inlineStr">
        <x:is>
          <x:t/>
        </x:is>
      </x:c>
    </x:row>
    <x:row r="402">
      <x:c r="A402" s="10" t="inlineStr">
        <x:f xml:space="preserve">HYPERLINK("http://sipi.sic.gov.co/sipi/View.ashx?4311049","SD2022/0082738")</x:f>
      </x:c>
      <x:c r="B402" s="3" t="inlineStr">
        <x:is>
          <x:t>TANINO TERAPIA</x:t>
        </x:is>
      </x:c>
      <x:c r="C402" s="9" t="inlineStr">
        <x:is>
          <x:t/>
        </x:is>
      </x:c>
      <x:c r="D402" s="3" t="inlineStr">
        <x:is>
          <x:t>13 ago. 2022</x:t>
        </x:is>
      </x:c>
      <x:c r="E402" s="3" t="inlineStr">
        <x:is>
          <x:t/>
        </x:is>
      </x:c>
      <x:c r="F402" s="3" t="inlineStr">
        <x:is>
          <x:t>Negada</x:t>
        </x:is>
      </x:c>
      <x:c r="G402" s="3" t="inlineStr">
        <x:is>
          <x:t>TANINO TERAPIA</x:t>
        </x:is>
      </x:c>
      <x:c r="H402" s="3" t="inlineStr">
        <x:is>
          <x:t>Natalia Leottau Cruz, Bocagrande Carrera 3 #6-153, CARTAGENA, BOLIVAR 130001, CO</x:t>
        </x:is>
      </x:c>
      <x:c r="I402" s="3" t="inlineStr">
        <x:is>
          <x:t>3</x:t>
        </x:is>
      </x:c>
      <x:c r="J402" s="3" t="inlineStr">
        <x:is>
          <x:t>11</x:t>
        </x:is>
      </x:c>
      <x:c r="K402" s="3" t="inlineStr">
        <x:is>
          <x:t>3.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tratamientos para permanentes capilares; bases de maquillaje; bases de maquillaje cremosas; bases de maquillaje para la piel;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lápices de maquillaje; maquillaje; maquillaje de teatro, a saber, sangre falsa; maquillaje para la cara; maquillaje para la cara y el cuerpo; maquillaje teatral; maquillajes de base; maquillajes de ojos; maquillajes para el teatro;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preparaciones de maquillaje para la cara y el cuerpo; productos cosméticos y de maquillaje; sangre falsa [maquillaje de teatro]; sprays para fijar el maquillaje; tiza para maquillaje; bálsamos [cremas] para disimular las imperfecciones de la piel; coloretes en crema; crema corporal; crema en gel para matificar la piel; crema limpiadora; crema para aclarar la piel; crema para las manos; crema para peinar el cabello; cremas acondicionadoras; cremas acondicionadoras para la piel, de uso cosmético; cremas antiarrugas; cremas antiarrugas para uso cosmético; cremas antienvejecimiento; cremas antienvejecimiento para uso cosmético; cremas autobronceadoras; cremas bronceadoras; cremas bronceadoras para la piel; cremas bálsamos de belleza; cremas con filtro solar para uso cosmético; cremas contra las pecas; cremas contra las pecas [para uso cosmético]; cremas corporales; cremas cosmética para el cuerpo; cremas cosméticas; cremas cosméticas a base de extractos de plantas; cremas cosméticas detoxificantes fitoactivas; cremas cosméticas para el rostro; cremas cosméticas para el tratamiento de los labios; cremas cosméticas para las manos; cremas cosméticas para reafirmar la piel; cremas cosméticas para tonificar la piel; cremas de afeitar; cremas de aromaterapia; cremas de baño; cremas de belleza; cremas de belleza para el cuerpo; cremas de bálsamo para disimular las imperfecciones de la piel; cremas de ducha; cremas de día; cremas de limpieza; cremas de limpieza [para uso cosmético]; cremas de limpieza [productos cosméticos]; cremas de noche; cremas de protección para el cabello; cremas de protección para el cabello, no medicinales; cremas de protección solar; cremas de pureza; cremas depilatorias; cremas evanescentes; cremas exfoliantes; cremas exfoliantes para uso cosmético; cremas faciales; cremas limpiadoras; cremas limpiadoras no medicadas para uso personal; cremas limpiadoras para la piel; cremas limpiadoras para uso cosmético; cremas líquidas y sólidas para la piel; cremas no medicadas para aliviar la piel; cremas no medicadas para hidratar la piel; cremas no medicadas para la piel; cremas no medicadas para suavizar la piel; cremas no medicinales para blanquear la piel; cremas no medicinales para después de afeitar; cremas no medicinales para la dermatitis del pañal; cremas no medicinales para los pies; cremas orgánicas de estiramiento facial; cremas para aclarar la piel; cremas para antes del afeitado; cremas para cutículas; cremas para después del afeitado; cremas para el cabello; cremas para el cabello de uso cosmético; cremas para el cabello para uso cosmético; cremas para el cuidado de la piel, no medicinales; cremas para el cuidado del cabello; cremas para el rostro; cremas para el rostro y el cuerpo; cremas para la cara [cosméticos]; cremas para las manos; cremas para los ojos; cremas perfumadas; cremas perfumadas para uso cosmético; cremas reafirmantes para el cuerpo; cremas y geles cosméticos para rostro, manos y cuerpo; cremas y lociones cosméticas para el cuidado de la cara y el cuerpo; cremas y lociones cosméticas para el cuidado del rostro y el cuerpo; cremas, aceites, lociones, aerosoles, lápices y bálsamos para uso cosmético; gel crema matificante; jabones en crema para el cuerpo; lociones y cremas corporales perfumadas; maquillajes de base en crema; mascarillas corporales en forma de cremas; polvos faciales en crema; productos cosméticos en forma de cremas;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champús para el cabello; cosméticos para el cabello; enjuagues de color para el cabello; enjuagues para el cabello; enjuagues para el cabello de uso cosmético;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hidratantes para el cabello; jabones líquidos para el cabello y el cuerpo; lacas para el cabello; lociones de protección para el cabello; lociones fijadoras para ondular el cabello; lociones para el cabello; lociones para fortalecer el cabello; lociones para ondular el cabello; lociones para rizar el cabello; mascarillas de belleza para el cabello; mascarillas para 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no medicinales para el cuidado del cabello; preparaciones para atildar el cabello; preparaciones para el peinado del cabello; preparaciones para el teñido de cabellos; preparaciones para la fijación del cabello; preparaciones para la limpieza del cabello; preparaciones para lavar el cabello; preparaciones para ondular el cabello; preparaciones para ondular permanentemente y amoldar el cabello; preparaciones para ondular y amoldar el cabello; preparaciones para rizar permanente el cabello; preparaciones para teñir el cabello; preparaciones para teñir y decolorar el cabello; preparaciónes nutritiva para el cabello; productos de enjuague para el cabello; productos de textura para el cabello; productos decolorantes para el cabello; productos y preparaciones para el cuidado del cabello; revitalizantes para el cabello; suavizantes para el cabello de uso cosmético; tintes para el cabello; tintes y decolorantes para el cabello; tinturas para el cabello; tinturas para el cabello [tintes]; tonificantes para el cabello para uso cosmético; tratamientos de alisado para el cabello; tratamientos de permanente del cabello; preparaciones blanqueadoras [decolorantes] para uso doméstico; agentes y preparaciones de limpieza; tintes para los labios [productos cosméticos]; tintes para pestañas; tintes temporales para hacer mechas; limpiador cutáneo con propiedades suavizantes [cosmético]; limpiadores cutáneos con propiedades suavizantes [cosméticos]; suavizantes para el cabello; hidratantes; hidratantes cosméticas para la cara; hidratantes faciales; hidratantes para la piel; lociones hidratantes [cosméticos]; lociones hidratantes para el cuerpo; lociones hidratantes para el cuerpo [cosméticos]; sprays depilatorios; sprays para afeitar; sprays para el cuerpo; sprays perfumados y desodorizantes para tejidos; mascarillas cosméticas; mascarillas faciales; mascarillas faciales cosméticas; mascarillas faciales de belleza; mascarillas para el cuero cabelludo; mascarillas para el cuidado del cabello; mascarillas para el cutis; lociones corporales; lociones cosméticas para la cara; kits para el cuidado de las uñas que comprenden principalmente esmaltes de uñas y quitaesmaltes; antifaces de gel; cremas, lociones y geles hidratantes; detergentes en gel para lavavajillas; detergentes para lavavajillas en forma de gel; gel de baño; geles corporales y faciales [cosméticos]; geles cosméticos.
</x:t>
        </x:is>
      </x:c>
      <x:c r="L402" s="3" t="inlineStr">
        <x:is>
          <x:t>No</x:t>
        </x:is>
      </x:c>
      <x:c r="M402" s="3" t="inlineStr">
        <x:is>
          <x:t/>
        </x:is>
      </x:c>
      <x:c r="N402" s="3" t="inlineStr">
        <x:is>
          <x:t/>
        </x:is>
      </x:c>
      <x:c r="O402" s="3" t="inlineStr">
        <x:is>
          <x:t>08 nov. 2022</x:t>
        </x:is>
      </x:c>
      <x:c r="P402" s="3" t="inlineStr">
        <x:is>
          <x:t/>
        </x:is>
      </x:c>
      <x:c r="Q402" s="3" t="inlineStr">
        <x:is>
          <x:t/>
        </x:is>
      </x:c>
    </x:row>
    <x:row r="403">
      <x:c r="A403" s="10" t="inlineStr">
        <x:f xml:space="preserve">HYPERLINK("http://sipi.sic.gov.co/sipi/View.ashx?4313453","SD2022/0083187")</x:f>
      </x:c>
      <x:c r="B403" s="3" t="inlineStr">
        <x:is>
          <x:t>KAYENA BY KAMILA PIMIENTA</x:t>
        </x:is>
      </x:c>
      <x:c r="C403" s="9" t="inlineStr">
        <x:is>
          <x:t/>
        </x:is>
      </x:c>
      <x:c r="D403" s="3" t="inlineStr">
        <x:is>
          <x:t>16 ago. 2022</x:t>
        </x:is>
      </x:c>
      <x:c r="E403" s="3" t="inlineStr">
        <x:is>
          <x:t/>
        </x:is>
      </x:c>
      <x:c r="F403" s="3" t="inlineStr">
        <x:is>
          <x:t>Negada</x:t>
        </x:is>
      </x:c>
      <x:c r="G403" s="3" t="inlineStr">
        <x:is>
          <x:t/>
        </x:is>
      </x:c>
      <x:c r="H403" s="3" t="inlineStr">
        <x:is>
          <x:t>KAMILA ANDREA PIMIENTA PEÑALOZA, TRANSVERSAL 43C #102- 153 SORRENTO, BARRANQUILLA, ATLÁNTICO, CO</x:t>
        </x:is>
      </x:c>
      <x:c r="I403" s="3" t="inlineStr">
        <x:is>
          <x:t>3</x:t>
        </x:is>
      </x:c>
      <x:c r="J403" s="3" t="inlineStr">
        <x:is>
          <x:t>11</x:t>
        </x:is>
      </x:c>
      <x:c r="K403" s="3" t="inlineStr">
        <x:is>
          <x:t>3. Bálsamos capilares no medicinales; champús capilares; cremas capilares; mascarillas para el cuidado capilar; preparaciones capilares a base de aceite de coco virgen ecológico y de aceite de coco virgen; preparaciones capilares no medicamentosas; preparaciones cosméticas no medicamentosas para tratamientos capilares; preparaciones para tratamientos capilares; productos de perfumería, aceites esenciales, cosméticos no medicinales, lociones capilares no medicinales.
</x:t>
        </x:is>
      </x:c>
      <x:c r="L403" s="3" t="inlineStr">
        <x:is>
          <x:t>Sí</x:t>
        </x:is>
      </x:c>
      <x:c r="M403" s="3" t="inlineStr">
        <x:is>
          <x:t/>
        </x:is>
      </x:c>
      <x:c r="N403" s="3" t="inlineStr">
        <x:is>
          <x:t/>
        </x:is>
      </x:c>
      <x:c r="O403" s="3" t="inlineStr">
        <x:is>
          <x:t>18 nov. 2022</x:t>
        </x:is>
      </x:c>
      <x:c r="P403" s="3" t="inlineStr">
        <x:is>
          <x:t/>
        </x:is>
      </x:c>
      <x:c r="Q403" s="3" t="inlineStr">
        <x:is>
          <x:t/>
        </x:is>
      </x:c>
    </x:row>
    <x:row r="404">
      <x:c r="A404" s="10" t="inlineStr">
        <x:f xml:space="preserve">HYPERLINK("http://sipi.sic.gov.co/sipi/View.ashx?4313757","SD2022/0083234")</x:f>
      </x:c>
      <x:c r="B404" s="3" t="inlineStr">
        <x:is>
          <x:t>TYQUY BEAUTY</x:t>
        </x:is>
      </x:c>
      <x:c r="C404" s="9" t="inlineStr">
        <x:is>
          <x:t/>
        </x:is>
      </x:c>
      <x:c r="D404" s="3" t="inlineStr">
        <x:is>
          <x:t>16 ago. 2022</x:t>
        </x:is>
      </x:c>
      <x:c r="E404" s="3" t="inlineStr">
        <x:is>
          <x:t/>
        </x:is>
      </x:c>
      <x:c r="F404" s="3" t="inlineStr">
        <x:is>
          <x:t>Negada</x:t>
        </x:is>
      </x:c>
      <x:c r="G404" s="3" t="inlineStr">
        <x:is>
          <x:t/>
        </x:is>
      </x:c>
      <x:c r="H404" s="3" t="inlineStr">
        <x:is>
          <x:t>David Santiago Macias Rodriguez, Calle 63C #68G - 07, BOGOTÁ, D.C. 111061, CO</x:t>
        </x:is>
      </x:c>
      <x:c r="I404" s="3" t="inlineStr">
        <x:is>
          <x:t>3</x:t>
        </x:is>
      </x:c>
      <x:c r="J404" s="3" t="inlineStr">
        <x:is>
          <x:t>11</x:t>
        </x:is>
      </x:c>
      <x:c r="K404" s="3" t="inlineStr">
        <x:is>
          <x:t>3. Cosméticos naturales; productos cosméticos y de tocador; productos de perfumería, aceites esenciales, cosméticos, lociones capilares.
</x:t>
        </x:is>
      </x:c>
      <x:c r="L404" s="3" t="inlineStr">
        <x:is>
          <x:t>No</x:t>
        </x:is>
      </x:c>
      <x:c r="M404" s="3" t="inlineStr">
        <x:is>
          <x:t/>
        </x:is>
      </x:c>
      <x:c r="N404" s="3" t="inlineStr">
        <x:is>
          <x:t/>
        </x:is>
      </x:c>
      <x:c r="O404" s="3" t="inlineStr">
        <x:is>
          <x:t>31 oct. 2022</x:t>
        </x:is>
      </x:c>
      <x:c r="P404" s="3" t="inlineStr">
        <x:is>
          <x:t/>
        </x:is>
      </x:c>
      <x:c r="Q404" s="3" t="inlineStr">
        <x:is>
          <x:t/>
        </x:is>
      </x:c>
    </x:row>
    <x:row r="405">
      <x:c r="A405" s="10" t="inlineStr">
        <x:f xml:space="preserve">HYPERLINK("http://sipi.sic.gov.co/sipi/View.ashx?4315728","SD2022/0083746")</x:f>
      </x:c>
      <x:c r="B405" s="3" t="inlineStr">
        <x:is>
          <x:t>LAMEILA</x:t>
        </x:is>
      </x:c>
      <x:c r="C405" s="3" t="inlineStr">
        <x:is>
          <x:t/>
        </x:is>
      </x:c>
      <x:c r="D405" s="3" t="inlineStr">
        <x:is>
          <x:t>17 ago. 2022</x:t>
        </x:is>
      </x:c>
      <x:c r="E405" s="3" t="inlineStr">
        <x:is>
          <x:t/>
        </x:is>
      </x:c>
      <x:c r="F405" s="3" t="inlineStr">
        <x:is>
          <x:t>Negada</x:t>
        </x:is>
      </x:c>
      <x:c r="G405" s="3" t="inlineStr">
        <x:is>
          <x:t>Proceso de Registro de Marca LAMEILA</x:t>
        </x:is>
      </x:c>
      <x:c r="H405" s="3" t="inlineStr">
        <x:is>
          <x:t>DUVAN ALEXANDER GIRALDO GÓMEZ, CARRERA 53 # 45-50 PISO 11. BODEGA 1109, MEDELLIN, ANTIOQUIA, CO</x:t>
        </x:is>
      </x:c>
      <x:c r="I405" s="3" t="inlineStr">
        <x:is>
          <x:t>3</x:t>
        </x:is>
      </x:c>
      <x:c r="J405" s="3" t="inlineStr">
        <x:is>
          <x:t>11</x:t>
        </x:is>
      </x:c>
      <x:c r="K405" s="3" t="inlineStr">
        <x:is>
          <x:t>3. Cosméticos; preparaciones cosméticas; maquillaje; maquillaje [cosméticos]; bases de maquillaje; bases de maquillaje cremosas; bases de maquillaje en crema; bases de maquillaje líquidas; bases de maquillaje para la piel; cola de maquillaje para uso cosmético; kits de maquillaje; kits de maquillaje que consisten principalmente en bases de maquillaje, rímeles, coloretes, brillos de labios y lápices de labios [sin incluir pinceles ni esponjas]; lápices de maquillaje; maquillaje para el cuerpo; maquillaje para el rostro; maquillaje para el rostro y el cuerpo; maquillaje para la cara; maquillaje para la piel; maquillajes de base; maquillajes de base en crema; maquillajes de ojos; maquillajes faciales; polvos de maquillaje; preparaciones de maquillaje para el rostro y el cuerpo; productos cosméticos y de maquillaje; barras de labios con protección solar [cosméticos]; barras de labios en stick con protección solar [cosméticos]; bases neutralizantes para labios; brillos de labios; colorantes para los labios [productos cosméticos]; cosméticos para los labios; cremas para los labios; cremas para los labios de uso cosmético; estuches para lápices de labios; estuches para pintalabios; exfoliantes para labios; lápices de labios [pintalabios]; neutralizadores de color para labios; perfiladores de labios; pintalabios; pomadas para los labios; preparaciones no medicinales para el cuidado de los labios; preparaciones para el cuidado de los labios; protectores solares para los labios; protectores solares para los labios [productos cosméticos]; tintes de labios [cosméticos]; cremas para los ojos; cremas para los ojos de uso cosmético; geles para los ojos; geles para los ojos de uso cosmético; lociones para los ojos; lociones para los ojos de uso cosmético; lápices de ojos; lápices de ojos para uso cosmético; lápices perfiladores de ojos; máscaras calentadoras en gel para los ojos; máscaras refrigerantes en gel para los ojos; máscaras refrigerantes para los ojos; perfiladores de ojos; sombras de ojos; sombras de ojos en polvo o en lápiz; adhesivos para fijar uñas y pestañas postizas; adhesivos para pestañas postizas; adhesivos para pestañas, cabello y uñas postizos; cosméticos para pestañas; máscara de pestañas; pestañas artificiales magnéticas; pestañas postizas; pestañas postizas magnéticas; preparaciones cosméticas para pestañas; tintes de pestañas; preparaciones cosméticas; rubores para las mejillas; sombras de párpados; cosméticos para las cejas; geles para el peinado de las cejas; geles para el teñido de las cejas; lápices de cejas.
</x:t>
        </x:is>
      </x:c>
      <x:c r="L405" s="3" t="inlineStr">
        <x:is>
          <x:t>No</x:t>
        </x:is>
      </x:c>
      <x:c r="M405" s="3" t="inlineStr">
        <x:is>
          <x:t>RODRIGO  VANEGAS GAVIRIA, CALLE 52 # 47-28 OF.329, MEDELLIN, ANTIOQUIA 050001, CO</x:t>
        </x:is>
      </x:c>
      <x:c r="N405" s="3" t="inlineStr">
        <x:is>
          <x:t/>
        </x:is>
      </x:c>
      <x:c r="O405" s="3" t="inlineStr">
        <x:is>
          <x:t>11 oct. 2022</x:t>
        </x:is>
      </x:c>
      <x:c r="P405" s="3" t="inlineStr">
        <x:is>
          <x:t/>
        </x:is>
      </x:c>
      <x:c r="Q405" s="3" t="inlineStr">
        <x:is>
          <x:t/>
        </x:is>
      </x:c>
    </x:row>
    <x:row r="406">
      <x:c r="A406" s="10" t="inlineStr">
        <x:f xml:space="preserve">HYPERLINK("http://sipi.sic.gov.co/sipi/View.ashx?4317085","SD2022/0084232")</x:f>
      </x:c>
      <x:c r="B406" s="3" t="inlineStr">
        <x:is>
          <x:t>TWG</x:t>
        </x:is>
      </x:c>
      <x:c r="C406" s="3" t="inlineStr">
        <x:is>
          <x:t/>
        </x:is>
      </x:c>
      <x:c r="D406" s="3" t="inlineStr">
        <x:is>
          <x:t>18 ago. 2022</x:t>
        </x:is>
      </x:c>
      <x:c r="E406" s="3" t="inlineStr">
        <x:is>
          <x:t/>
        </x:is>
      </x:c>
      <x:c r="F406" s="3" t="inlineStr">
        <x:is>
          <x:t>Negada</x:t>
        </x:is>
      </x:c>
      <x:c r="G406" s="3" t="inlineStr">
        <x:is>
          <x:t>Proceso de Registro de Marca TWG</x:t>
        </x:is>
      </x:c>
      <x:c r="H406" s="3" t="inlineStr">
        <x:is>
          <x:t>DUVAN ALEXANDER GIRALDO GÓMEZ, CARRERA 53 # 45-50 PISO 11. BODEGA 1109, MEDELLIN, ANTIOQUIA, CO</x:t>
        </x:is>
      </x:c>
      <x:c r="I406" s="3" t="inlineStr">
        <x:is>
          <x:t>3</x:t>
        </x:is>
      </x:c>
      <x:c r="J406" s="3" t="inlineStr">
        <x:is>
          <x:t>11</x:t>
        </x:is>
      </x:c>
      <x:c r="K406" s="3" t="inlineStr">
        <x:is>
          <x:t>3. Cosméticos; preparaciones cosméticas; maquillaje; maquillaje [cosméticos]; bases de maquillaje; bases de maquillaje cremosas; bases de maquillaje en crema; bases de maquillaje líquidas; bases de maquillaje para la piel; cola de maquillaje para uso cosmético; kits de maquillaje; kits de maquillaje que consisten principalmente en bases de maquillaje, rímeles, coloretes, brillos de labios y lápices de labios [sin incluir pinceles ni esponjas]; lápices de maquillaje; maquillaje para el cuerpo; maquillaje para el rostro; maquillaje para el rostro y el cuerpo; maquillaje para la cara; maquillaje para la piel; maquillajes de base; maquillajes de base en crema; maquillajes de ojos; maquillajes faciales; polvos de maquillaje; preparaciones de maquillaje para el rostro y el cuerpo; productos cosméticos y de maquillaje; barras de labios con protección solar [cosméticos]; barras de labios en stick con protección solar [cosméticos]; bases neutralizantes para labios; brillos de labios; colorantes para los labios [productos cosméticos]; cosméticos para los labios; cremas para los labios; cremas para los labios de uso cosmético; estuches para lápices de labios; estuches para pintalabios; exfoliantes para labios; lápices de labios [pintalabios]; neutralizadores de color para labios; perfiladores de labios; pintalabios; pomadas para los labios; preparaciones no medicinales para el cuidado de los labios; preparaciones para el cuidado de los labios; protectores solares para los labios; protectores solares para los labios [productos cosméticos]; tintes de labios [cosméticos]; cremas para los ojos; cremas para los ojos de uso cosmético; geles para los ojos; geles para los ojos de uso cosmético; lociones para los ojos; lociones para los ojos de uso cosmético; lápices de ojos; lápices de ojos para uso cosmético; lápices perfiladores de ojos; máscaras calentadoras en gel para los ojos; máscaras refrigerantes en gel para los ojos; máscaras refrigerantes para los ojos; perfiladores de ojos; sombras de ojos; sombras de ojos en polvo o en lápiz; adhesivos para fijar uñas y pestañas postizas; adhesivos para pestañas postizas; adhesivos para pestañas, cabello y uñas postizos; cosméticos para pestañas; máscara de pestañas; pestañas artificiales magnéticas; pestañas postizas; pestañas postizas magnéticas; preparaciones cosméticas para pestañas; tintes de pestañas; preparaciones cosméticas; rubores para las mejillas; sombras de párpados; cosméticos para las cejas; geles para el peinado de las cejas; geles para el teñido de las cejas; lápices de cejas.
</x:t>
        </x:is>
      </x:c>
      <x:c r="L406" s="3" t="inlineStr">
        <x:is>
          <x:t>No</x:t>
        </x:is>
      </x:c>
      <x:c r="M406" s="3" t="inlineStr">
        <x:is>
          <x:t>RODRIGO  VANEGAS GAVIRIA, CALLE 52 # 47-28 OF.329, MEDELLIN, ANTIOQUIA 050001, CO</x:t>
        </x:is>
      </x:c>
      <x:c r="N406" s="3" t="inlineStr">
        <x:is>
          <x:t/>
        </x:is>
      </x:c>
      <x:c r="O406" s="3" t="inlineStr">
        <x:is>
          <x:t>30 sept. 2022</x:t>
        </x:is>
      </x:c>
      <x:c r="P406" s="3" t="inlineStr">
        <x:is>
          <x:t/>
        </x:is>
      </x:c>
      <x:c r="Q406" s="3" t="inlineStr">
        <x:is>
          <x:t/>
        </x:is>
      </x:c>
    </x:row>
    <x:row r="407">
      <x:c r="A407" s="10" t="inlineStr">
        <x:f xml:space="preserve">HYPERLINK("http://sipi.sic.gov.co/sipi/View.ashx?4318301","SD2022/0084964")</x:f>
      </x:c>
      <x:c r="B407" s="3" t="inlineStr">
        <x:is>
          <x:t>VEAUTY CARE</x:t>
        </x:is>
      </x:c>
      <x:c r="C407" s="3" t="inlineStr">
        <x:is>
          <x:t/>
        </x:is>
      </x:c>
      <x:c r="D407" s="3" t="inlineStr">
        <x:is>
          <x:t>19 ago. 2022</x:t>
        </x:is>
      </x:c>
      <x:c r="E407" s="3" t="inlineStr">
        <x:is>
          <x:t/>
        </x:is>
      </x:c>
      <x:c r="F407" s="3" t="inlineStr">
        <x:is>
          <x:t>Negada</x:t>
        </x:is>
      </x:c>
      <x:c r="G407" s="3" t="inlineStr">
        <x:is>
          <x:t>VEAUTY CARE</x:t>
        </x:is>
      </x:c>
      <x:c r="H407" s="3" t="inlineStr">
        <x:is>
          <x:t> SUPERTIENDAS CAÑAVERAL S.A.S., CALLE 18A 56 65 LOCAL 10, CALI, VALLE DEL CAUCA, CO</x:t>
        </x:is>
      </x:c>
      <x:c r="I407" s="3" t="inlineStr">
        <x:is>
          <x:t>3, 5</x:t>
        </x:is>
      </x:c>
      <x:c r="J407" s="3" t="inlineStr">
        <x:is>
          <x:t>11</x:t>
        </x:is>
      </x:c>
      <x:c r="K407" s="3" t="inlineStr">
        <x:is>
          <x:t>3. Gel de baño; gel de lavanda; jabones cosméticos; jabones de baño; jabones de baño en forma líquida, sólida o de gel; jabones de ducha; jabones de tocador; jabones en forma líquida; jabones faciales; jabones líquidos; jabones líquidos para el baño; jabones líquidos para el cabello y el cuerpo; jabones líquidos para las manos y el rostro; jabones líquidos para las manos, el rostro y el cuerpo; jabones no medicados para el cuerpo; jabones no medicados para las manos; jabones para la ducha; jabones para las manos; jabones para uso personal; jabones*; jabón de baño; jabón en polvo; jabón líquido para el cuerpo; pastillas de jabón; pastillas de jabón para el cuerpo; champús*; acondicionadores de cabello; acondicionadores labiales; acondicionadores para la piel; champús acondicionadores; champús en seco*; jabón en seco; jabones en crema; jabones en crema para el cuerpo; gel para baño y ducha; geles de baño y de ducha; geles de ducha; geles para la ducha; geles, cremas y aceites de ducha; líquidos para lavarse las manos no medicinales a base de jabón; jabones para la piel.
5. Jabones antibacterianos; jabones antibacterianos para la piel; lociones antibacterianas para las manos; productos antibacterianos para lavar las manos; toallitas antibacterianas; toallitas impregnadas de preparaciones antibacterianas; geles antibacterianos; geles desinfectantes antibacterianos a base de alcohol para la piel.
</x:t>
        </x:is>
      </x:c>
      <x:c r="L407" s="3" t="inlineStr">
        <x:is>
          <x:t>No</x:t>
        </x:is>
      </x:c>
      <x:c r="M407" s="3" t="inlineStr">
        <x:is>
          <x:t>RUBIELA ARIAS DE FAJARDO, CARRERA 7 # 32 - 33. OFICINA 1501. EDIFICIO FENIX. TELESENTINEL, BOGOTÁ, D.C., CO</x:t>
        </x:is>
      </x:c>
      <x:c r="N407" s="3" t="inlineStr">
        <x:is>
          <x:t/>
        </x:is>
      </x:c>
      <x:c r="O407" s="3" t="inlineStr">
        <x:is>
          <x:t>30 ago. 2022</x:t>
        </x:is>
      </x:c>
      <x:c r="P407" s="3" t="inlineStr">
        <x:is>
          <x:t/>
        </x:is>
      </x:c>
      <x:c r="Q407" s="3" t="inlineStr">
        <x:is>
          <x:t/>
        </x:is>
      </x:c>
    </x:row>
    <x:row r="408">
      <x:c r="A408" s="10" t="inlineStr">
        <x:f xml:space="preserve">HYPERLINK("http://sipi.sic.gov.co/sipi/View.ashx?4318337","SD2022/0085274")</x:f>
      </x:c>
      <x:c r="B408" s="3" t="inlineStr">
        <x:is>
          <x:t>VEAUTY SENSE</x:t>
        </x:is>
      </x:c>
      <x:c r="C408" s="3" t="inlineStr">
        <x:is>
          <x:t/>
        </x:is>
      </x:c>
      <x:c r="D408" s="3" t="inlineStr">
        <x:is>
          <x:t>21 ago. 2022</x:t>
        </x:is>
      </x:c>
      <x:c r="E408" s="3" t="inlineStr">
        <x:is>
          <x:t/>
        </x:is>
      </x:c>
      <x:c r="F408" s="3" t="inlineStr">
        <x:is>
          <x:t>Negada</x:t>
        </x:is>
      </x:c>
      <x:c r="G408" s="3" t="inlineStr">
        <x:is>
          <x:t>VEAUTY SENSE </x:t>
        </x:is>
      </x:c>
      <x:c r="H408" s="3" t="inlineStr">
        <x:is>
          <x:t> SUPERTIENDAS CAÑAVERAL S.A.S., CALLE 18A 56 65 LOCAL 10, CALI, VALLE DEL CAUCA, CO</x:t>
        </x:is>
      </x:c>
      <x:c r="I408" s="3" t="inlineStr">
        <x:is>
          <x:t>3, 5</x:t>
        </x:is>
      </x:c>
      <x:c r="J408" s="3" t="inlineStr">
        <x:is>
          <x:t>11</x:t>
        </x:is>
      </x:c>
      <x:c r="K408" s="3" t="inlineStr">
        <x:is>
          <x:t>3. Gel de baño; gel de lavanda; jabones antitranspirantes; jabones corporales no medicados; jabones cosméticos; jabones de baño; jabones de baño en forma líquida, sólida o de gel; jabones de ducha; jabones de tocador; jabones de tocador no medicinales; jabones desodorantes; jabones en forma líquida; jabones faciales; jabones líquidos; jabones líquidos no medicinales; jabones líquidos para el baño; jabones líquidos para las manos, el rostro y el cuerpo; jabones no medicados para el cuerpo; jabones no medicados para las manos; jabones no medicinales; jabones para el cuerpo; jabones para el cuidado del cuerpo; jabones para la ducha; jabones para la piel; jabones para las manos; jabones para uso personal; jabones perfumados; jabones*; pastillas de jabón; pastillas de jabón para el cuerpo; geles cosméticos; geles de baño; geles de baño no medicinales; geles de baño y de ducha; geles de ducha; geles de ducha y de baño; geles de lavanda; geles para el baño [no medicinales]; geles para el cuerpo [cosméticos]; geles para el cuerpo y la cara [cosméticos]; geles para la ducha; geles para uso cosmético; jabones líquidos para las manos y el rostro; líquidos para lavarse las manos no medicinales a base de jabón; champús en seco*; jabón en seco; champús en barritas sólidas; acondicionadores para la piel; acondicionadores para uso en el cabello; champús acondicionadores; champús y acondicionadores; productos cosméticos de baño y ducha; productos cosméticos para el baño y la ducha; productos cosméticos para el cuidado de la piel.
5. Geles antibacterianos; geles desinfectantes antibacterianos a base de alcohol para la piel; aerosoles antibacterianos; espráis antibacterianos; jabones antibacterianos; jabones antibacterianos para la piel; limpiadores faciales antibacterianos medicinales; productos antibacterianos para lavar las manos; jabones desinfectantes; toallitas desinfectantes; lociones antibacterianas para las manos; toallitas antibacterianas; toallitas impregnadas de lociones antibacterianas; toallitas impregnadas de preparaciones antibacterianas.
</x:t>
        </x:is>
      </x:c>
      <x:c r="L408" s="3" t="inlineStr">
        <x:is>
          <x:t>No</x:t>
        </x:is>
      </x:c>
      <x:c r="M408" s="3" t="inlineStr">
        <x:is>
          <x:t>RUBIELA ARIAS DE FAJARDO, CARRERA 7 # 32 - 33. OFICINA 1501. EDIFICIO FENIX. TELESENTINEL, BOGOTÁ, D.C., CO</x:t>
        </x:is>
      </x:c>
      <x:c r="N408" s="3" t="inlineStr">
        <x:is>
          <x:t/>
        </x:is>
      </x:c>
      <x:c r="O408" s="3" t="inlineStr">
        <x:is>
          <x:t>30 ago. 2022</x:t>
        </x:is>
      </x:c>
      <x:c r="P408" s="3" t="inlineStr">
        <x:is>
          <x:t/>
        </x:is>
      </x:c>
      <x:c r="Q408" s="3" t="inlineStr">
        <x:is>
          <x:t/>
        </x:is>
      </x:c>
    </x:row>
    <x:row r="409">
      <x:c r="A409" s="10" t="inlineStr">
        <x:f xml:space="preserve">HYPERLINK("http://sipi.sic.gov.co/sipi/View.ashx?4318912","SD2022/0084729")</x:f>
      </x:c>
      <x:c r="B409" s="3" t="inlineStr">
        <x:is>
          <x:t>ALTEZA ÍNTIMA</x:t>
        </x:is>
      </x:c>
      <x:c r="C409" s="9" t="inlineStr">
        <x:is>
          <x:t/>
        </x:is>
      </x:c>
      <x:c r="D409" s="3" t="inlineStr">
        <x:is>
          <x:t>19 ago. 2022</x:t>
        </x:is>
      </x:c>
      <x:c r="E409" s="3" t="inlineStr">
        <x:is>
          <x:t/>
        </x:is>
      </x:c>
      <x:c r="F409" s="3" t="inlineStr">
        <x:is>
          <x:t>Negada</x:t>
        </x:is>
      </x:c>
      <x:c r="G409" s="3" t="inlineStr">
        <x:is>
          <x:t>S - SD - ALTEZA INTIMA</x:t>
        </x:is>
      </x:c>
      <x:c r="H409" s="3" t="inlineStr">
        <x:is>
          <x:t>JUAN PABLO PATIÑO FONNEGRA, Carrera 3 # 15 - 26, IBAGUE, TOLIMA, CO</x:t>
        </x:is>
      </x:c>
      <x:c r="I409" s="3" t="inlineStr">
        <x:is>
          <x:t>3, 25</x:t>
        </x:is>
      </x:c>
      <x:c r="J409" s="3" t="inlineStr">
        <x:is>
          <x:t>11</x:t>
        </x:is>
      </x:c>
      <x:c r="K409" s="3" t="inlineStr">
        <x:is>
          <x:t>3. Cosméticos, jabones no medicinales; productos de perfumería, aceites esenciales, lociones capilares no medicinales.
25. Prendas de vestir, calzado, artículos de sombrerería, ropa interior.
</x:t>
        </x:is>
      </x:c>
      <x:c r="L409" s="3" t="inlineStr">
        <x:is>
          <x:t>Sí</x:t>
        </x:is>
      </x:c>
      <x:c r="M409" s="3" t="inlineStr">
        <x:is>
          <x:t>WILLIAM ORLANDO  QUIROGA, Carrera 13 No. 32-93. Torre 3, Oficina 708. Parque Central Baviera., BOGOTA, CUNDINAMARCA, CO</x:t>
        </x:is>
      </x:c>
      <x:c r="N409" s="3" t="inlineStr">
        <x:is>
          <x:t/>
        </x:is>
      </x:c>
      <x:c r="O409" s="3" t="inlineStr">
        <x:is>
          <x:t>11 oct. 2022</x:t>
        </x:is>
      </x:c>
      <x:c r="P409" s="3" t="inlineStr">
        <x:is>
          <x:t/>
        </x:is>
      </x:c>
      <x:c r="Q409" s="3" t="inlineStr">
        <x:is>
          <x:t/>
        </x:is>
      </x:c>
    </x:row>
    <x:row r="410">
      <x:c r="A410" s="10" t="inlineStr">
        <x:f xml:space="preserve">HYPERLINK("http://sipi.sic.gov.co/sipi/View.ashx?4319312","SD2022/0084815")</x:f>
      </x:c>
      <x:c r="B410" s="3" t="inlineStr">
        <x:is>
          <x:t>VIBRA BY CAMILA LÓPEZ</x:t>
        </x:is>
      </x:c>
      <x:c r="C410" s="9" t="inlineStr">
        <x:is>
          <x:t/>
        </x:is>
      </x:c>
      <x:c r="D410" s="3" t="inlineStr">
        <x:is>
          <x:t>19 ago. 2022</x:t>
        </x:is>
      </x:c>
      <x:c r="E410" s="3" t="inlineStr">
        <x:is>
          <x:t/>
        </x:is>
      </x:c>
      <x:c r="F410" s="3" t="inlineStr">
        <x:is>
          <x:t>Negada</x:t>
        </x:is>
      </x:c>
      <x:c r="G410" s="3" t="inlineStr">
        <x:is>
          <x:t>SD - VIBRA BY CAMILA</x:t>
        </x:is>
      </x:c>
      <x:c r="H410" s="3" t="inlineStr">
        <x:is>
          <x:t>Camila López Rentería, Casa 19 Km 1 Vía Armenia, PEREIRA, RISARALDA, CO</x:t>
        </x:is>
      </x:c>
      <x:c r="I410" s="3" t="inlineStr">
        <x:is>
          <x:t>3</x:t>
        </x:is>
      </x:c>
      <x:c r="J410" s="3" t="inlineStr">
        <x:is>
          <x:t>11</x:t>
        </x:is>
      </x:c>
      <x:c r="K410" s="3" t="inlineStr">
        <x:is>
          <x:t>3. Productos cosméticos y preparaciones de tocador no medicinales; dentífricos no medicinales; productos de perfumería, aceites esenciales; preparaciones para blanquear y otras sustancias para lavar la ropa; preparaciones para limpiar, pulir, desengrasar y raspar.
</x:t>
        </x:is>
      </x:c>
      <x:c r="L410" s="3" t="inlineStr">
        <x:is>
          <x:t>No</x:t>
        </x:is>
      </x:c>
      <x:c r="M410" s="3" t="inlineStr">
        <x:is>
          <x:t>WILLIAM ORLANDO  QUIROGA, Carrera 13 No. 32-93. Torre 3, Oficina 708. Parque Central Baviera., BOGOTA, CUNDINAMARCA, CO</x:t>
        </x:is>
      </x:c>
      <x:c r="N410" s="3" t="inlineStr">
        <x:is>
          <x:t/>
        </x:is>
      </x:c>
      <x:c r="O410" s="3" t="inlineStr">
        <x:is>
          <x:t>11 oct. 2022</x:t>
        </x:is>
      </x:c>
      <x:c r="P410" s="3" t="inlineStr">
        <x:is>
          <x:t/>
        </x:is>
      </x:c>
      <x:c r="Q410" s="3" t="inlineStr">
        <x:is>
          <x:t/>
        </x:is>
      </x:c>
    </x:row>
    <x:row r="411">
      <x:c r="A411" s="10" t="inlineStr">
        <x:f xml:space="preserve">HYPERLINK("http://sipi.sic.gov.co/sipi/View.ashx?4320342","SD2022/0085087")</x:f>
      </x:c>
      <x:c r="B411" s="3" t="inlineStr">
        <x:is>
          <x:t>SOFIA BEAUTY</x:t>
        </x:is>
      </x:c>
      <x:c r="C411" s="9" t="inlineStr">
        <x:is>
          <x:t/>
        </x:is>
      </x:c>
      <x:c r="D411" s="3" t="inlineStr">
        <x:is>
          <x:t>19 ago. 2022</x:t>
        </x:is>
      </x:c>
      <x:c r="E411" s="3" t="inlineStr">
        <x:is>
          <x:t/>
        </x:is>
      </x:c>
      <x:c r="F411" s="3" t="inlineStr">
        <x:is>
          <x:t>Negada</x:t>
        </x:is>
      </x:c>
      <x:c r="G411" s="3" t="inlineStr">
        <x:is>
          <x:t>SOFIA BEAUTY</x:t>
        </x:is>
      </x:c>
      <x:c r="H411" s="3" t="inlineStr">
        <x:is>
          <x:t>CLAYDERMAN JAIMSON GIRALDO BARCO, DIAG 55 A N0 55 31 , MEDELLIN,, ANTIOQUIA 05001, CO</x:t>
        </x:is>
      </x:c>
      <x:c r="I411" s="3" t="inlineStr">
        <x:is>
          <x:t>3</x:t>
        </x:is>
      </x:c>
      <x:c r="J411" s="3" t="inlineStr">
        <x:is>
          <x:t>11</x:t>
        </x:is>
      </x:c>
      <x:c r="K411"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11" s="3" t="inlineStr">
        <x:is>
          <x:t>No</x:t>
        </x:is>
      </x:c>
      <x:c r="M411" s="3" t="inlineStr">
        <x:is>
          <x:t/>
        </x:is>
      </x:c>
      <x:c r="N411" s="3" t="inlineStr">
        <x:is>
          <x:t/>
        </x:is>
      </x:c>
      <x:c r="O411" s="3" t="inlineStr">
        <x:is>
          <x:t>16 feb. 2023</x:t>
        </x:is>
      </x:c>
      <x:c r="P411" s="3" t="inlineStr">
        <x:is>
          <x:t/>
        </x:is>
      </x:c>
      <x:c r="Q411" s="3" t="inlineStr">
        <x:is>
          <x:t/>
        </x:is>
      </x:c>
    </x:row>
    <x:row r="412">
      <x:c r="A412" s="10" t="inlineStr">
        <x:f xml:space="preserve">HYPERLINK("http://sipi.sic.gov.co/sipi/View.ashx?4320650","SD2022/0085160")</x:f>
      </x:c>
      <x:c r="B412" s="3" t="inlineStr">
        <x:is>
          <x:t>KAIA BY VALESKA HALABY</x:t>
        </x:is>
      </x:c>
      <x:c r="C412" s="9" t="inlineStr">
        <x:is>
          <x:t/>
        </x:is>
      </x:c>
      <x:c r="D412" s="3" t="inlineStr">
        <x:is>
          <x:t>19 ago. 2022</x:t>
        </x:is>
      </x:c>
      <x:c r="E412" s="3" t="inlineStr">
        <x:is>
          <x:t/>
        </x:is>
      </x:c>
      <x:c r="F412" s="3" t="inlineStr">
        <x:is>
          <x:t>Negada</x:t>
        </x:is>
      </x:c>
      <x:c r="G412" s="3" t="inlineStr">
        <x:is>
          <x:t/>
        </x:is>
      </x:c>
      <x:c r="H412" s="3" t="inlineStr">
        <x:is>
          <x:t>DANIELA VALESKA  HALABY YEPES, CALLE 18 # 180 10 CASA 16 , CALI, VALLE DEL CAUCA, CO</x:t>
        </x:is>
      </x:c>
      <x:c r="I412" s="3" t="inlineStr">
        <x:is>
          <x:t>3</x:t>
        </x:is>
      </x:c>
      <x:c r="J412" s="3" t="inlineStr">
        <x:is>
          <x:t>11</x:t>
        </x:is>
      </x:c>
      <x:c r="K412" s="3" t="inlineStr">
        <x:is>
          <x:t>3. JABONES, PERFUMERIA, ACEITES PARA EL CUERPO, LOCIONES PARA EL CABELLO, LOCIONES COSMETICAS, COSMETICOS, CREMAS CORPORALES PARA USO COSMETICO, MAQUILLAJE, DESODORANTES, TOALLAS HUMEDAS, CREMAS FACIALES Y LOCIONES PARA USO COSMETICOS, TRATAMIENTOS CAPILARES, CHAMPUS Y ACONDICIONADORES PARA EL CABELLO, BALSAMOS CAPILARES, PREPARACIONES COSMETICAS PARA EL CUIDADO DEL CABELLO Y LA PIEL HUMANA, PRODUCTOS PARA EL CUIDADO Y BELLEZA CAPILAR, PRODUCTOS PARA EL CUIDADO Y LA BELLEZA DEL ROSTRO Y LA PIEL, AGUAS DE TOCADOR, MASCARILLAS FACIALES DE BELLEZA, MASCARILLAS FACIALES COSMETICAS, MASCARILLAS HIDRATANTES PARA LA PIEL, COSMETICOS NO MEDICINALES, ACEITES ESENCIALES. DECOLORANTES PARA EL CABELLO, PREPARACIONES PARA ALISAR EL CABELLO.
</x:t>
        </x:is>
      </x:c>
      <x:c r="L412" s="3" t="inlineStr">
        <x:is>
          <x:t>Sí</x:t>
        </x:is>
      </x:c>
      <x:c r="M412" s="3" t="inlineStr">
        <x:is>
          <x:t>JOHN JAIRO SÁNCHEZ GÓMEZ, CALLE 43 Nº 73 - 91, Int 101, MEDELLIN, ANTIOQUIA, CO</x:t>
        </x:is>
      </x:c>
      <x:c r="N412" s="3" t="inlineStr">
        <x:is>
          <x:t/>
        </x:is>
      </x:c>
      <x:c r="O412" s="3" t="inlineStr">
        <x:is>
          <x:t>18 nov. 2022</x:t>
        </x:is>
      </x:c>
      <x:c r="P412" s="3" t="inlineStr">
        <x:is>
          <x:t/>
        </x:is>
      </x:c>
      <x:c r="Q412" s="3" t="inlineStr">
        <x:is>
          <x:t/>
        </x:is>
      </x:c>
    </x:row>
    <x:row r="413">
      <x:c r="A413" s="10" t="inlineStr">
        <x:f xml:space="preserve">HYPERLINK("http://sipi.sic.gov.co/sipi/View.ashx?4321916","SD2022/0085286")</x:f>
      </x:c>
      <x:c r="B413" s="3" t="inlineStr">
        <x:is>
          <x:t>Selfie Beauty</x:t>
        </x:is>
      </x:c>
      <x:c r="C413" s="9" t="inlineStr">
        <x:is>
          <x:t/>
        </x:is>
      </x:c>
      <x:c r="D413" s="3" t="inlineStr">
        <x:is>
          <x:t>22 ago. 2022</x:t>
        </x:is>
      </x:c>
      <x:c r="E413" s="3" t="inlineStr">
        <x:is>
          <x:t/>
        </x:is>
      </x:c>
      <x:c r="F413" s="3" t="inlineStr">
        <x:is>
          <x:t>Negada</x:t>
        </x:is>
      </x:c>
      <x:c r="G413" s="3" t="inlineStr">
        <x:is>
          <x:t>Selfie Beauty</x:t>
        </x:is>
      </x:c>
      <x:c r="H413" s="3" t="inlineStr">
        <x:is>
          <x:t>Cindy Cipagauta Escandon, Carrera 28 # 3-15, BOGOTÁ, D.C., CO</x:t>
        </x:is>
      </x:c>
      <x:c r="I413" s="3" t="inlineStr">
        <x:is>
          <x:t>3, 44</x:t>
        </x:is>
      </x:c>
      <x:c r="J413" s="3" t="inlineStr">
        <x:is>
          <x:t>11</x:t>
        </x:is>
      </x:c>
      <x:c r="K41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44. Servicios médicos; servicios veterinarios; tratamientos de higiene y de belleza para personas o animales; servicios de agricultura, horticultura y silvicultura.
</x:t>
        </x:is>
      </x:c>
      <x:c r="L413" s="3" t="inlineStr">
        <x:is>
          <x:t>No</x:t>
        </x:is>
      </x:c>
      <x:c r="M413" s="3" t="inlineStr">
        <x:is>
          <x:t>david alexander carrero pinzon, calle 93A No. 11 - 07 ofi 406, BOGOTÁ, D.C., CO</x:t>
        </x:is>
      </x:c>
      <x:c r="N413" s="3" t="inlineStr">
        <x:is>
          <x:t/>
        </x:is>
      </x:c>
      <x:c r="O413" s="3" t="inlineStr">
        <x:is>
          <x:t>06 feb. 2023</x:t>
        </x:is>
      </x:c>
      <x:c r="P413" s="3" t="inlineStr">
        <x:is>
          <x:t/>
        </x:is>
      </x:c>
      <x:c r="Q413" s="3" t="inlineStr">
        <x:is>
          <x:t/>
        </x:is>
      </x:c>
    </x:row>
    <x:row r="414">
      <x:c r="A414" s="10" t="inlineStr">
        <x:f xml:space="preserve">HYPERLINK("http://sipi.sic.gov.co/sipi/View.ashx?4324355","SD2022/0085876")</x:f>
      </x:c>
      <x:c r="B414" s="3" t="inlineStr">
        <x:is>
          <x:t>el Olimpo Línea Capilar</x:t>
        </x:is>
      </x:c>
      <x:c r="C414" s="9" t="inlineStr">
        <x:is>
          <x:t/>
        </x:is>
      </x:c>
      <x:c r="D414" s="3" t="inlineStr">
        <x:is>
          <x:t>24 ago. 2022</x:t>
        </x:is>
      </x:c>
      <x:c r="E414" s="3" t="inlineStr">
        <x:is>
          <x:t/>
        </x:is>
      </x:c>
      <x:c r="F414" s="3" t="inlineStr">
        <x:is>
          <x:t>Negada</x:t>
        </x:is>
      </x:c>
      <x:c r="G414" s="3" t="inlineStr">
        <x:is>
          <x:t>El Olimpo Línea Capilar</x:t>
        </x:is>
      </x:c>
      <x:c r="H414" s="3" t="inlineStr">
        <x:is>
          <x:t>PAOLA SALAZAR SUAREZ, Calle 26 #4-80 sur las ferias, IBAGUE, TOLIMA, CO</x:t>
        </x:is>
      </x:c>
      <x:c r="I414" s="3" t="inlineStr">
        <x:is>
          <x:t>3</x:t>
        </x:is>
      </x:c>
      <x:c r="J414" s="3" t="inlineStr">
        <x:is>
          <x:t>11</x:t>
        </x:is>
      </x:c>
      <x:c r="K414" s="3" t="inlineStr">
        <x:is>
          <x:t>3. Jabones no medicinales; productos de perfumería, aceites esenciales, cosméticos no medicinales, lociones capilares no medicinales.
</x:t>
        </x:is>
      </x:c>
      <x:c r="L414" s="3" t="inlineStr">
        <x:is>
          <x:t>Sí</x:t>
        </x:is>
      </x:c>
      <x:c r="M414" s="3" t="inlineStr">
        <x:is>
          <x:t/>
        </x:is>
      </x:c>
      <x:c r="N414" s="3" t="inlineStr">
        <x:is>
          <x:t/>
        </x:is>
      </x:c>
      <x:c r="O414" s="3" t="inlineStr">
        <x:is>
          <x:t>09 sept. 2022</x:t>
        </x:is>
      </x:c>
      <x:c r="P414" s="3" t="inlineStr">
        <x:is>
          <x:t/>
        </x:is>
      </x:c>
      <x:c r="Q414" s="3" t="inlineStr">
        <x:is>
          <x:t/>
        </x:is>
      </x:c>
    </x:row>
    <x:row r="415">
      <x:c r="A415" s="10" t="inlineStr">
        <x:f xml:space="preserve">HYPERLINK("http://sipi.sic.gov.co/sipi/View.ashx?4324547","SD2022/0087252")</x:f>
      </x:c>
      <x:c r="B415" s="3" t="inlineStr">
        <x:is>
          <x:t>Easy Rituals</x:t>
        </x:is>
      </x:c>
      <x:c r="C415" s="9" t="inlineStr">
        <x:is>
          <x:t/>
        </x:is>
      </x:c>
      <x:c r="D415" s="3" t="inlineStr">
        <x:is>
          <x:t>25 ago. 2022</x:t>
        </x:is>
      </x:c>
      <x:c r="E415" s="3" t="inlineStr">
        <x:is>
          <x:t/>
        </x:is>
      </x:c>
      <x:c r="F415" s="3" t="inlineStr">
        <x:is>
          <x:t>Negada</x:t>
        </x:is>
      </x:c>
      <x:c r="G415" s="3" t="inlineStr">
        <x:is>
          <x:t>easy rituals</x:t>
        </x:is>
      </x:c>
      <x:c r="H415" s="3" t="inlineStr">
        <x:is>
          <x:t> Beauty Trend Company SAS, Carrera 61#75-91, BARRANQUILLA, ATLÁNTICO, CO</x:t>
        </x:is>
      </x:c>
      <x:c r="I415" s="3" t="inlineStr">
        <x:is>
          <x:t>3</x:t>
        </x:is>
      </x:c>
      <x:c r="J415" s="3" t="inlineStr">
        <x:is>
          <x:t>11</x:t>
        </x:is>
      </x:c>
      <x:c r="K415" s="3" t="inlineStr">
        <x:is>
          <x:t>3. Cosméticos; cosméticos de belleza; cosméticos para cuidados corporales y estéticos; cosméticos y preparaciones cosméticas; cremas, aceites, lociones, aerosoles, lápices y bálsamos para uso cosmético; cremas, leches, lociones, geles y polvos cosméticos para la cara, el cuerpo y las manos; kits de cosméticos que comprenden principalmente máscara de pestañas, lápices de labios, lápices de cejas, maquillaje, fundación de maquillaje y brillos de labios; limpiadores cosméticos para la piel; maquillaje [cosméticos].
</x:t>
        </x:is>
      </x:c>
      <x:c r="L415" s="3" t="inlineStr">
        <x:is>
          <x:t>Sí</x:t>
        </x:is>
      </x:c>
      <x:c r="M415" s="3" t="inlineStr">
        <x:is>
          <x:t>Helena Novoa, Cra 86c 53c 41 Cerezos de Calasania Apto 723, MEDELLIN, ANTIOQUIA 0500, CO</x:t>
        </x:is>
      </x:c>
      <x:c r="N415" s="3" t="inlineStr">
        <x:is>
          <x:t/>
        </x:is>
      </x:c>
      <x:c r="O415" s="3" t="inlineStr">
        <x:is>
          <x:t>30 ago. 2022</x:t>
        </x:is>
      </x:c>
      <x:c r="P415" s="3" t="inlineStr">
        <x:is>
          <x:t/>
        </x:is>
      </x:c>
      <x:c r="Q415" s="3" t="inlineStr">
        <x:is>
          <x:t/>
        </x:is>
      </x:c>
    </x:row>
    <x:row r="416">
      <x:c r="A416" s="10" t="inlineStr">
        <x:f xml:space="preserve">HYPERLINK("http://sipi.sic.gov.co/sipi/View.ashx?4325208","SD2022/0091061")</x:f>
      </x:c>
      <x:c r="B416" s="3" t="inlineStr">
        <x:is>
          <x:t>Wawita</x:t>
        </x:is>
      </x:c>
      <x:c r="C416" s="9" t="inlineStr">
        <x:is>
          <x:t/>
        </x:is>
      </x:c>
      <x:c r="D416" s="3" t="inlineStr">
        <x:is>
          <x:t>05 sept. 2022</x:t>
        </x:is>
      </x:c>
      <x:c r="E416" s="3" t="inlineStr">
        <x:is>
          <x:t/>
        </x:is>
      </x:c>
      <x:c r="F416" s="3" t="inlineStr">
        <x:is>
          <x:t>Negada</x:t>
        </x:is>
      </x:c>
      <x:c r="G416" s="3" t="inlineStr">
        <x:is>
          <x:t>wawita1</x:t>
        </x:is>
      </x:c>
      <x:c r="H416" s="3" t="inlineStr">
        <x:is>
          <x:t>ANA LORENA CAICEDO BOLAÑOS, calle 3 oeste bis 31 - 59 , PASTO, NARIÑO, CO</x:t>
        </x:is>
      </x:c>
      <x:c r="I416" s="3" t="inlineStr">
        <x:is>
          <x:t>3, 25, 28</x:t>
        </x:is>
      </x:c>
      <x:c r="J416" s="3" t="inlineStr">
        <x:is>
          <x:t>11</x:t>
        </x:is>
      </x:c>
      <x:c r="K416" s="3" t="inlineStr">
        <x:is>
          <x:t>3. Jabón de baño; cosméticos ecológicos; champúes para el cabello; champús en seco*; champús en barritas sólidas; cera para el cabello; desodorantes de alumbre; lociones para bebés; lociones para bebés [productos de tocador]; bloqueador solar [cosméticos]; jabones para el cuerpo.
25. Ropa de niña; ropa de niño.
28. Juguetes para niños.
</x:t>
        </x:is>
      </x:c>
      <x:c r="L416" s="3" t="inlineStr">
        <x:is>
          <x:t>No</x:t>
        </x:is>
      </x:c>
      <x:c r="M416" s="3" t="inlineStr">
        <x:is>
          <x:t/>
        </x:is>
      </x:c>
      <x:c r="N416" s="3" t="inlineStr">
        <x:is>
          <x:t/>
        </x:is>
      </x:c>
      <x:c r="O416" s="3" t="inlineStr">
        <x:is>
          <x:t>21 oct. 2022</x:t>
        </x:is>
      </x:c>
      <x:c r="P416" s="3" t="inlineStr">
        <x:is>
          <x:t/>
        </x:is>
      </x:c>
      <x:c r="Q416" s="3" t="inlineStr">
        <x:is>
          <x:t/>
        </x:is>
      </x:c>
    </x:row>
    <x:row r="417">
      <x:c r="A417" s="10" t="inlineStr">
        <x:f xml:space="preserve">HYPERLINK("http://sipi.sic.gov.co/sipi/View.ashx?4325265","SD2022/0087043")</x:f>
      </x:c>
      <x:c r="B417" s="3" t="inlineStr">
        <x:is>
          <x:t>BOZLIN</x:t>
        </x:is>
      </x:c>
      <x:c r="C417" s="3" t="inlineStr">
        <x:is>
          <x:t/>
        </x:is>
      </x:c>
      <x:c r="D417" s="3" t="inlineStr">
        <x:is>
          <x:t>24 ago. 2022</x:t>
        </x:is>
      </x:c>
      <x:c r="E417" s="3" t="inlineStr">
        <x:is>
          <x:t/>
        </x:is>
      </x:c>
      <x:c r="F417" s="3" t="inlineStr">
        <x:is>
          <x:t>Negada</x:t>
        </x:is>
      </x:c>
      <x:c r="G417" s="3" t="inlineStr">
        <x:is>
          <x:t>Proceso de Registro de Marca BOZLIN</x:t>
        </x:is>
      </x:c>
      <x:c r="H417" s="3" t="inlineStr">
        <x:is>
          <x:t>DUVAN ALEXANDER GIRALDO GÓMEZ, CARRERA 53 # 45-50 PISO 11. BODEGA 1109, MEDELLIN, ANTIOQUIA, CO</x:t>
        </x:is>
      </x:c>
      <x:c r="I417" s="3" t="inlineStr">
        <x:is>
          <x:t>3</x:t>
        </x:is>
      </x:c>
      <x:c r="J417" s="3" t="inlineStr">
        <x:is>
          <x:t>11</x:t>
        </x:is>
      </x:c>
      <x:c r="K417" s="3" t="inlineStr">
        <x:is>
          <x:t>3. Aclaradores de uñas; adhesivos para fijar uñas postizas; adhesivos para fijar uñas y pestañas postizas; adhesivos para pegar las uñas postizas; adhesivos para pestañas, cabello y uñas postizos; adhesivos para uñas postizas; bases para esmaltes de uñas; blanqueadores para las uñas; brillantina para las uñas; brillos de uñas para aplicar sobre el esmalte; calcomanías decorativas para uñas; calcomanías para las uñas; cremas para las uñas; cremas para las uñas de uso cosmético; endurecedores de uñas; endurecedores de uñas [cosméticos]; escarcha para las uñas; esmaltes de base para las uñas [productos cosméticos]; esmaltes de uñas; fortalecedores de uñas; kits para el cuidado de las uñas que comprenden esmaltes de uñas y quitaesmaltes; kits para el cuidado de las uñas que comprenden esmaltes de uñas, quitaesmaltes y uñas postizas; lacas de uñas; lociones para fortalecer las uñas; lápices para aplicar el esmalte de uñas; preparaciones cosméticas para el cuidado de las uñas; preparaciones para el cuidado de las uñas; preparaciones para pulir las uñas; preparaciones para retirar uñas de gel; productos de revestimiento para esculpir uñas; productos para ablandar las uñas; productos para el cuidado de las uñas; puntas de uñas; purpurina para las uñas; quitaesmalte para uñas [cosméticos]; reparadores de uñas; uñas postizas; uñas postizas de metales preciosos; cosméticos; cosméticos de belleza; preparaciones cosméticas.
</x:t>
        </x:is>
      </x:c>
      <x:c r="L417" s="3" t="inlineStr">
        <x:is>
          <x:t>No</x:t>
        </x:is>
      </x:c>
      <x:c r="M417" s="3" t="inlineStr">
        <x:is>
          <x:t>RODRIGO  VANEGAS GAVIRIA, CALLE 52 # 47-28 OF.329, MEDELLIN, ANTIOQUIA 050001, CO</x:t>
        </x:is>
      </x:c>
      <x:c r="N417" s="3" t="inlineStr">
        <x:is>
          <x:t/>
        </x:is>
      </x:c>
      <x:c r="O417" s="3" t="inlineStr">
        <x:is>
          <x:t>29 nov. 2022</x:t>
        </x:is>
      </x:c>
      <x:c r="P417" s="3" t="inlineStr">
        <x:is>
          <x:t/>
        </x:is>
      </x:c>
      <x:c r="Q417" s="3" t="inlineStr">
        <x:is>
          <x:t/>
        </x:is>
      </x:c>
    </x:row>
    <x:row r="418">
      <x:c r="A418" s="10" t="inlineStr">
        <x:f xml:space="preserve">HYPERLINK("http://sipi.sic.gov.co/sipi/View.ashx?4325596","SD2022/0086252")</x:f>
      </x:c>
      <x:c r="B418" s="3" t="inlineStr">
        <x:is>
          <x:t>SKIN HELP BY FAGRON</x:t>
        </x:is>
      </x:c>
      <x:c r="C418" s="9" t="inlineStr">
        <x:is>
          <x:t/>
        </x:is>
      </x:c>
      <x:c r="D418" s="3" t="inlineStr">
        <x:is>
          <x:t>23 ago. 2022</x:t>
        </x:is>
      </x:c>
      <x:c r="E418" s="3" t="inlineStr">
        <x:is>
          <x:t/>
        </x:is>
      </x:c>
      <x:c r="F418" s="3" t="inlineStr">
        <x:is>
          <x:t>Negada</x:t>
        </x:is>
      </x:c>
      <x:c r="G418" s="3" t="inlineStr">
        <x:is>
          <x:t>SOLICITUD SKIN HELP BY FAGRON (MIXTA), Cl 3 y 5</x:t>
        </x:is>
      </x:c>
      <x:c r="H418" s="3" t="inlineStr">
        <x:is>
          <x:t> FAGRON COLOMBIA SAS, Carrera 1 # 4 - 02 Bodega 15 Parque Industrial K2, CHIA, CUNDINAMARCA, CO</x:t>
        </x:is>
      </x:c>
      <x:c r="I418" s="3" t="inlineStr">
        <x:is>
          <x:t>3, 5</x:t>
        </x:is>
      </x:c>
      <x:c r="J418" s="3" t="inlineStr">
        <x:is>
          <x:t>11</x:t>
        </x:is>
      </x:c>
      <x:c r="K41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418" s="3" t="inlineStr">
        <x:is>
          <x:t>No</x:t>
        </x:is>
      </x:c>
      <x:c r="M418" s="3" t="inlineStr">
        <x:is>
          <x:t>MARIA PATRICIA LONDOÑO JADAD, CALLE 123 No. 7-51/57 OFC. 1202, BOGOTÁ, D.C., CO</x:t>
        </x:is>
      </x:c>
      <x:c r="N418" s="3" t="inlineStr">
        <x:is>
          <x:t/>
        </x:is>
      </x:c>
      <x:c r="O418" s="3" t="inlineStr">
        <x:is>
          <x:t>18 nov. 2022</x:t>
        </x:is>
      </x:c>
      <x:c r="P418" s="3" t="inlineStr">
        <x:is>
          <x:t/>
        </x:is>
      </x:c>
      <x:c r="Q418" s="3" t="inlineStr">
        <x:is>
          <x:t/>
        </x:is>
      </x:c>
    </x:row>
    <x:row r="419">
      <x:c r="A419" s="10" t="inlineStr">
        <x:f xml:space="preserve">HYPERLINK("http://sipi.sic.gov.co/sipi/View.ashx?4326849","SD2022/0086589")</x:f>
      </x:c>
      <x:c r="B419" s="3" t="inlineStr">
        <x:is>
          <x:t>MOEA</x:t>
        </x:is>
      </x:c>
      <x:c r="C419" s="9" t="inlineStr">
        <x:is>
          <x:t/>
        </x:is>
      </x:c>
      <x:c r="D419" s="3" t="inlineStr">
        <x:is>
          <x:t>24 ago. 2022</x:t>
        </x:is>
      </x:c>
      <x:c r="E419" s="3" t="inlineStr">
        <x:is>
          <x:t/>
        </x:is>
      </x:c>
      <x:c r="F419" s="3" t="inlineStr">
        <x:is>
          <x:t>Negada</x:t>
        </x:is>
      </x:c>
      <x:c r="G419" s="3" t="inlineStr">
        <x:is>
          <x:t>moea</x:t>
        </x:is>
      </x:c>
      <x:c r="H419" s="3" t="inlineStr">
        <x:is>
          <x:t>Maria Juliana Canchica Cano, Cra 18 # 1-171, MEDELLIN, ANTIOQUIA 05001, CO</x:t>
        </x:is>
      </x:c>
      <x:c r="I419" s="3" t="inlineStr">
        <x:is>
          <x:t>3</x:t>
        </x:is>
      </x:c>
      <x:c r="J419" s="3" t="inlineStr">
        <x:is>
          <x:t>11</x:t>
        </x:is>
      </x:c>
      <x:c r="K419" s="3" t="inlineStr">
        <x:is>
          <x:t>3.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en cuanto aromatizantes alimentarios; aceites esenciales en cuanto fragancias de lavandería; aceites esenciales en cuanto perfumes de lavandería; aceites esenciales industriales para uso en la fabricación de productos de tabaco; aceites esenciales naturales; aceites esenciales para ambientadores de interior; aceites esenciales para aparatos ambientadores de interior; aceites esenciales para aromatizar bebidas; aceites esenciales para aromatizar el tabaco; aceites esenciales para aromatizar las bebidas; aceites esenciales para aromatizar los alimentos; aceites esenciales para cigarrillos electrónicos; aceites esenciales para el tabaco; aceites esenciales para la fabricación de productos perfumados; aceites esenciales para uso cosmético; aceites esenciales para uso doméstico; aceites esenciales para uso en aromaterapia; aceites esenciales para uso en la fabricación de líquidos para cigarrillos electrónicos [e-liquid]; aceites esenciales para uso en la fabricación de productos neutralizadores de olores; aceites esenciales para uso industrial; aceites esenciales para uso industrial para uso en la fabricación de productos de tabaco; aceites esenciales para uso personal; aceites esenciales que no sean para uso médico o terapéutico; aceites esenciales utilizados como aromatizantes alimentarios; aceites esenciales utilizados como aromatizantes para alimentos; aceites esenciales utilizados como saborizantes alimentarios; aceites esenciales utilizados como saborizantes para alimentos; aceites esenciales utilizados en la fabricación de líquido para cigarrillo electrónico [e-liquid]; aceites esenciales utilizados en procesos de fabricación; aromas [aceites esenciales]; aromatizantes alimentarios [aceites esenciales]; aromatizantes alimentarios en cuanto aceites esenciales; aromatizantes alimentarios o para bebidas en cuanto aceites esenciales; aromatizantes alimenticios a base de aceites esenciales; aromatizantes de pastelería [aceites esenciales]; aromatizantes de pasteles en cuanto aceites esenciales; aromatizantes en cuanto aceites esenciales para el tabaco; aromatizantes en cuanto aceites esenciales para uso en cigarrillos electrónicos; aromatizantes para batidos de frutas u hortalizas [aceites esenciales]; aromatizantes para batidos de leche [aceites esenciales]; aromatizantes para bebidas [aceites esenciales]; aromatizantes para bebidas en cuanto aceites esenciales; aromatizantes para licuados de frutas u hortalizas [aceites esenciales]; botellas tipo roll-on llenas de aceites esenciales; botellas tipo rollo llenas de aceites esenciales; bálsamo de guritania en cuanto aceites esenciales para uso en la fabricación de barnices; cremas para la piel no medicinales a base de aceites esenciales para uso en aromaterapia; esencia de menta en cuanto aceites esenciales; esencia de neroli [aceites esenciales]; esencias comestibles para alimentos [aceites esenciales]; líquidos para cigarrillos electrónicos [e-liquid] que contienen aceites esenciales; líquidos para cigarrillos electrónicos [e-liquid] que contienen aceites esenciales, utilizados para rellenar cartuchos de cigarrillos electrónicos; líquidos para cigarrillos electrónicos [e-liquid] que contienen aromas en cuanto aceites esenciales, utilizados para rellenar cartuchos de cigarrillos electrónicos; líquidos para cigarrillos electrónicos [e-liquid] que contienen aromas que sean aceites esenciales; líquidos para cigarrillos electrónicos a base de aceites esenciales; líquidos para cigarrillos electrónicos que contienen aromas en cuanto aceites esenciales; líquidos para cigarrillos electrónicos que contienen aromas en cuanto aceites esenciales, utilizados para rellenar los cartuchos de cigarrillos electrónicos; productos de perfumería, aceites esenciales; productos de perfumería, aceites esenciales, cosméticos no medicinales, lociones capilares no medicinales; productos de perfumería, aceites esenciales, cosméticos, lociones capilares; recambios de fragancias para ambientadores de aceites esenciales enchufables; recambios de fragancias para ambientadores electrónicos de aceites esenciales; recambios de fragancias para difusores de aceites esenciales enchufables; recambios de fragancias para difusores electrónicos de aceites esenciales; recambios de perfumes para difusores de aceites esenciales enchufables; recambios de perfumes para difusores electrónicos de aceites esenciales; saborizantes alimentarios [aceites esenciales]; saborizantes alimentarios en cuanto aceites esenciales; saborizantes de pastelería [aceites esenciales]; saborizantes de pasteles en cuanto aceites esenciales; saborizantes para batidos de leche [aceites esenciales]; saborizantes para bebidas [aceites esenciales]; saborizantes para bebidas en cuanto aceites esenciales; terpenos [aceites esenciales]; terpenos en cuanto aceites esenciales; toallitas impregnadas de aceites esenciales, para uso cosmético.
</x:t>
        </x:is>
      </x:c>
      <x:c r="L419" s="3" t="inlineStr">
        <x:is>
          <x:t>No</x:t>
        </x:is>
      </x:c>
      <x:c r="M419" s="3" t="inlineStr">
        <x:is>
          <x:t>Maria Jose Henriquez Kitchen, Cra 7 Cl 26 sur 345, ENVIGADO, ANTIOQUIA 05001, CO</x:t>
        </x:is>
      </x:c>
      <x:c r="N419" s="3" t="inlineStr">
        <x:is>
          <x:t/>
        </x:is>
      </x:c>
      <x:c r="O419" s="3" t="inlineStr">
        <x:is>
          <x:t>29 nov. 2022</x:t>
        </x:is>
      </x:c>
      <x:c r="P419" s="3" t="inlineStr">
        <x:is>
          <x:t/>
        </x:is>
      </x:c>
      <x:c r="Q419" s="3" t="inlineStr">
        <x:is>
          <x:t/>
        </x:is>
      </x:c>
    </x:row>
    <x:row r="420">
      <x:c r="A420" s="10" t="inlineStr">
        <x:f xml:space="preserve">HYPERLINK("http://sipi.sic.gov.co/sipi/View.ashx?4327303","SD2022/0086688")</x:f>
      </x:c>
      <x:c r="B420" s="3" t="inlineStr">
        <x:is>
          <x:t>1545 Oil CBD</x:t>
        </x:is>
      </x:c>
      <x:c r="C420" s="9" t="inlineStr">
        <x:is>
          <x:t/>
        </x:is>
      </x:c>
      <x:c r="D420" s="3" t="inlineStr">
        <x:is>
          <x:t>24 ago. 2022</x:t>
        </x:is>
      </x:c>
      <x:c r="E420" s="3" t="inlineStr">
        <x:is>
          <x:t/>
        </x:is>
      </x:c>
      <x:c r="F420" s="3" t="inlineStr">
        <x:is>
          <x:t>Negada</x:t>
        </x:is>
      </x:c>
      <x:c r="G420" s="3" t="inlineStr">
        <x:is>
          <x:t>1545</x:t>
        </x:is>
      </x:c>
      <x:c r="H420" s="3" t="inlineStr">
        <x:is>
          <x:t> DV CI SAS, Calle 8 No 6 - 25, PAMPLONA, NORTE DE SANTANDER 543050, CO</x:t>
        </x:is>
      </x:c>
      <x:c r="I420" s="3" t="inlineStr">
        <x:is>
          <x:t>3</x:t>
        </x:is>
      </x:c>
      <x:c r="J420" s="3" t="inlineStr">
        <x:is>
          <x:t>11</x:t>
        </x:is>
      </x:c>
      <x:c r="K420" s="3" t="inlineStr">
        <x:is>
          <x:t>3. Aceites de cáñamo a base de cbd para uso cosmético.
</x:t>
        </x:is>
      </x:c>
      <x:c r="L420" s="3" t="inlineStr">
        <x:is>
          <x:t>No</x:t>
        </x:is>
      </x:c>
      <x:c r="M420" s="3" t="inlineStr">
        <x:is>
          <x:t>Daniel Leonardo Gallardo Mogollon, Cll  8 No 6 - 25, PAMPLONA, NORTE DE SANTANDER 543050, CO</x:t>
        </x:is>
      </x:c>
      <x:c r="N420" s="3" t="inlineStr">
        <x:is>
          <x:t/>
        </x:is>
      </x:c>
      <x:c r="O420" s="3" t="inlineStr">
        <x:is>
          <x:t>30 ago. 2022</x:t>
        </x:is>
      </x:c>
      <x:c r="P420" s="3" t="inlineStr">
        <x:is>
          <x:t/>
        </x:is>
      </x:c>
      <x:c r="Q420" s="3" t="inlineStr">
        <x:is>
          <x:t/>
        </x:is>
      </x:c>
    </x:row>
    <x:row r="421">
      <x:c r="A421" s="10" t="inlineStr">
        <x:f xml:space="preserve">HYPERLINK("http://sipi.sic.gov.co/sipi/View.ashx?4327537","SD2022/0086751")</x:f>
      </x:c>
      <x:c r="B421" s="3" t="inlineStr">
        <x:is>
          <x:t>AMETHYST</x:t>
        </x:is>
      </x:c>
      <x:c r="C421" s="9" t="inlineStr">
        <x:is>
          <x:t/>
        </x:is>
      </x:c>
      <x:c r="D421" s="3" t="inlineStr">
        <x:is>
          <x:t>24 ago. 2022</x:t>
        </x:is>
      </x:c>
      <x:c r="E421" s="3" t="inlineStr">
        <x:is>
          <x:t/>
        </x:is>
      </x:c>
      <x:c r="F421" s="3" t="inlineStr">
        <x:is>
          <x:t>Negada</x:t>
        </x:is>
      </x:c>
      <x:c r="G421" s="3" t="inlineStr">
        <x:is>
          <x:t/>
        </x:is>
      </x:c>
      <x:c r="H421" s="3" t="inlineStr">
        <x:is>
          <x:t>VALENTINA GOMEZ RAMIREZ, CL 72 SUR NO 34 122, SABANETA, ANTIOQUIA, CO</x:t>
        </x:is>
      </x:c>
      <x:c r="I421" s="3" t="inlineStr">
        <x:is>
          <x:t>3</x:t>
        </x:is>
      </x:c>
      <x:c r="J421" s="3" t="inlineStr">
        <x:is>
          <x:t>11</x:t>
        </x:is>
      </x:c>
      <x:c r="K421" s="3" t="inlineStr">
        <x:is>
          <x:t>3. Composiciones para aclarar la piel [cosméticos]; lociones no medicinales para aclarar la piel; preparaciones para aclarar la piel [cosméticos]; productos para aclarar la piel.
</x:t>
        </x:is>
      </x:c>
      <x:c r="L421" s="3" t="inlineStr">
        <x:is>
          <x:t>No</x:t>
        </x:is>
      </x:c>
      <x:c r="M421" s="3" t="inlineStr">
        <x:is>
          <x:t/>
        </x:is>
      </x:c>
      <x:c r="N421" s="3" t="inlineStr">
        <x:is>
          <x:t/>
        </x:is>
      </x:c>
      <x:c r="O421" s="3" t="inlineStr">
        <x:is>
          <x:t>29 nov. 2022</x:t>
        </x:is>
      </x:c>
      <x:c r="P421" s="3" t="inlineStr">
        <x:is>
          <x:t/>
        </x:is>
      </x:c>
      <x:c r="Q421" s="3" t="inlineStr">
        <x:is>
          <x:t/>
        </x:is>
      </x:c>
    </x:row>
    <x:row r="422">
      <x:c r="A422" s="10" t="inlineStr">
        <x:f xml:space="preserve">HYPERLINK("http://sipi.sic.gov.co/sipi/View.ashx?4328065","SD2022/0086909")</x:f>
      </x:c>
      <x:c r="B422" s="3" t="inlineStr">
        <x:is>
          <x:t>FERRERA FOR WOMEN DC</x:t>
        </x:is>
      </x:c>
      <x:c r="C422" s="3" t="inlineStr">
        <x:is>
          <x:t/>
        </x:is>
      </x:c>
      <x:c r="D422" s="3" t="inlineStr">
        <x:is>
          <x:t>24 ago. 2022</x:t>
        </x:is>
      </x:c>
      <x:c r="E422" s="3" t="inlineStr">
        <x:is>
          <x:t/>
        </x:is>
      </x:c>
      <x:c r="F422" s="3" t="inlineStr">
        <x:is>
          <x:t>Negada</x:t>
        </x:is>
      </x:c>
      <x:c r="G422" s="3" t="inlineStr">
        <x:is>
          <x:t/>
        </x:is>
      </x:c>
      <x:c r="H422" s="3" t="inlineStr">
        <x:is>
          <x:t>DAVID GOMEZ URUEÑA, CALLE 13 No. 6-68 OFICINA 701 Edificio Madeira , CALI, VALLE DEL CAUCA, CO</x:t>
        </x:is>
      </x:c>
      <x:c r="I422" s="3" t="inlineStr">
        <x:is>
          <x:t>3</x:t>
        </x:is>
      </x:c>
      <x:c r="J422" s="3" t="inlineStr">
        <x:is>
          <x:t>11</x:t>
        </x:is>
      </x:c>
      <x:c r="K422" s="3" t="inlineStr">
        <x:is>
          <x:t>3. FRAGANCIAS, PRODUCTOS DE PERFUMERÍA, PERFUMES.
</x:t>
        </x:is>
      </x:c>
      <x:c r="L422" s="3" t="inlineStr">
        <x:is>
          <x:t>Sí</x:t>
        </x:is>
      </x:c>
      <x:c r="M422" s="3" t="inlineStr">
        <x:is>
          <x:t>SERGIO ROBERTO CABRERA TORRES, AVENIDA 4N No. 25N-45 BARRIO SAN VICENTE, CALI, VALLE DEL CAUCA, CO</x:t>
        </x:is>
      </x:c>
      <x:c r="N422" s="3" t="inlineStr">
        <x:is>
          <x:t/>
        </x:is>
      </x:c>
      <x:c r="O422" s="3" t="inlineStr">
        <x:is>
          <x:t>09 dic. 2022</x:t>
        </x:is>
      </x:c>
      <x:c r="P422" s="3" t="inlineStr">
        <x:is>
          <x:t/>
        </x:is>
      </x:c>
      <x:c r="Q422" s="3" t="inlineStr">
        <x:is>
          <x:t/>
        </x:is>
      </x:c>
    </x:row>
    <x:row r="423">
      <x:c r="A423" s="10" t="inlineStr">
        <x:f xml:space="preserve">HYPERLINK("http://sipi.sic.gov.co/sipi/View.ashx?4328345","SD2022/0086998")</x:f>
      </x:c>
      <x:c r="B423" s="3" t="inlineStr">
        <x:is>
          <x:t>BOULEVARD CORAL DC</x:t>
        </x:is>
      </x:c>
      <x:c r="C423" s="3" t="inlineStr">
        <x:is>
          <x:t/>
        </x:is>
      </x:c>
      <x:c r="D423" s="3" t="inlineStr">
        <x:is>
          <x:t>24 ago. 2022</x:t>
        </x:is>
      </x:c>
      <x:c r="E423" s="3" t="inlineStr">
        <x:is>
          <x:t/>
        </x:is>
      </x:c>
      <x:c r="F423" s="3" t="inlineStr">
        <x:is>
          <x:t>Negada</x:t>
        </x:is>
      </x:c>
      <x:c r="G423" s="3" t="inlineStr">
        <x:is>
          <x:t/>
        </x:is>
      </x:c>
      <x:c r="H423" s="3" t="inlineStr">
        <x:is>
          <x:t>DAVID GOMEZ URUEÑA, CALLE 13 No. 6-68 OFICINA 701 Edificio Madeira , CALI, VALLE DEL CAUCA, CO</x:t>
        </x:is>
      </x:c>
      <x:c r="I423" s="3" t="inlineStr">
        <x:is>
          <x:t>3</x:t>
        </x:is>
      </x:c>
      <x:c r="J423" s="3" t="inlineStr">
        <x:is>
          <x:t>11</x:t>
        </x:is>
      </x:c>
      <x:c r="K423" s="3" t="inlineStr">
        <x:is>
          <x:t>3. FRAGANCIAS, PRODUCTOS DE PERFUMERÍA, PERFUMES.
</x:t>
        </x:is>
      </x:c>
      <x:c r="L423" s="3" t="inlineStr">
        <x:is>
          <x:t>No</x:t>
        </x:is>
      </x:c>
      <x:c r="M423" s="3" t="inlineStr">
        <x:is>
          <x:t>SERGIO ROBERTO CABRERA TORRES, AVENIDA 4N No. 25N-45 BARRIO SAN VICENTE, CALI, VALLE DEL CAUCA, CO</x:t>
        </x:is>
      </x:c>
      <x:c r="N423" s="3" t="inlineStr">
        <x:is>
          <x:t/>
        </x:is>
      </x:c>
      <x:c r="O423" s="3" t="inlineStr">
        <x:is>
          <x:t>11 oct. 2022</x:t>
        </x:is>
      </x:c>
      <x:c r="P423" s="3" t="inlineStr">
        <x:is>
          <x:t/>
        </x:is>
      </x:c>
      <x:c r="Q423" s="3" t="inlineStr">
        <x:is>
          <x:t/>
        </x:is>
      </x:c>
    </x:row>
    <x:row r="424">
      <x:c r="A424" s="10" t="inlineStr">
        <x:f xml:space="preserve">HYPERLINK("http://sipi.sic.gov.co/sipi/View.ashx?4329843","SD2022/0087402")</x:f>
      </x:c>
      <x:c r="B424" s="3" t="inlineStr">
        <x:is>
          <x:t>Gold Diamond</x:t>
        </x:is>
      </x:c>
      <x:c r="C424" s="9" t="inlineStr">
        <x:is>
          <x:t/>
        </x:is>
      </x:c>
      <x:c r="D424" s="3" t="inlineStr">
        <x:is>
          <x:t>25 ago. 2022</x:t>
        </x:is>
      </x:c>
      <x:c r="E424" s="3" t="inlineStr">
        <x:is>
          <x:t/>
        </x:is>
      </x:c>
      <x:c r="F424" s="3" t="inlineStr">
        <x:is>
          <x:t>Negada</x:t>
        </x:is>
      </x:c>
      <x:c r="G424" s="3" t="inlineStr">
        <x:is>
          <x:t>GoldDiamond</x:t>
        </x:is>
      </x:c>
      <x:c r="H424" s="3" t="inlineStr">
        <x:is>
          <x:t>LEGNA DANIELA CASTELLANOS TORRES, CARRERA 98A 45 51 APTO 401 TORRE 4, CALI, VALLE DEL CAUCA, CO</x:t>
        </x:is>
      </x:c>
      <x:c r="I424" s="3" t="inlineStr">
        <x:is>
          <x:t>3</x:t>
        </x:is>
      </x:c>
      <x:c r="J424" s="3" t="inlineStr">
        <x:is>
          <x:t>11</x:t>
        </x:is>
      </x:c>
      <x:c r="K424" s="3" t="inlineStr">
        <x:is>
          <x:t>3. Acondicionadores de cabello; acondicionadores para el cabello; acondicionadores para uso en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cosméticos para el cabello; crema para peinar el cabello; cremas de protección para el cabello; cremas de protección para el cabello, no medicinales; cremas para el cabello; cremas para el cabello; cremas para el cabello para uso cosmético; cremas para el cuidado del cabello; enjuagues de color para el cabello; enjuagues para el cabello; enjuagues para el cabello; espuma de protección para el cabello; espuma moldeadora para el cabello; espumas para el cabello;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lacas y geles fijadores para el cabello; lociones; lociones de protección para el cabello; lociones fijadoras para ondular el cabello; lociones para el cabello; lociones para el cabello; lociones para fortalecer el cabello;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máscaras para el cabello; máscaras para el cabello y el cuero cabelludo;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desrizar el cabello; preparaciones para el cuidado del cabello; preparaciones para el cuidado del cuero cabelludo y del cabello; preparaciones para el peinado del cabello; preparaciones para la fijación del cabello; preparaciones para limpiar, cuidar y arreglar el cabello; preparaciones para limpiar, teñir, colorear, decolorar, marcar y peinar el cabello; preparaciones para marcar el cabello; preparaciones para el cuidado y la limpieza del cabello; productos de textura para el cabello; productos para desrizar el cabello; suavizantes para el cabello; tratamientos de alisado para el cabello; tratamientos de permanente del cabello; tratamientos de permanente para el cabello; tratamientos de queratina para el cabello.
</x:t>
        </x:is>
      </x:c>
      <x:c r="L424" s="3" t="inlineStr">
        <x:is>
          <x:t>No</x:t>
        </x:is>
      </x:c>
      <x:c r="M424" s="3" t="inlineStr">
        <x:is>
          <x:t/>
        </x:is>
      </x:c>
      <x:c r="N424" s="3" t="inlineStr">
        <x:is>
          <x:t/>
        </x:is>
      </x:c>
      <x:c r="O424" s="3" t="inlineStr">
        <x:is>
          <x:t>27 feb. 2023</x:t>
        </x:is>
      </x:c>
      <x:c r="P424" s="3" t="inlineStr">
        <x:is>
          <x:t/>
        </x:is>
      </x:c>
      <x:c r="Q424" s="3" t="inlineStr">
        <x:is>
          <x:t/>
        </x:is>
      </x:c>
    </x:row>
    <x:row r="425">
      <x:c r="A425" s="10" t="inlineStr">
        <x:f xml:space="preserve">HYPERLINK("http://sipi.sic.gov.co/sipi/View.ashx?4330022","SD2022/0087470")</x:f>
      </x:c>
      <x:c r="B425" s="3" t="inlineStr">
        <x:is>
          <x:t>EXECUTIVE FOR MEN DC</x:t>
        </x:is>
      </x:c>
      <x:c r="C425" s="3" t="inlineStr">
        <x:is>
          <x:t/>
        </x:is>
      </x:c>
      <x:c r="D425" s="3" t="inlineStr">
        <x:is>
          <x:t>25 ago. 2022</x:t>
        </x:is>
      </x:c>
      <x:c r="E425" s="3" t="inlineStr">
        <x:is>
          <x:t/>
        </x:is>
      </x:c>
      <x:c r="F425" s="3" t="inlineStr">
        <x:is>
          <x:t>Negada</x:t>
        </x:is>
      </x:c>
      <x:c r="G425" s="3" t="inlineStr">
        <x:is>
          <x:t/>
        </x:is>
      </x:c>
      <x:c r="H425" s="3" t="inlineStr">
        <x:is>
          <x:t>DAVID GOMEZ URUEÑA, CALLE 13 No. 6-68 OFICINA 701 Edificio Madeira , CALI, VALLE DEL CAUCA, CO</x:t>
        </x:is>
      </x:c>
      <x:c r="I425" s="3" t="inlineStr">
        <x:is>
          <x:t>3</x:t>
        </x:is>
      </x:c>
      <x:c r="J425" s="3" t="inlineStr">
        <x:is>
          <x:t>11</x:t>
        </x:is>
      </x:c>
      <x:c r="K425" s="3" t="inlineStr">
        <x:is>
          <x:t>3. FRAGANCIAS, PRODUCTOS DE PERFUMERÍA, PERFUMES.
</x:t>
        </x:is>
      </x:c>
      <x:c r="L425" s="3" t="inlineStr">
        <x:is>
          <x:t>No</x:t>
        </x:is>
      </x:c>
      <x:c r="M425" s="3" t="inlineStr">
        <x:is>
          <x:t>SERGIO ROBERTO CABRERA TORRES, AVENIDA 4N No. 25N-45 BARRIO SAN VICENTE, CALI, VALLE DEL CAUCA, CO</x:t>
        </x:is>
      </x:c>
      <x:c r="N425" s="3" t="inlineStr">
        <x:is>
          <x:t/>
        </x:is>
      </x:c>
      <x:c r="O425" s="3" t="inlineStr">
        <x:is>
          <x:t>18 nov. 2022</x:t>
        </x:is>
      </x:c>
      <x:c r="P425" s="3" t="inlineStr">
        <x:is>
          <x:t/>
        </x:is>
      </x:c>
      <x:c r="Q425" s="3" t="inlineStr">
        <x:is>
          <x:t/>
        </x:is>
      </x:c>
    </x:row>
    <x:row r="426">
      <x:c r="A426" s="10" t="inlineStr">
        <x:f xml:space="preserve">HYPERLINK("http://sipi.sic.gov.co/sipi/View.ashx?4330120","SD2022/0087502")</x:f>
      </x:c>
      <x:c r="B426" s="3" t="inlineStr">
        <x:is>
          <x:t>FERRERA FOR MEN DC</x:t>
        </x:is>
      </x:c>
      <x:c r="C426" s="3" t="inlineStr">
        <x:is>
          <x:t/>
        </x:is>
      </x:c>
      <x:c r="D426" s="3" t="inlineStr">
        <x:is>
          <x:t>25 ago. 2022</x:t>
        </x:is>
      </x:c>
      <x:c r="E426" s="3" t="inlineStr">
        <x:is>
          <x:t/>
        </x:is>
      </x:c>
      <x:c r="F426" s="3" t="inlineStr">
        <x:is>
          <x:t>Negada</x:t>
        </x:is>
      </x:c>
      <x:c r="G426" s="3" t="inlineStr">
        <x:is>
          <x:t/>
        </x:is>
      </x:c>
      <x:c r="H426" s="3" t="inlineStr">
        <x:is>
          <x:t>DAVID GOMEZ URUEÑA, CALLE 13 No. 6-68 OFICINA 701 Edificio Madeira , CALI, VALLE DEL CAUCA, CO</x:t>
        </x:is>
      </x:c>
      <x:c r="I426" s="3" t="inlineStr">
        <x:is>
          <x:t>3</x:t>
        </x:is>
      </x:c>
      <x:c r="J426" s="3" t="inlineStr">
        <x:is>
          <x:t>11</x:t>
        </x:is>
      </x:c>
      <x:c r="K426" s="3" t="inlineStr">
        <x:is>
          <x:t>3. FRAGANCIAS, PRODUCTOS DE PERFUMERÍA, PERFUMES.
</x:t>
        </x:is>
      </x:c>
      <x:c r="L426" s="3" t="inlineStr">
        <x:is>
          <x:t>Sí</x:t>
        </x:is>
      </x:c>
      <x:c r="M426" s="3" t="inlineStr">
        <x:is>
          <x:t>SERGIO ROBERTO CABRERA TORRES, AVENIDA 4N No. 25N-45 BARRIO SAN VICENTE, CALI, VALLE DEL CAUCA, CO</x:t>
        </x:is>
      </x:c>
      <x:c r="N426" s="3" t="inlineStr">
        <x:is>
          <x:t/>
        </x:is>
      </x:c>
      <x:c r="O426" s="3" t="inlineStr">
        <x:is>
          <x:t>21 oct. 2022</x:t>
        </x:is>
      </x:c>
      <x:c r="P426" s="3" t="inlineStr">
        <x:is>
          <x:t/>
        </x:is>
      </x:c>
      <x:c r="Q426" s="3" t="inlineStr">
        <x:is>
          <x:t/>
        </x:is>
      </x:c>
    </x:row>
    <x:row r="427">
      <x:c r="A427" s="10" t="inlineStr">
        <x:f xml:space="preserve">HYPERLINK("http://sipi.sic.gov.co/sipi/View.ashx?4330155","SD2022/0087511")</x:f>
      </x:c>
      <x:c r="B427" s="3" t="inlineStr">
        <x:is>
          <x:t>PRIMITIVE DC</x:t>
        </x:is>
      </x:c>
      <x:c r="C427" s="3" t="inlineStr">
        <x:is>
          <x:t/>
        </x:is>
      </x:c>
      <x:c r="D427" s="3" t="inlineStr">
        <x:is>
          <x:t>25 ago. 2022</x:t>
        </x:is>
      </x:c>
      <x:c r="E427" s="3" t="inlineStr">
        <x:is>
          <x:t/>
        </x:is>
      </x:c>
      <x:c r="F427" s="3" t="inlineStr">
        <x:is>
          <x:t>Negada</x:t>
        </x:is>
      </x:c>
      <x:c r="G427" s="3" t="inlineStr">
        <x:is>
          <x:t/>
        </x:is>
      </x:c>
      <x:c r="H427" s="3" t="inlineStr">
        <x:is>
          <x:t>DAVID GOMEZ URUEÑA, CALLE 13 No. 6-68 OFICINA 701 Edificio Madeira , CALI, VALLE DEL CAUCA, CO</x:t>
        </x:is>
      </x:c>
      <x:c r="I427" s="3" t="inlineStr">
        <x:is>
          <x:t>3</x:t>
        </x:is>
      </x:c>
      <x:c r="J427" s="3" t="inlineStr">
        <x:is>
          <x:t>11</x:t>
        </x:is>
      </x:c>
      <x:c r="K427" s="3" t="inlineStr">
        <x:is>
          <x:t>3. FRAGANCIAS, PRODUCTOS DE PERFUMERÍA, PERFUMES.
</x:t>
        </x:is>
      </x:c>
      <x:c r="L427" s="3" t="inlineStr">
        <x:is>
          <x:t>No</x:t>
        </x:is>
      </x:c>
      <x:c r="M427" s="3" t="inlineStr">
        <x:is>
          <x:t>SERGIO ROBERTO CABRERA TORRES, AVENIDA 4N No. 25N-45 BARRIO SAN VICENTE, CALI, VALLE DEL CAUCA, CO</x:t>
        </x:is>
      </x:c>
      <x:c r="N427" s="3" t="inlineStr">
        <x:is>
          <x:t/>
        </x:is>
      </x:c>
      <x:c r="O427" s="3" t="inlineStr">
        <x:is>
          <x:t>21 oct. 2022</x:t>
        </x:is>
      </x:c>
      <x:c r="P427" s="3" t="inlineStr">
        <x:is>
          <x:t/>
        </x:is>
      </x:c>
      <x:c r="Q427" s="3" t="inlineStr">
        <x:is>
          <x:t/>
        </x:is>
      </x:c>
    </x:row>
    <x:row r="428">
      <x:c r="A428" s="10" t="inlineStr">
        <x:f xml:space="preserve">HYPERLINK("http://sipi.sic.gov.co/sipi/View.ashx?4330185","SD2022/0087523")</x:f>
      </x:c>
      <x:c r="B428" s="3" t="inlineStr">
        <x:is>
          <x:t>ATLANTIC VOYAGE DC</x:t>
        </x:is>
      </x:c>
      <x:c r="C428" s="3" t="inlineStr">
        <x:is>
          <x:t/>
        </x:is>
      </x:c>
      <x:c r="D428" s="3" t="inlineStr">
        <x:is>
          <x:t>25 ago. 2022</x:t>
        </x:is>
      </x:c>
      <x:c r="E428" s="3" t="inlineStr">
        <x:is>
          <x:t/>
        </x:is>
      </x:c>
      <x:c r="F428" s="3" t="inlineStr">
        <x:is>
          <x:t>Negada</x:t>
        </x:is>
      </x:c>
      <x:c r="G428" s="3" t="inlineStr">
        <x:is>
          <x:t/>
        </x:is>
      </x:c>
      <x:c r="H428" s="3" t="inlineStr">
        <x:is>
          <x:t>DAVID GOMEZ URUEÑA, CALLE 13 No. 6-68 OFICINA 701 Edificio Madeira , CALI, VALLE DEL CAUCA, CO</x:t>
        </x:is>
      </x:c>
      <x:c r="I428" s="3" t="inlineStr">
        <x:is>
          <x:t>3</x:t>
        </x:is>
      </x:c>
      <x:c r="J428" s="3" t="inlineStr">
        <x:is>
          <x:t>11</x:t>
        </x:is>
      </x:c>
      <x:c r="K428" s="3" t="inlineStr">
        <x:is>
          <x:t>3. FRAGANCIAS, PRODUCTOS DE PERFUMERÍA, PERFUMES.
</x:t>
        </x:is>
      </x:c>
      <x:c r="L428" s="3" t="inlineStr">
        <x:is>
          <x:t>No</x:t>
        </x:is>
      </x:c>
      <x:c r="M428" s="3" t="inlineStr">
        <x:is>
          <x:t>SERGIO ROBERTO CABRERA TORRES, AVENIDA 4N No. 25N-45 BARRIO SAN VICENTE, CALI, VALLE DEL CAUCA, CO</x:t>
        </x:is>
      </x:c>
      <x:c r="N428" s="3" t="inlineStr">
        <x:is>
          <x:t/>
        </x:is>
      </x:c>
      <x:c r="O428" s="3" t="inlineStr">
        <x:is>
          <x:t>21 oct. 2022</x:t>
        </x:is>
      </x:c>
      <x:c r="P428" s="3" t="inlineStr">
        <x:is>
          <x:t/>
        </x:is>
      </x:c>
      <x:c r="Q428" s="3" t="inlineStr">
        <x:is>
          <x:t/>
        </x:is>
      </x:c>
    </x:row>
    <x:row r="429">
      <x:c r="A429" s="10" t="inlineStr">
        <x:f xml:space="preserve">HYPERLINK("http://sipi.sic.gov.co/sipi/View.ashx?4330205","SD2022/0087532")</x:f>
      </x:c>
      <x:c r="B429" s="3" t="inlineStr">
        <x:is>
          <x:t>EXECUTIVE BOND DC</x:t>
        </x:is>
      </x:c>
      <x:c r="C429" s="3" t="inlineStr">
        <x:is>
          <x:t/>
        </x:is>
      </x:c>
      <x:c r="D429" s="3" t="inlineStr">
        <x:is>
          <x:t>25 ago. 2022</x:t>
        </x:is>
      </x:c>
      <x:c r="E429" s="3" t="inlineStr">
        <x:is>
          <x:t/>
        </x:is>
      </x:c>
      <x:c r="F429" s="3" t="inlineStr">
        <x:is>
          <x:t>Negada</x:t>
        </x:is>
      </x:c>
      <x:c r="G429" s="3" t="inlineStr">
        <x:is>
          <x:t/>
        </x:is>
      </x:c>
      <x:c r="H429" s="3" t="inlineStr">
        <x:is>
          <x:t>DAVID GOMEZ URUEÑA, CALLE 13 No. 6-68 OFICINA 701 Edificio Madeira , CALI, VALLE DEL CAUCA, CO</x:t>
        </x:is>
      </x:c>
      <x:c r="I429" s="3" t="inlineStr">
        <x:is>
          <x:t>3</x:t>
        </x:is>
      </x:c>
      <x:c r="J429" s="3" t="inlineStr">
        <x:is>
          <x:t>11</x:t>
        </x:is>
      </x:c>
      <x:c r="K429" s="3" t="inlineStr">
        <x:is>
          <x:t>3. FRAGANCIAS, PRODUCTOS DE PERFUMERÍA, PERFUMES.
</x:t>
        </x:is>
      </x:c>
      <x:c r="L429" s="3" t="inlineStr">
        <x:is>
          <x:t>No</x:t>
        </x:is>
      </x:c>
      <x:c r="M429" s="3" t="inlineStr">
        <x:is>
          <x:t>SERGIO ROBERTO CABRERA TORRES, AVENIDA 4N No. 25N-45 BARRIO SAN VICENTE, CALI, VALLE DEL CAUCA, CO</x:t>
        </x:is>
      </x:c>
      <x:c r="N429" s="3" t="inlineStr">
        <x:is>
          <x:t/>
        </x:is>
      </x:c>
      <x:c r="O429" s="3" t="inlineStr">
        <x:is>
          <x:t>21 oct. 2022</x:t>
        </x:is>
      </x:c>
      <x:c r="P429" s="3" t="inlineStr">
        <x:is>
          <x:t/>
        </x:is>
      </x:c>
      <x:c r="Q429" s="3" t="inlineStr">
        <x:is>
          <x:t/>
        </x:is>
      </x:c>
    </x:row>
    <x:row r="430">
      <x:c r="A430" s="10" t="inlineStr">
        <x:f xml:space="preserve">HYPERLINK("http://sipi.sic.gov.co/sipi/View.ashx?4330346","SD2022/0087564")</x:f>
      </x:c>
      <x:c r="B430" s="3" t="inlineStr">
        <x:is>
          <x:t>SILVER CONQUEST DC</x:t>
        </x:is>
      </x:c>
      <x:c r="C430" s="3" t="inlineStr">
        <x:is>
          <x:t/>
        </x:is>
      </x:c>
      <x:c r="D430" s="3" t="inlineStr">
        <x:is>
          <x:t>25 ago. 2022</x:t>
        </x:is>
      </x:c>
      <x:c r="E430" s="3" t="inlineStr">
        <x:is>
          <x:t/>
        </x:is>
      </x:c>
      <x:c r="F430" s="3" t="inlineStr">
        <x:is>
          <x:t>Negada</x:t>
        </x:is>
      </x:c>
      <x:c r="G430" s="3" t="inlineStr">
        <x:is>
          <x:t/>
        </x:is>
      </x:c>
      <x:c r="H430" s="3" t="inlineStr">
        <x:is>
          <x:t>DAVID GOMEZ URUEÑA, CALLE 13 No. 6-68 OFICINA 701 Edificio Madeira , CALI, VALLE DEL CAUCA, CO</x:t>
        </x:is>
      </x:c>
      <x:c r="I430" s="3" t="inlineStr">
        <x:is>
          <x:t>3</x:t>
        </x:is>
      </x:c>
      <x:c r="J430" s="3" t="inlineStr">
        <x:is>
          <x:t>11</x:t>
        </x:is>
      </x:c>
      <x:c r="K430" s="3" t="inlineStr">
        <x:is>
          <x:t>3. FRAGANCIAS, PRODUCTOS DE PERFUMERÍA, PERFUMES.
</x:t>
        </x:is>
      </x:c>
      <x:c r="L430" s="3" t="inlineStr">
        <x:is>
          <x:t>No</x:t>
        </x:is>
      </x:c>
      <x:c r="M430" s="3" t="inlineStr">
        <x:is>
          <x:t>SERGIO ROBERTO CABRERA TORRES, AVENIDA 4N No. 25N-45 BARRIO SAN VICENTE, CALI, VALLE DEL CAUCA, CO</x:t>
        </x:is>
      </x:c>
      <x:c r="N430" s="3" t="inlineStr">
        <x:is>
          <x:t/>
        </x:is>
      </x:c>
      <x:c r="O430" s="3" t="inlineStr">
        <x:is>
          <x:t>08 nov. 2022</x:t>
        </x:is>
      </x:c>
      <x:c r="P430" s="3" t="inlineStr">
        <x:is>
          <x:t/>
        </x:is>
      </x:c>
      <x:c r="Q430" s="3" t="inlineStr">
        <x:is>
          <x:t/>
        </x:is>
      </x:c>
    </x:row>
    <x:row r="431">
      <x:c r="A431" s="10" t="inlineStr">
        <x:f xml:space="preserve">HYPERLINK("http://sipi.sic.gov.co/sipi/View.ashx?4330606","SD2022/0087645")</x:f>
      </x:c>
      <x:c r="B431" s="3" t="inlineStr">
        <x:is>
          <x:t>PUDÍN CAPILAR</x:t>
        </x:is>
      </x:c>
      <x:c r="C431" s="3" t="inlineStr">
        <x:is>
          <x:t/>
        </x:is>
      </x:c>
      <x:c r="D431" s="3" t="inlineStr">
        <x:is>
          <x:t>25 ago. 2022</x:t>
        </x:is>
      </x:c>
      <x:c r="E431" s="3" t="inlineStr">
        <x:is>
          <x:t/>
        </x:is>
      </x:c>
      <x:c r="F431" s="3" t="inlineStr">
        <x:is>
          <x:t>Negada</x:t>
        </x:is>
      </x:c>
      <x:c r="G431" s="3" t="inlineStr">
        <x:is>
          <x:t/>
        </x:is>
      </x:c>
      <x:c r="H431" s="3" t="inlineStr">
        <x:is>
          <x:t> WONDER GOLD S.A.S., Calle 8 n # 10 - 98, CALI, VALLE DEL CAUCA, CO</x:t>
        </x:is>
      </x:c>
      <x:c r="I431" s="3" t="inlineStr">
        <x:is>
          <x:t>3</x:t>
        </x:is>
      </x:c>
      <x:c r="J431" s="3" t="inlineStr">
        <x:is>
          <x:t>11</x:t>
        </x:is>
      </x:c>
      <x:c r="K431" s="3" t="inlineStr">
        <x:is>
          <x:t>3. Colonias, perfumes y productos cosméticos; cosméticos; cosméticos de belleza; cosméticos en forma de cremas; cosméticos en forma de polvos; cosméticos naturales; cosméticos orgánicos; cosméticos para broncear la piel; cosméticos para el cabello; cosméticos para el cuidado del cuerpo; cosméticos para las cejas; cosméticos para los labios; cosméticos para pestañas; cosméticos para polveras; cremas corporales [cosméticos]; cremas de limpieza [cosméticos]; cremas hidratantes para la piel [cosméticos]; cremas para el cuerpo [cosméticos]; cremas para la cara [cosméticos]; cremas y geles cosméticos para rostro, manos y cuerpo.
</x:t>
        </x:is>
      </x:c>
      <x:c r="L431" s="3" t="inlineStr">
        <x:is>
          <x:t>No</x:t>
        </x:is>
      </x:c>
      <x:c r="M431" s="3" t="inlineStr">
        <x:is>
          <x:t>AIDA LUCIA CERTUCHE CANDELO, CL 64N 5BN 145 OF 314A, CALI, VALLE DEL CAUCA, CO</x:t>
        </x:is>
      </x:c>
      <x:c r="N431" s="3" t="inlineStr">
        <x:is>
          <x:t/>
        </x:is>
      </x:c>
      <x:c r="O431" s="3" t="inlineStr">
        <x:is>
          <x:t>09 sept. 2022</x:t>
        </x:is>
      </x:c>
      <x:c r="P431" s="3" t="inlineStr">
        <x:is>
          <x:t/>
        </x:is>
      </x:c>
      <x:c r="Q431" s="3" t="inlineStr">
        <x:is>
          <x:t/>
        </x:is>
      </x:c>
    </x:row>
    <x:row r="432">
      <x:c r="A432" s="10" t="inlineStr">
        <x:f xml:space="preserve">HYPERLINK("http://sipi.sic.gov.co/sipi/View.ashx?4331066","SD2022/0087770")</x:f>
      </x:c>
      <x:c r="B432" s="3" t="inlineStr">
        <x:is>
          <x:t>/SHINNE </x:t>
        </x:is>
      </x:c>
      <x:c r="C432" s="3" t="inlineStr">
        <x:is>
          <x:t/>
        </x:is>
      </x:c>
      <x:c r="D432" s="3" t="inlineStr">
        <x:is>
          <x:t>26 ago. 2022</x:t>
        </x:is>
      </x:c>
      <x:c r="E432" s="3" t="inlineStr">
        <x:is>
          <x:t/>
        </x:is>
      </x:c>
      <x:c r="F432" s="3" t="inlineStr">
        <x:is>
          <x:t>Negada</x:t>
        </x:is>
      </x:c>
      <x:c r="G432" s="3" t="inlineStr">
        <x:is>
          <x:t>/SHINNE </x:t>
        </x:is>
      </x:c>
      <x:c r="H432" s="3" t="inlineStr">
        <x:is>
          <x:t>yenny alejandra perez puentes, cr96#81-19, BOGOTA, CUNDINAMARCA 57, CO</x:t>
        </x:is>
      </x:c>
      <x:c r="I432" s="3" t="inlineStr">
        <x:is>
          <x:t>3</x:t>
        </x:is>
      </x:c>
      <x:c r="J432" s="3" t="inlineStr">
        <x:is>
          <x:t>11</x:t>
        </x:is>
      </x:c>
      <x:c r="K432" s="3" t="inlineStr">
        <x:is>
          <x:t>3. Agentes de limpieza para uso doméstico.
</x:t>
        </x:is>
      </x:c>
      <x:c r="L432" s="3" t="inlineStr">
        <x:is>
          <x:t>No</x:t>
        </x:is>
      </x:c>
      <x:c r="M432" s="3" t="inlineStr">
        <x:is>
          <x:t/>
        </x:is>
      </x:c>
      <x:c r="N432" s="3" t="inlineStr">
        <x:is>
          <x:t/>
        </x:is>
      </x:c>
      <x:c r="O432" s="3" t="inlineStr">
        <x:is>
          <x:t>08 nov. 2022</x:t>
        </x:is>
      </x:c>
      <x:c r="P432" s="3" t="inlineStr">
        <x:is>
          <x:t/>
        </x:is>
      </x:c>
      <x:c r="Q432" s="3" t="inlineStr">
        <x:is>
          <x:t/>
        </x:is>
      </x:c>
    </x:row>
    <x:row r="433">
      <x:c r="A433" s="10" t="inlineStr">
        <x:f xml:space="preserve">HYPERLINK("http://sipi.sic.gov.co/sipi/View.ashx?4331949","SD2022/0090614")</x:f>
      </x:c>
      <x:c r="B433" s="3" t="inlineStr">
        <x:is>
          <x:t>VIOLETTA FABIANI</x:t>
        </x:is>
      </x:c>
      <x:c r="C433" s="3" t="inlineStr">
        <x:is>
          <x:t/>
        </x:is>
      </x:c>
      <x:c r="D433" s="3" t="inlineStr">
        <x:is>
          <x:t>02 sept. 2022</x:t>
        </x:is>
      </x:c>
      <x:c r="E433" s="3" t="inlineStr">
        <x:is>
          <x:t/>
        </x:is>
      </x:c>
      <x:c r="F433" s="3" t="inlineStr">
        <x:is>
          <x:t>Negada</x:t>
        </x:is>
      </x:c>
      <x:c r="G433" s="3" t="inlineStr">
        <x:is>
          <x:t>MDE</x:t>
        </x:is>
      </x:c>
      <x:c r="H433" s="3" t="inlineStr">
        <x:is>
          <x:t>MARIANA COSTA, Av. Presidente Perón 10298, CP 1714, ITUZAINGO, PROVINCIA DE BUENOS AIRES, AR; MARIA JORGELINA COSTA, Mayor Irusta 3777, CP 1661, BELLA VISTA, PROVINCIA DE BUENOS AIRES, AR; CRISTIAN DANIEL COSTA, Almafuerte 1402, CP 1746, FRANCISTO ÁLVARES, PROVINCIA DE BUENOS AIRES, AR</x:t>
        </x:is>
      </x:c>
      <x:c r="I433" s="3" t="inlineStr">
        <x:is>
          <x:t>3</x:t>
        </x:is>
      </x:c>
      <x:c r="J433" s="3" t="inlineStr">
        <x:is>
          <x:t>11</x:t>
        </x:is>
      </x:c>
      <x:c r="K433" s="3" t="inlineStr">
        <x:is>
          <x:t>3. COSMÉTICOS; LOCIONES CAPILARES; DENTÍFRICOS; PRODUCTOS DE PERFUMERÍA, ACEITES ESENCIALES; JABONES; CREMAS; PREPARACIONES PARA BLANQUEAR Y OTRAS SUSTANCIAS PARA LAVAR LA ROPA; PREPARACIONES PARA LIMPIAR, PULIR, DESENGRASAR Y RASPAR.
</x:t>
        </x:is>
      </x:c>
      <x:c r="L433" s="3" t="inlineStr">
        <x:is>
          <x:t>No</x:t>
        </x:is>
      </x:c>
      <x:c r="M433" s="3" t="inlineStr">
        <x:is>
          <x:t>CLEMENCIA DELGADO VILLEGAS, Avenida Carrera  24 # 37-31 Oficina 202, BOGOTÁ, D.C., CO</x:t>
        </x:is>
      </x:c>
      <x:c r="N433" s="3" t="inlineStr">
        <x:is>
          <x:t/>
        </x:is>
      </x:c>
      <x:c r="O433" s="3" t="inlineStr">
        <x:is>
          <x:t>21 oct. 2022</x:t>
        </x:is>
      </x:c>
      <x:c r="P433" s="3" t="inlineStr">
        <x:is>
          <x:t/>
        </x:is>
      </x:c>
      <x:c r="Q433" s="3" t="inlineStr">
        <x:is>
          <x:t/>
        </x:is>
      </x:c>
    </x:row>
    <x:row r="434">
      <x:c r="A434" s="10" t="inlineStr">
        <x:f xml:space="preserve">HYPERLINK("http://sipi.sic.gov.co/sipi/View.ashx?4332009","SD2022/0087994")</x:f>
      </x:c>
      <x:c r="B434" s="3" t="inlineStr">
        <x:is>
          <x:t>sahuka sagrada</x:t>
        </x:is>
      </x:c>
      <x:c r="C434" s="9" t="inlineStr">
        <x:is>
          <x:t/>
        </x:is>
      </x:c>
      <x:c r="D434" s="3" t="inlineStr">
        <x:is>
          <x:t>26 ago. 2022</x:t>
        </x:is>
      </x:c>
      <x:c r="E434" s="3" t="inlineStr">
        <x:is>
          <x:t/>
        </x:is>
      </x:c>
      <x:c r="F434" s="3" t="inlineStr">
        <x:is>
          <x:t>Negada</x:t>
        </x:is>
      </x:c>
      <x:c r="G434" s="3" t="inlineStr">
        <x:is>
          <x:t>sahuka</x:t>
        </x:is>
      </x:c>
      <x:c r="H434" s="3" t="inlineStr">
        <x:is>
          <x:t>JESUS FELIPE VALENCIA BASTIDAS, Carrera 2 Oeste No 12 - 23, CALI, VALLE DEL CAUCA, CO</x:t>
        </x:is>
      </x:c>
      <x:c r="I434" s="3" t="inlineStr">
        <x:is>
          <x:t>3</x:t>
        </x:is>
      </x:c>
      <x:c r="J434" s="3" t="inlineStr">
        <x:is>
          <x:t>11</x:t>
        </x:is>
      </x:c>
      <x:c r="K43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34" s="3" t="inlineStr">
        <x:is>
          <x:t>Sí</x:t>
        </x:is>
      </x:c>
      <x:c r="M434" s="3" t="inlineStr">
        <x:is>
          <x:t/>
        </x:is>
      </x:c>
      <x:c r="N434" s="3" t="inlineStr">
        <x:is>
          <x:t/>
        </x:is>
      </x:c>
      <x:c r="O434" s="3" t="inlineStr">
        <x:is>
          <x:t>31 oct. 2022</x:t>
        </x:is>
      </x:c>
      <x:c r="P434" s="3" t="inlineStr">
        <x:is>
          <x:t/>
        </x:is>
      </x:c>
      <x:c r="Q434" s="3" t="inlineStr">
        <x:is>
          <x:t/>
        </x:is>
      </x:c>
    </x:row>
    <x:row r="435">
      <x:c r="A435" s="10" t="inlineStr">
        <x:f xml:space="preserve">HYPERLINK("http://sipi.sic.gov.co/sipi/View.ashx?4333551","SD2022/0088292")</x:f>
      </x:c>
      <x:c r="B435" s="3" t="inlineStr">
        <x:is>
          <x:t>Curativa</x:t>
        </x:is>
      </x:c>
      <x:c r="C435" s="9" t="inlineStr">
        <x:is>
          <x:t/>
        </x:is>
      </x:c>
      <x:c r="D435" s="3" t="inlineStr">
        <x:is>
          <x:t>28 ago. 2022</x:t>
        </x:is>
      </x:c>
      <x:c r="E435" s="3" t="inlineStr">
        <x:is>
          <x:t/>
        </x:is>
      </x:c>
      <x:c r="F435" s="3" t="inlineStr">
        <x:is>
          <x:t>Negada</x:t>
        </x:is>
      </x:c>
      <x:c r="G435" s="3" t="inlineStr">
        <x:is>
          <x:t>Curativa</x:t>
        </x:is>
      </x:c>
      <x:c r="H435" s="3" t="inlineStr">
        <x:is>
          <x:t>FRAN YUBER CORTES YEPES, CRA 40 # 64-76 VILLA HERMOSA, MEDELLIN, ANTIOQUIA, CO</x:t>
        </x:is>
      </x:c>
      <x:c r="I435" s="3" t="inlineStr">
        <x:is>
          <x:t>3</x:t>
        </x:is>
      </x:c>
      <x:c r="J435" s="3" t="inlineStr">
        <x:is>
          <x:t>11</x:t>
        </x:is>
      </x:c>
      <x:c r="K435" s="3" t="inlineStr">
        <x:is>
          <x:t>3. Bálsamos capilares, champús capilares, cremas capilares, decolorantes capilares, fijadores capilares, geles capilares, lociones capilares, brillos corporales, champús corporales, cremas corporales, desodorantes corporales, exfoliantes corporales, fragancias corporales, lociones corporales, mascarillas corporales, aceites faciales, brillos faciales, corrector facial, cremas faciales, emulsiones faciales, exfoliantes faciales, hidratantes faciales, jabones faciales, leches faciales, limpiadores faciales, lociones faciales, maquillajes faciales, mascarillas faciales, pintura facial, polvos faciales, tónicos faciales.
</x:t>
        </x:is>
      </x:c>
      <x:c r="L435" s="3" t="inlineStr">
        <x:is>
          <x:t>Sí</x:t>
        </x:is>
      </x:c>
      <x:c r="M435" s="3" t="inlineStr">
        <x:is>
          <x:t>santiago pinzon sosa, CARRERA 44 # 18 56 TORRE 1 INTERIOR 1013, MEDELLIN, ANTIOQUIA 050021, CO</x:t>
        </x:is>
      </x:c>
      <x:c r="N435" s="3" t="inlineStr">
        <x:is>
          <x:t/>
        </x:is>
      </x:c>
      <x:c r="O435" s="3" t="inlineStr">
        <x:is>
          <x:t>30 sept. 2022</x:t>
        </x:is>
      </x:c>
      <x:c r="P435" s="3" t="inlineStr">
        <x:is>
          <x:t/>
        </x:is>
      </x:c>
      <x:c r="Q435" s="3" t="inlineStr">
        <x:is>
          <x:t/>
        </x:is>
      </x:c>
    </x:row>
    <x:row r="436">
      <x:c r="A436" s="10" t="inlineStr">
        <x:f xml:space="preserve">HYPERLINK("http://sipi.sic.gov.co/sipi/View.ashx?4334752","SD2022/0088481")</x:f>
      </x:c>
      <x:c r="B436" s="3" t="inlineStr">
        <x:is>
          <x:t>ELUAN PERFUMERY</x:t>
        </x:is>
      </x:c>
      <x:c r="C436" s="9" t="inlineStr">
        <x:is>
          <x:t/>
        </x:is>
      </x:c>
      <x:c r="D436" s="3" t="inlineStr">
        <x:is>
          <x:t>29 ago. 2022</x:t>
        </x:is>
      </x:c>
      <x:c r="E436" s="3" t="inlineStr">
        <x:is>
          <x:t/>
        </x:is>
      </x:c>
      <x:c r="F436" s="3" t="inlineStr">
        <x:is>
          <x:t>Negada</x:t>
        </x:is>
      </x:c>
      <x:c r="G436" s="3" t="inlineStr">
        <x:is>
          <x:t>ELUAN PERFUMERY</x:t>
        </x:is>
      </x:c>
      <x:c r="H436" s="3" t="inlineStr">
        <x:is>
          <x:t>ESTEBAN LUJAN MEDINA, carrera 29 No. 29-31, MEDELLIN, ANTIOQUIA, CO</x:t>
        </x:is>
      </x:c>
      <x:c r="I436" s="3" t="inlineStr">
        <x:is>
          <x:t>3</x:t>
        </x:is>
      </x:c>
      <x:c r="J436" s="3" t="inlineStr">
        <x:is>
          <x:t>11</x:t>
        </x:is>
      </x:c>
      <x:c r="K436" s="3" t="inlineStr">
        <x:is>
          <x:t>3. Colonias, perfumes y productos cosméticos; menta para perfumería; perfumería para cosméticos; perfumería y fragancias; perfumes; perfumes líquidos; perfumes para uso industrial; perfumes sólidos; perfumes y aguas de colonia; perfumes y aguas de tocador; perfumes y colonias; perfumes, aguas de colonia y productos para después del afeitado;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x:t>
        </x:is>
      </x:c>
      <x:c r="L436" s="3" t="inlineStr">
        <x:is>
          <x:t>No</x:t>
        </x:is>
      </x:c>
      <x:c r="M436" s="3" t="inlineStr">
        <x:is>
          <x:t>xiomara calderin bernasconi, Av poblado No.5A 113 of 309, MEDELLIN, ANTIOQUIA, CO</x:t>
        </x:is>
      </x:c>
      <x:c r="N436" s="3" t="inlineStr">
        <x:is>
          <x:t/>
        </x:is>
      </x:c>
      <x:c r="O436" s="3" t="inlineStr">
        <x:is>
          <x:t>09 sept. 2022</x:t>
        </x:is>
      </x:c>
      <x:c r="P436" s="3" t="inlineStr">
        <x:is>
          <x:t/>
        </x:is>
      </x:c>
      <x:c r="Q436" s="3" t="inlineStr">
        <x:is>
          <x:t/>
        </x:is>
      </x:c>
    </x:row>
    <x:row r="437">
      <x:c r="A437" s="10" t="inlineStr">
        <x:f xml:space="preserve">HYPERLINK("http://sipi.sic.gov.co/sipi/View.ashx?4334925","SD2022/0088506")</x:f>
      </x:c>
      <x:c r="B437" s="3" t="inlineStr">
        <x:is>
          <x:t>CAFÉ Salvaje</x:t>
        </x:is>
      </x:c>
      <x:c r="C437" s="9" t="inlineStr">
        <x:is>
          <x:t/>
        </x:is>
      </x:c>
      <x:c r="D437" s="3" t="inlineStr">
        <x:is>
          <x:t>02 sept. 2022</x:t>
        </x:is>
      </x:c>
      <x:c r="E437" s="3" t="inlineStr">
        <x:is>
          <x:t/>
        </x:is>
      </x:c>
      <x:c r="F437" s="3" t="inlineStr">
        <x:is>
          <x:t>Negada</x:t>
        </x:is>
      </x:c>
      <x:c r="G437" s="3" t="inlineStr">
        <x:is>
          <x:t/>
        </x:is>
      </x:c>
      <x:c r="H437" s="3" t="inlineStr">
        <x:is>
          <x:t> GRUPO CAOFFE AND BEAUTY SAS, Carrera 53 #104b93, BOGOTÁ, D.C. 111111, CO</x:t>
        </x:is>
      </x:c>
      <x:c r="I437" s="3" t="inlineStr">
        <x:is>
          <x:t>3</x:t>
        </x:is>
      </x:c>
      <x:c r="J437" s="3" t="inlineStr">
        <x:is>
          <x:t>11</x:t>
        </x:is>
      </x:c>
      <x:c r="K437" s="3" t="inlineStr">
        <x:is>
          <x:t>3. Preparaciones para blanquear y otras sustancias para lavar la ropa; preparaciones para limpiar, pulir, desengrasar y raspar; jabones no medicinales; productos de perfumería, aceites esenciales, cosméticos no medicinales, lociones capilares no medicinales; aceite de almendras; aceite de jazmín; aceite de lavanda; aceite de rosas; aceites de limpieza; aceites de tocador; aceites de perfumería / aceites para perfumes y fragancias; aceites esenciales / aceites etéreos; aceites esenciales de limón; aceites para uso cosmético; aceites esenciales para aromaterapia; acondicionadores para el cabello; agua de Colonia; agua de lavanda; agua micelar; aguas de tocador; aguas perfumadas; aromas [aceites esenciales]; bálsamos que no sean para uso médico; basma [tinte para uso cosmético]; Productos para dar brillo; brillos de labios; champús en seco*; champús*; colorantes de tocador / tintes de tocador; colorantes para el cabello / tintes para el cabello; conservantes para el cuero [betunes]; cosméticos; cosméticos para las cejas; CLASE 3; cosméticos para pestañas; productos cosméticos para el cuidado de la piel; productos cosméticos para niños; crema para aclarar la piel; cremas cosméticas; cremas a base de aceites esenciales para aromaterapia; decolorantes para uso cosmético; productos depilatorios / depilatorios; desmaquilladores; desodorantes para personas o animales [productos de perfumería]; esencia de menta [aceite esencial]; extractos de flores [productos de perfumería]; extractos de plantas para uso cosmético; jabón de afeitar; jabón de almendras; jabones antitranspirantes; jabones antitranspirantes para los pies; jabones desodorantes; jabones*; jalea de petróleo para uso cosmético; lacas para el cabello; lápices de labios [pintalabios] / pintalabios; lápices para uso cosmético; leche de almendras para uso cosmético; leches limpiadoras de tocador; lociones capilares*; lociones para después del afeitado; lociones para uso cosmético; maderas aromáticas; maquillaje; productos de maquillaje; mascarillas de belleza; menta para perfumería; motivos decorativos para uso cosmético / calcomanías decorativas para uso cosmético; neceseres de cosmética; perfumes; productos de perfumería; productos para perfumar la ropa / bolsitas para perfumar la ropa; productos para perfumar el ambiente; polvos de maquillaje; pomadas para uso cosmético; preparaciones con filtro solar; preparaciones cosméticas para el baño; preparaciones cosméticas para el bronceado de la piel; preparaciones de aloe vera para uso cosmético; preparaciones de colágeno para uso cosmético; preparaciones de higiene personal para refrescar el aliento; preparaciones de tocador*; preparaciones de lavandería; preparaciones fito-cosméticas; preparaciones para alisar el cabello; preparaciones para ondular el cabello; preparaciones para pulir; sales de baño que no sean para uso médico; sellos cosméticos, llenos; soda [cenizas] para limpiar / sosa [cenizas] para limpiar; talco de tocador; té de baño para uso cosmético; tintes cosméticos; terpenos [aceites esenciales]; tintes para la barba; toallitas impregnadas de lociones cosméticas; toallitas impregnadas de preparaciones desmaquillan; toallitas para bebés impregnadas de preparaciones de limpieza; tónicos para uso cosmético; velas de masaje para uso cosmético.
</x:t>
        </x:is>
      </x:c>
      <x:c r="L437" s="3" t="inlineStr">
        <x:is>
          <x:t>Sí</x:t>
        </x:is>
      </x:c>
      <x:c r="M437" s="3" t="inlineStr">
        <x:is>
          <x:t>Lised Viviana Pimentel Rodriguez , Carrera 53 #104b93, BOGOTÁ, D.C. 111111, CO</x:t>
        </x:is>
      </x:c>
      <x:c r="N437" s="3" t="inlineStr">
        <x:is>
          <x:t/>
        </x:is>
      </x:c>
      <x:c r="O437" s="3" t="inlineStr">
        <x:is>
          <x:t>27 feb. 2023</x:t>
        </x:is>
      </x:c>
      <x:c r="P437" s="3" t="inlineStr">
        <x:is>
          <x:t/>
        </x:is>
      </x:c>
      <x:c r="Q437" s="3" t="inlineStr">
        <x:is>
          <x:t/>
        </x:is>
      </x:c>
    </x:row>
    <x:row r="438">
      <x:c r="A438" s="10" t="inlineStr">
        <x:f xml:space="preserve">HYPERLINK("http://sipi.sic.gov.co/sipi/View.ashx?4337306","SD2022/0089005")</x:f>
      </x:c>
      <x:c r="B438" s="3" t="inlineStr">
        <x:is>
          <x:t>H HANÁBI</x:t>
        </x:is>
      </x:c>
      <x:c r="C438" s="9" t="inlineStr">
        <x:is>
          <x:t/>
        </x:is>
      </x:c>
      <x:c r="D438" s="3" t="inlineStr">
        <x:is>
          <x:t>30 ago. 2022</x:t>
        </x:is>
      </x:c>
      <x:c r="E438" s="3" t="inlineStr">
        <x:is>
          <x:t/>
        </x:is>
      </x:c>
      <x:c r="F438" s="3" t="inlineStr">
        <x:is>
          <x:t>Negada</x:t>
        </x:is>
      </x:c>
      <x:c r="G438" s="3" t="inlineStr">
        <x:is>
          <x:t/>
        </x:is>
      </x:c>
      <x:c r="H438" s="3" t="inlineStr">
        <x:is>
          <x:t> CRISTALAGRO SAS , Carrera 46 # 50-63. Piso 7, , MEDELLIN, ANTIOQUIA, CO</x:t>
        </x:is>
      </x:c>
      <x:c r="I438" s="3" t="inlineStr">
        <x:is>
          <x:t>3</x:t>
        </x:is>
      </x:c>
      <x:c r="J438" s="3" t="inlineStr">
        <x:is>
          <x:t>11</x:t>
        </x:is>
      </x:c>
      <x:c r="K438" s="3" t="inlineStr">
        <x:is>
          <x:t>3. CREMAS COSMÉTICAS; CREMAS FACIALES Y CORPORALES; CREMAS HIDRATANTES; CREMAS REPARADORAS; CREMA PARA ACLARAR LA PIEL; CREMAS A BASE DE ACEITES ESENCIALES; CREMAS PARA EL CUIDADO DE LA PIEL; CREMAS EXFOLIANTES; CREMAS FRÍAS Y CALIENTES; LOCIONES CORPORALES MENTOLADAS; CREMA PARA LAS MANOS; BÁLSAMOS [CREMAS]; BLOQUEADOR SOLAR [COSMÉTICOS]; MASCARILLAS DE BELLEZA; SERUM; COSMÉTICOS PARA EL CABELLO; CHAMPÚS; CERAS PARA EL CABELLO; ACONDICIONADORES DE CABELLO; ACEITE PARA EL PEINADO DEL CABELLO; ACEITES COSMÉTICOS; BÁLSAMOS CAPILARES; CREMAS CAPILARES; LOCIONES CAPILARES; PREPARACIONES CAPILARES; JABONES; JABONES COSMÉTICOS; JABONES EN FORMA LÍQUIDA, SÓLIDA O DE GEL; JABONES DESODORANTES; JABONES FACIALES Y CORPORALES; JABONES PARA LAS MANOS, EL ROSTRO Y EL CUERPO; KITS DE COSMÉTICOS QUE CONTIENEN PRINCIPALMENTE MÁSCARA DE PESTAÑAS, LÁPICES DE LABIOS Y LÁPICES DE CEJAS; MAQUILLAJE; ACEITES ESENCIALES, PRODUCTOS DE PERFUMERÍA; UNGÜENTOS.
</x:t>
        </x:is>
      </x:c>
      <x:c r="L438" s="3" t="inlineStr">
        <x:is>
          <x:t>No</x:t>
        </x:is>
      </x:c>
      <x:c r="M438" s="3" t="inlineStr">
        <x:is>
          <x:t>ANDRES MARQUEZ ACOSTA, Carrera 43 A 5A 113 torre sur piso 14, MEDELLIN, ANTIOQUIA, CO</x:t>
        </x:is>
      </x:c>
      <x:c r="N438" s="3" t="inlineStr">
        <x:is>
          <x:t/>
        </x:is>
      </x:c>
      <x:c r="O438" s="3" t="inlineStr">
        <x:is>
          <x:t>08 nov. 2022</x:t>
        </x:is>
      </x:c>
      <x:c r="P438" s="3" t="inlineStr">
        <x:is>
          <x:t/>
        </x:is>
      </x:c>
      <x:c r="Q438" s="3" t="inlineStr">
        <x:is>
          <x:t/>
        </x:is>
      </x:c>
    </x:row>
    <x:row r="439">
      <x:c r="A439" s="10" t="inlineStr">
        <x:f xml:space="preserve">HYPERLINK("http://sipi.sic.gov.co/sipi/View.ashx?4337542","SD2022/0089115")</x:f>
      </x:c>
      <x:c r="B439" s="3" t="inlineStr">
        <x:is>
          <x:t>Lupe cosmeticos</x:t>
        </x:is>
      </x:c>
      <x:c r="C439" s="9" t="inlineStr">
        <x:is>
          <x:t/>
        </x:is>
      </x:c>
      <x:c r="D439" s="3" t="inlineStr">
        <x:is>
          <x:t>30 ago. 2022</x:t>
        </x:is>
      </x:c>
      <x:c r="E439" s="3" t="inlineStr">
        <x:is>
          <x:t/>
        </x:is>
      </x:c>
      <x:c r="F439" s="3" t="inlineStr">
        <x:is>
          <x:t>Negada</x:t>
        </x:is>
      </x:c>
      <x:c r="G439" s="3" t="inlineStr">
        <x:is>
          <x:t>1075274771</x:t>
        </x:is>
      </x:c>
      <x:c r="H439" s="3" t="inlineStr">
        <x:is>
          <x:t>luisa fernanda  zuñiga cordoba , calle 9 No. 13a-33, MOSQUERA, CUNDINAMARCA, CO</x:t>
        </x:is>
      </x:c>
      <x:c r="I439" s="3" t="inlineStr">
        <x:is>
          <x:t>3</x:t>
        </x:is>
      </x:c>
      <x:c r="J439" s="3" t="inlineStr">
        <x:is>
          <x:t>11</x:t>
        </x:is>
      </x:c>
      <x:c r="K439" s="3" t="inlineStr">
        <x:is>
          <x:t>3. Bálsamos capilares.
</x:t>
        </x:is>
      </x:c>
      <x:c r="L439" s="3" t="inlineStr">
        <x:is>
          <x:t>No</x:t>
        </x:is>
      </x:c>
      <x:c r="M439" s="3" t="inlineStr">
        <x:is>
          <x:t>JULIANA GONZÁLEZ GONZÁLEZ, CALLE 66 No.11- 50 OFIC 416, BOGOTÁ, D.C., CO</x:t>
        </x:is>
      </x:c>
      <x:c r="N439" s="3" t="inlineStr">
        <x:is>
          <x:t/>
        </x:is>
      </x:c>
      <x:c r="O439" s="3" t="inlineStr">
        <x:is>
          <x:t>16 feb. 2023</x:t>
        </x:is>
      </x:c>
      <x:c r="P439" s="3" t="inlineStr">
        <x:is>
          <x:t/>
        </x:is>
      </x:c>
      <x:c r="Q439" s="3" t="inlineStr">
        <x:is>
          <x:t/>
        </x:is>
      </x:c>
    </x:row>
    <x:row r="440">
      <x:c r="A440" s="10" t="inlineStr">
        <x:f xml:space="preserve">HYPERLINK("http://sipi.sic.gov.co/sipi/View.ashx?4339719","SD2022/0089564")</x:f>
      </x:c>
      <x:c r="B440" s="3" t="inlineStr">
        <x:is>
          <x:t>Fin Orín</x:t>
        </x:is>
      </x:c>
      <x:c r="C440" s="9" t="inlineStr">
        <x:is>
          <x:t/>
        </x:is>
      </x:c>
      <x:c r="D440" s="3" t="inlineStr">
        <x:is>
          <x:t>31 ago. 2022</x:t>
        </x:is>
      </x:c>
      <x:c r="E440" s="3" t="inlineStr">
        <x:is>
          <x:t/>
        </x:is>
      </x:c>
      <x:c r="F440" s="3" t="inlineStr">
        <x:is>
          <x:t>Negada</x:t>
        </x:is>
      </x:c>
      <x:c r="G440" s="3" t="inlineStr">
        <x:is>
          <x:t/>
        </x:is>
      </x:c>
      <x:c r="H440" s="3" t="inlineStr">
        <x:is>
          <x:t> SM MARKEN GMBH, Baarerstrasse 8, 6300 Zug, ZUG, ZUG, CH</x:t>
        </x:is>
      </x:c>
      <x:c r="I440" s="3" t="inlineStr">
        <x:is>
          <x:t>3</x:t>
        </x:is>
      </x:c>
      <x:c r="J440" s="3" t="inlineStr">
        <x:is>
          <x:t>11</x:t>
        </x:is>
      </x:c>
      <x:c r="K440" s="3" t="inlineStr">
        <x:is>
          <x:t>3. Preparaciones para limpiar.
</x:t>
        </x:is>
      </x:c>
      <x:c r="L440" s="3" t="inlineStr">
        <x:is>
          <x:t>No</x:t>
        </x:is>
      </x:c>
      <x:c r="M440" s="3" t="inlineStr">
        <x:is>
          <x:t>CAMILO JAVIER GOMEZ RIVEROS, Carrera 11 No. 86-32 OFC. 603, BOGOTÁ, D.C., CO</x:t>
        </x:is>
      </x:c>
      <x:c r="N440" s="3" t="inlineStr">
        <x:is>
          <x:t/>
        </x:is>
      </x:c>
      <x:c r="O440" s="3" t="inlineStr">
        <x:is>
          <x:t>18 nov. 2022</x:t>
        </x:is>
      </x:c>
      <x:c r="P440" s="3" t="inlineStr">
        <x:is>
          <x:t/>
        </x:is>
      </x:c>
      <x:c r="Q440" s="3" t="inlineStr">
        <x:is>
          <x:t/>
        </x:is>
      </x:c>
    </x:row>
    <x:row r="441">
      <x:c r="A441" s="10" t="inlineStr">
        <x:f xml:space="preserve">HYPERLINK("http://sipi.sic.gov.co/sipi/View.ashx?4341600","SD2022/0090247")</x:f>
      </x:c>
      <x:c r="B441" s="3" t="inlineStr">
        <x:is>
          <x:t>CPC MEICY´S</x:t>
        </x:is>
      </x:c>
      <x:c r="C441" s="3" t="inlineStr">
        <x:is>
          <x:t/>
        </x:is>
      </x:c>
      <x:c r="D441" s="3" t="inlineStr">
        <x:is>
          <x:t>01 sept. 2022</x:t>
        </x:is>
      </x:c>
      <x:c r="E441" s="3" t="inlineStr">
        <x:is>
          <x:t/>
        </x:is>
      </x:c>
      <x:c r="F441" s="3" t="inlineStr">
        <x:is>
          <x:t>Negada</x:t>
        </x:is>
      </x:c>
      <x:c r="G441" s="3" t="inlineStr">
        <x:is>
          <x:t>F734</x:t>
        </x:is>
      </x:c>
      <x:c r="H441" s="3" t="inlineStr">
        <x:is>
          <x:t> IMPROBELL SOCIEDAD POR ACCIONES SIMPLIFICADA - IMPROBELL S.A.S., CALLE 23G NO. 111 - 63, BOGOTÁ, D.C., CO</x:t>
        </x:is>
      </x:c>
      <x:c r="I441" s="3" t="inlineStr">
        <x:is>
          <x:t>3</x:t>
        </x:is>
      </x:c>
      <x:c r="J441" s="3" t="inlineStr">
        <x:is>
          <x:t>11</x:t>
        </x:is>
      </x:c>
      <x:c r="K441" s="3" t="inlineStr">
        <x:is>
          <x:t>3. Cosméticos, Jabones, productos de perfumería, aceites esenciales, champú, acondicionadores, mascarillas cosméticas, lociones capilares cosméticas; cremas para el cuerpo y la cara, cremas para masajes corporales, faciales y capilares, tónicos y limpiadores faciales, emulsiones corporales, faciales y capilares, lociones, esmaltes para uñas, tratamientos cosméticos para fortalecer las uñas, preparaciones para tratamientos capilares.
</x:t>
        </x:is>
      </x:c>
      <x:c r="L441" s="3" t="inlineStr">
        <x:is>
          <x:t>No</x:t>
        </x:is>
      </x:c>
      <x:c r="M441" s="3" t="inlineStr">
        <x:is>
          <x:t>MARTHA AMPARO FONSECA FIERRO, CRA 7 No. 17-01 Oficina 435, BOGOTÁ, D.C., CO</x:t>
        </x:is>
      </x:c>
      <x:c r="N441" s="3" t="inlineStr">
        <x:is>
          <x:t/>
        </x:is>
      </x:c>
      <x:c r="O441" s="3" t="inlineStr">
        <x:is>
          <x:t>11 oct. 2022</x:t>
        </x:is>
      </x:c>
      <x:c r="P441" s="3" t="inlineStr">
        <x:is>
          <x:t/>
        </x:is>
      </x:c>
      <x:c r="Q441" s="3" t="inlineStr">
        <x:is>
          <x:t/>
        </x:is>
      </x:c>
    </x:row>
    <x:row r="442">
      <x:c r="A442" s="10" t="inlineStr">
        <x:f xml:space="preserve">HYPERLINK("http://sipi.sic.gov.co/sipi/View.ashx?4341737","SD2022/0090251")</x:f>
      </x:c>
      <x:c r="B442" s="3" t="inlineStr">
        <x:is>
          <x:t>CORINTO FLOWER</x:t>
        </x:is>
      </x:c>
      <x:c r="C442" s="3" t="inlineStr">
        <x:is>
          <x:t/>
        </x:is>
      </x:c>
      <x:c r="D442" s="3" t="inlineStr">
        <x:is>
          <x:t>01 sept. 2022</x:t>
        </x:is>
      </x:c>
      <x:c r="E442" s="3" t="inlineStr">
        <x:is>
          <x:t/>
        </x:is>
      </x:c>
      <x:c r="F442" s="3" t="inlineStr">
        <x:is>
          <x:t>Negada</x:t>
        </x:is>
      </x:c>
      <x:c r="G442" s="3" t="inlineStr">
        <x:is>
          <x:t/>
        </x:is>
      </x:c>
      <x:c r="H442" s="3" t="inlineStr">
        <x:is>
          <x:t> NEW TECHNOLOGY SERVICES S.A.S., KR 65 # 5 - 34, CALI, VALLE DEL CAUCA, CO</x:t>
        </x:is>
      </x:c>
      <x:c r="I442" s="3" t="inlineStr">
        <x:is>
          <x:t>3</x:t>
        </x:is>
      </x:c>
      <x:c r="J442" s="3" t="inlineStr">
        <x:is>
          <x:t>11</x:t>
        </x:is>
      </x:c>
      <x:c r="K442" s="3" t="inlineStr">
        <x:is>
          <x:t>3. Aceites cosméticos; colonias, perfumes y productos cosméticos; cosméticos; cosméticos biológicos; cosméticos de belleza; cosméticos ecológicos; cosméticos naturales; cremas con vitamina a para uso cosmético.
</x:t>
        </x:is>
      </x:c>
      <x:c r="L442" s="3" t="inlineStr">
        <x:is>
          <x:t>No</x:t>
        </x:is>
      </x:c>
      <x:c r="M442" s="3" t="inlineStr">
        <x:is>
          <x:t>AIDA LUCIA CERTUCHE CANDELO, CL 64N 5BN 145 OF 314A, CALI, VALLE DEL CAUCA, CO</x:t>
        </x:is>
      </x:c>
      <x:c r="N442" s="3" t="inlineStr">
        <x:is>
          <x:t/>
        </x:is>
      </x:c>
      <x:c r="O442" s="3" t="inlineStr">
        <x:is>
          <x:t>11 oct. 2022</x:t>
        </x:is>
      </x:c>
      <x:c r="P442" s="3" t="inlineStr">
        <x:is>
          <x:t/>
        </x:is>
      </x:c>
      <x:c r="Q442" s="3" t="inlineStr">
        <x:is>
          <x:t/>
        </x:is>
      </x:c>
    </x:row>
    <x:row r="443">
      <x:c r="A443" s="10" t="inlineStr">
        <x:f xml:space="preserve">HYPERLINK("http://sipi.sic.gov.co/sipi/View.ashx?4342547","SD2022/0090529")</x:f>
      </x:c>
      <x:c r="B443" s="3" t="inlineStr">
        <x:is>
          <x:t>ZONO</x:t>
        </x:is>
      </x:c>
      <x:c r="C443" s="3" t="inlineStr">
        <x:is>
          <x:t/>
        </x:is>
      </x:c>
      <x:c r="D443" s="3" t="inlineStr">
        <x:is>
          <x:t>01 sept. 2022</x:t>
        </x:is>
      </x:c>
      <x:c r="E443" s="3" t="inlineStr">
        <x:is>
          <x:t/>
        </x:is>
      </x:c>
      <x:c r="F443" s="3" t="inlineStr">
        <x:is>
          <x:t>Negada</x:t>
        </x:is>
      </x:c>
      <x:c r="G443" s="3" t="inlineStr">
        <x:is>
          <x:t/>
        </x:is>
      </x:c>
      <x:c r="H443" s="3" t="inlineStr">
        <x:is>
          <x:t> LABORATORIOS FERRINI S.A.I.C.I, cochamba 1550, CIUDAD AUTONOMA DE BUENOS AIRES, CIUDAD AUTONOMA, AR</x:t>
        </x:is>
      </x:c>
      <x:c r="I443" s="3" t="inlineStr">
        <x:is>
          <x:t>3</x:t>
        </x:is>
      </x:c>
      <x:c r="J443" s="3" t="inlineStr">
        <x:is>
          <x:t>11</x:t>
        </x:is>
      </x:c>
      <x:c r="K443" s="3" t="inlineStr">
        <x:is>
          <x:t>3. ACEITE PARA EL BRONCEADO; ACEITES BRONCEADORES; ACEITES BRONCEADORES COSMETICOS; ACEITES BRONCEADORES DE USO COSMETICO; ACEITES DE PANTALLA SOLAR COSMETICOS; ACEITES PARA BRONCEADO COSMETICOS; ACEITES PARA DESPUES DEL SOL COSMETICOS; ACEITES PARA HIDRATAR LA PIEL TRAS UN BAÑO DE SOL; BARRAS DE LABIOS CON PROTECCION SOLAR COSMETICOS; BARRAS PARA APLICAR PROTECTOR SOLAR; BASES NEUTRALIZANTES PARA LABIOS; BRONCEADORES; BRONCEADORES SOLARES; CREMAS BRONCEADORAS; CREMAS CON FILTRO SOLAR; CREMAS CON FILTRO SOLAR PARA USO COSMETICO; CREMAS DE AUTOBRONCEADO; CREMAS DE PROTECCION SOLAR; CREMAS PROTECTORAS; CREMAS Y LOCIONES BRONCEADORAS; GEL BRONCEADOR; GELES PARA DESPUES DEL SOL COSMETICOS; HIDRATANTES PARA DESPUES DEL SOL; LOCIONES AUTOBRONCEADORAS COSMETICOS; LOCIONES CON FILTRO SOLAR PARA USO COSMETICO; LOCIONES COSMETICAS PARA EL BRONCEADO DE LA PIEL; LOCIONES DE PROTECCION SOLAR; LOCIONES DE PROTECCION SOLAR PARA USO COSMETICO; LOCIONES PARA DESPUES DEL SOL; MANTECA DE CACAO CON UNA FINALIDAD COSMETICA; PREPARACIONES CON FILTRO SOLAR; PREPARACIONES COSMETICAS DE PROTECCION SOLAR; PREPARACIONES DE PROTECCION SOLAR COSMETICOS; PREPARACIONES PARA BRONCEADO ARTIFICIAL; PREPARACIONES PARA EL BRONCEADO DE LA PIEL; PREPARADOS COSMETICOS PARA EL BRONCEADO DE LA PIEL PRODUCTOS ANTISOLARES; PRODUCTOS CON FILTRO SOLAR; PRODUCTOS CON PANTALLA SOLAR; PRODUCTOS COSMETICOS EN FORMA DE AEROSOLES PARA EL CUIDADO DE LA PIEL; PRODUCTOS COSMETICOS SOLARES; PRODUCTOS DE PROTECCION SOLAR; PRODUCTOS PARA DESPUES DEL BRONCEADO PARA USO COSMETICO; PROTECTORES DE LABIOS COSMETICOS; PROTECTORES SOLARES CON FACTOR DE PROTECCION EN FORMA DE SPRAYS; PROTECTORES SOLARES PARA BEBES; PROTECTORES SOLARES PARA LOS LABIOS COSMETICOS; PROTECTORES SOLARES RESISTENTES AL AGUA.
</x:t>
        </x:is>
      </x:c>
      <x:c r="L443" s="3" t="inlineStr">
        <x:is>
          <x:t>Sí</x:t>
        </x:is>
      </x:c>
      <x:c r="M443" s="3" t="inlineStr">
        <x:is>
          <x:t>ANDRÉS FELIPE ZAPATA OCAMPO, Crr 11 # 86 -32 Ofc 602, BOGOTÁ, D.C., CO</x:t>
        </x:is>
      </x:c>
      <x:c r="N443" s="3" t="inlineStr">
        <x:is>
          <x:t/>
        </x:is>
      </x:c>
      <x:c r="O443" s="3" t="inlineStr">
        <x:is>
          <x:t>11 oct. 2022</x:t>
        </x:is>
      </x:c>
      <x:c r="P443" s="3" t="inlineStr">
        <x:is>
          <x:t/>
        </x:is>
      </x:c>
      <x:c r="Q443" s="3" t="inlineStr">
        <x:is>
          <x:t/>
        </x:is>
      </x:c>
    </x:row>
    <x:row r="444">
      <x:c r="A444" s="10" t="inlineStr">
        <x:f xml:space="preserve">HYPERLINK("http://sipi.sic.gov.co/sipi/View.ashx?4344462","SD2022/0090954")</x:f>
      </x:c>
      <x:c r="B444" s="3" t="inlineStr">
        <x:is>
          <x:t>EELHOE</x:t>
        </x:is>
      </x:c>
      <x:c r="C444" s="3" t="inlineStr">
        <x:is>
          <x:t/>
        </x:is>
      </x:c>
      <x:c r="D444" s="3" t="inlineStr">
        <x:is>
          <x:t>03 sept. 2022</x:t>
        </x:is>
      </x:c>
      <x:c r="E444" s="3" t="inlineStr">
        <x:is>
          <x:t/>
        </x:is>
      </x:c>
      <x:c r="F444" s="3" t="inlineStr">
        <x:is>
          <x:t>Negada</x:t>
        </x:is>
      </x:c>
      <x:c r="G444" s="3" t="inlineStr">
        <x:is>
          <x:t>Proceso de Registro de Marca EELHOE</x:t>
        </x:is>
      </x:c>
      <x:c r="H444" s="3" t="inlineStr">
        <x:is>
          <x:t>DUVAN ALEXANDER GIRALDO GÓMEZ, CARRERA 53 # 45-50 PISO 11. BODEGA 1109, MEDELLIN, ANTIOQUIA, CO</x:t>
        </x:is>
      </x:c>
      <x:c r="I444" s="3" t="inlineStr">
        <x:is>
          <x:t>3, 5</x:t>
        </x:is>
      </x:c>
      <x:c r="J444" s="3" t="inlineStr">
        <x:is>
          <x:t>11</x:t>
        </x:is>
      </x:c>
      <x:c r="K444" s="3" t="inlineStr">
        <x:is>
          <x:t>3. Preparaciones para blanquear y otras sustancias para lavar la ropa; preparaciones para limpiar, pulir, desengrasar y raspar; jabones no medicinales; productos de perfumería, aceites esenciales, cosméticos no medicinales, lociones capilares no medicinales; cremas blanqueadoras para los dientes; geles de limpieza para los dientes; geles para la limpieza de los dientes; pasta de dientes fácil de ingerir; pastas de dientes no medicinales; pastas de dientes*; pastas para blanquear los dientes; preparados blanqueadores de dientes.
5. Productos farmacéuticos, preparaciones para uso médico y veterinario; productos higiénicos y sanitarios para uso médico; preparaciones dermocosméticas.
</x:t>
        </x:is>
      </x:c>
      <x:c r="L444" s="3" t="inlineStr">
        <x:is>
          <x:t>No</x:t>
        </x:is>
      </x:c>
      <x:c r="M444" s="3" t="inlineStr">
        <x:is>
          <x:t>RODRIGO  VANEGAS GAVIRIA, CALLE 52 # 47-28 OF.329, MEDELLIN, ANTIOQUIA 050001, CO</x:t>
        </x:is>
      </x:c>
      <x:c r="N444" s="3" t="inlineStr">
        <x:is>
          <x:t/>
        </x:is>
      </x:c>
      <x:c r="O444" s="3" t="inlineStr">
        <x:is>
          <x:t>08 nov. 2022</x:t>
        </x:is>
      </x:c>
      <x:c r="P444" s="3" t="inlineStr">
        <x:is>
          <x:t/>
        </x:is>
      </x:c>
      <x:c r="Q444" s="3" t="inlineStr">
        <x:is>
          <x:t/>
        </x:is>
      </x:c>
    </x:row>
    <x:row r="445">
      <x:c r="A445" s="10" t="inlineStr">
        <x:f xml:space="preserve">HYPERLINK("http://sipi.sic.gov.co/sipi/View.ashx?4345827","SD2022/0091462")</x:f>
      </x:c>
      <x:c r="B445" s="3" t="inlineStr">
        <x:is>
          <x:t>DO RE MILAGROS PERFUMERIA SONORA </x:t>
        </x:is>
      </x:c>
      <x:c r="C445" s="9" t="inlineStr">
        <x:is>
          <x:t/>
        </x:is>
      </x:c>
      <x:c r="D445" s="3" t="inlineStr">
        <x:is>
          <x:t>05 sept. 2022</x:t>
        </x:is>
      </x:c>
      <x:c r="E445" s="3" t="inlineStr">
        <x:is>
          <x:t/>
        </x:is>
      </x:c>
      <x:c r="F445" s="3" t="inlineStr">
        <x:is>
          <x:t>Negada</x:t>
        </x:is>
      </x:c>
      <x:c r="G445" s="3" t="inlineStr">
        <x:is>
          <x:t>DO RE MILAGROS PERFUMERIA SONORA </x:t>
        </x:is>
      </x:c>
      <x:c r="H445" s="3" t="inlineStr">
        <x:is>
          <x:t> PERFUMERIA 3MILAGROS S.A.S., Carrera 43 B No 31 - 41, RIONEGRO, ANTIOQUIA, CO</x:t>
        </x:is>
      </x:c>
      <x:c r="I445" s="3" t="inlineStr">
        <x:is>
          <x:t>3, 35</x:t>
        </x:is>
      </x:c>
      <x:c r="J445" s="3" t="inlineStr">
        <x:is>
          <x:t>11</x:t>
        </x:is>
      </x:c>
      <x:c r="K445" s="3" t="inlineStr">
        <x:is>
          <x:t>3. Aceites de perfumería; aceites para perfumes y fragancias; agua de perfume; almizcle [producto de perfumería]; bases para perfumes de flores; colonias, perfumes y productos cosméticos; desodorantes corporales [perfumería]; desodorantes corporales [productos de perfumería]; extractos de flores en cuanto perfumes; fragancias y productos de perfumería; iononas [productos de perfumería]; mezclas de perfumería; perfumería para cosméticos; perfumería y fragancias; perfumes; perfumes líquidos; perfumes para uso industrial; perfumes sólidos; perfumes y aguas de colonia; perfumes y aguas de tocador; perfumes y colonias; preparaciones ambientadoras (perfumes); productos de perfumería; productos de perfumería y productos de fragancias; productos de perfumería, aceites esenciales.
35. Investigación de marketing en el ámbito de los productos cosméticos, la perfumería y los productos de belleza; servicios de agencia de ventas de aceites esenciales para la perfumería; servicios de publicidad en relación con productos de perfumería; agencias de importación y exportación; agencias de importación y exportación de mercancías; agencias de importación y exportación de productos; agencias de importación-exportación; servicios de agencias de exportación; servicios de agencias de importación-exportación; servicios de agencias de importación-exportación de productos; servicios de asesoramiento y consultoría en relación con agencias de importación y exportación; administración comercial para tramitar ventas realizadas por internet; gestión de ventas; promoción de ventas; publicidad y promoción de ventas de productos y servicios; publicidad y promoción de ventas de productos y servicios disponibles en línea; publicidad y promoción de ventas sobre productos y servicios; servicios de tiendas de venta al por mayor y al por menor; servicios de tiendas de venta al por menor o al por mayor; servicios de tiendas de venta al por menor y al por mayor; servicios de tiendas de venta mayorista o minorista; compra de productos y servicios para otras empresas; negociación de contratos en relación con la compra y la venta de productos; obtención de contratos para la compra y la venta de productos y servicios; organización de compras colectivas; preparación de contratos de compra y de venta de productos y servicios, para terceros; promoción de ventas en puntos de compra o de venta, para terceros; servicios de agencias de compra; servicios de pedidos de compra al por mayor; servicios de pedidos de compra en línea; suministro de leads de marketing para posibles compradores; suministro de leads de venta para posibles compradores; tramitación administrativa de pedidos de compra.
</x:t>
        </x:is>
      </x:c>
      <x:c r="L445" s="3" t="inlineStr">
        <x:is>
          <x:t>Sí</x:t>
        </x:is>
      </x:c>
      <x:c r="M445" s="3" t="inlineStr">
        <x:is>
          <x:t>JOHN ANDERSON RESTREPO CARDONA, Calle 19 # 33 - 27, MEDELLIN, ANTIOQUIA, CO</x:t>
        </x:is>
      </x:c>
      <x:c r="N445" s="3" t="inlineStr">
        <x:is>
          <x:t/>
        </x:is>
      </x:c>
      <x:c r="O445" s="3" t="inlineStr">
        <x:is>
          <x:t>09 sept. 2022</x:t>
        </x:is>
      </x:c>
      <x:c r="P445" s="3" t="inlineStr">
        <x:is>
          <x:t/>
        </x:is>
      </x:c>
      <x:c r="Q445" s="3" t="inlineStr">
        <x:is>
          <x:t/>
        </x:is>
      </x:c>
    </x:row>
    <x:row r="446">
      <x:c r="A446" s="10" t="inlineStr">
        <x:f xml:space="preserve">HYPERLINK("http://sipi.sic.gov.co/sipi/View.ashx?4346076","SD2022/0091345")</x:f>
      </x:c>
      <x:c r="B446" s="3" t="inlineStr">
        <x:is>
          <x:t>ECORÍ NATURAL HAIR CARE</x:t>
        </x:is>
      </x:c>
      <x:c r="C446" s="9" t="inlineStr">
        <x:is>
          <x:t/>
        </x:is>
      </x:c>
      <x:c r="D446" s="3" t="inlineStr">
        <x:is>
          <x:t>05 sept. 2022</x:t>
        </x:is>
      </x:c>
      <x:c r="E446" s="3" t="inlineStr">
        <x:is>
          <x:t/>
        </x:is>
      </x:c>
      <x:c r="F446" s="3" t="inlineStr">
        <x:is>
          <x:t>Negada</x:t>
        </x:is>
      </x:c>
      <x:c r="G446" s="3" t="inlineStr">
        <x:is>
          <x:t/>
        </x:is>
      </x:c>
      <x:c r="H446" s="3" t="inlineStr">
        <x:is>
          <x:t>Silvia Fernanda Cordoba Ortega, Cll 43 #111-45 apto 402d Entreverdes, CALI, VALLE DEL CAUCA, CO; Isabela  Guzmán Ríos, Cll 43 #111-45 apto 402d Entreverdes, CALI, VALLE DEL CAUCA, CO</x:t>
        </x:is>
      </x:c>
      <x:c r="I446" s="3" t="inlineStr">
        <x:is>
          <x:t>3</x:t>
        </x:is>
      </x:c>
      <x:c r="J446" s="3" t="inlineStr">
        <x:is>
          <x:t>11</x:t>
        </x:is>
      </x:c>
      <x:c r="K446" s="3" t="inlineStr">
        <x:is>
          <x:t>3. Bálsamos capilares; champús capilares; cremas capilares; lociones capilares cosméticas; preparaciones capilares no medicamentosas; preparaciones cosméticas no medicinales para tratamientos capilares; preparaciones para tratamientos capilares.
</x:t>
        </x:is>
      </x:c>
      <x:c r="L446" s="3" t="inlineStr">
        <x:is>
          <x:t>No</x:t>
        </x:is>
      </x:c>
      <x:c r="M446" s="3" t="inlineStr">
        <x:is>
          <x:t/>
        </x:is>
      </x:c>
      <x:c r="N446" s="3" t="inlineStr">
        <x:is>
          <x:t/>
        </x:is>
      </x:c>
      <x:c r="O446" s="3" t="inlineStr">
        <x:is>
          <x:t>21 oct. 2022</x:t>
        </x:is>
      </x:c>
      <x:c r="P446" s="3" t="inlineStr">
        <x:is>
          <x:t/>
        </x:is>
      </x:c>
      <x:c r="Q446" s="3" t="inlineStr">
        <x:is>
          <x:t/>
        </x:is>
      </x:c>
    </x:row>
    <x:row r="447">
      <x:c r="A447" s="10" t="inlineStr">
        <x:f xml:space="preserve">HYPERLINK("http://sipi.sic.gov.co/sipi/View.ashx?4347759","SD2022/0091697")</x:f>
      </x:c>
      <x:c r="B447" s="3" t="inlineStr">
        <x:is>
          <x:t>ÍMPETUS L’BEL</x:t>
        </x:is>
      </x:c>
      <x:c r="C447" s="3" t="inlineStr">
        <x:is>
          <x:t/>
        </x:is>
      </x:c>
      <x:c r="D447" s="3" t="inlineStr">
        <x:is>
          <x:t>06 sept. 2022</x:t>
        </x:is>
      </x:c>
      <x:c r="E447" s="3" t="inlineStr">
        <x:is>
          <x:t/>
        </x:is>
      </x:c>
      <x:c r="F447" s="3" t="inlineStr">
        <x:is>
          <x:t>Negada</x:t>
        </x:is>
      </x:c>
      <x:c r="G447" s="3" t="inlineStr">
        <x:is>
          <x:t>153332</x:t>
        </x:is>
      </x:c>
      <x:c r="H447" s="3" t="inlineStr">
        <x:is>
          <x:t> Belcorp SA , Rue de Jargonnant 2, c/o TMF Services SA, 1207 Ginebra, Suiza, GINEBRA, GINEBRA 1207, CH</x:t>
        </x:is>
      </x:c>
      <x:c r="I447" s="3" t="inlineStr">
        <x:is>
          <x:t>3</x:t>
        </x:is>
      </x:c>
      <x:c r="J447" s="3" t="inlineStr">
        <x:is>
          <x:t>11</x:t>
        </x:is>
      </x:c>
      <x:c r="K447" s="3" t="inlineStr">
        <x:is>
          <x:t>3. Productos cosméticos y de belleza; maquillaje; productos de perfumería; preparaciones cosméticas; cosméticos y preparaciones de cuidado personal; preparaciones cosméticas de cuidado facial; preparaciones para el cuidado del cuerpo y la belleza; preparaciones cosméticas no medicinales para tratamientos capilares; preparaciones de higiene íntima para uso sanitario o utilizadas como desodorantes; preparaciones para la higiene dental.
</x:t>
        </x:is>
      </x:c>
      <x:c r="L447" s="3" t="inlineStr">
        <x:is>
          <x:t>No</x:t>
        </x:is>
      </x:c>
      <x:c r="M447" s="3" t="inlineStr">
        <x:is>
          <x:t>JUAN PABLO CADENA SARMIENTO, CALLE 70A No. 4-41 PISO 4, BOGOTÁ, D.C., CO</x:t>
        </x:is>
      </x:c>
      <x:c r="N447" s="3" t="inlineStr">
        <x:is>
          <x:t/>
        </x:is>
      </x:c>
      <x:c r="O447" s="3" t="inlineStr">
        <x:is>
          <x:t>09 sept. 2022</x:t>
        </x:is>
      </x:c>
      <x:c r="P447" s="3" t="inlineStr">
        <x:is>
          <x:t/>
        </x:is>
      </x:c>
      <x:c r="Q447" s="3" t="inlineStr">
        <x:is>
          <x:t/>
        </x:is>
      </x:c>
    </x:row>
    <x:row r="448">
      <x:c r="A448" s="10" t="inlineStr">
        <x:f xml:space="preserve">HYPERLINK("http://sipi.sic.gov.co/sipi/View.ashx?4348646","SD2022/0093273")</x:f>
      </x:c>
      <x:c r="B448" s="3" t="inlineStr">
        <x:is>
          <x:t>DERMO SUAVINA 1880</x:t>
        </x:is>
      </x:c>
      <x:c r="C448" s="9" t="inlineStr">
        <x:is>
          <x:t/>
        </x:is>
      </x:c>
      <x:c r="D448" s="3" t="inlineStr">
        <x:is>
          <x:t>09 sept. 2022</x:t>
        </x:is>
      </x:c>
      <x:c r="E448" s="3" t="inlineStr">
        <x:is>
          <x:t/>
        </x:is>
      </x:c>
      <x:c r="F448" s="3" t="inlineStr">
        <x:is>
          <x:t>Negada</x:t>
        </x:is>
      </x:c>
      <x:c r="G448" s="3" t="inlineStr">
        <x:is>
          <x:t>91843</x:t>
        </x:is>
      </x:c>
      <x:c r="H448" s="3" t="inlineStr">
        <x:is>
          <x:t>Vicente  Calduch Bellés, C/ Enmedio 13, 12001 , CASTELLON DE LA PLANA, CASTELLON, ES</x:t>
        </x:is>
      </x:c>
      <x:c r="I448" s="3" t="inlineStr">
        <x:is>
          <x:t>3</x:t>
        </x:is>
      </x:c>
      <x:c r="J448" s="3" t="inlineStr">
        <x:is>
          <x:t>11</x:t>
        </x:is>
      </x:c>
      <x:c r="K448" s="3" t="inlineStr">
        <x:is>
          <x:t>3. Cosmeticos, jabones.
</x:t>
        </x:is>
      </x:c>
      <x:c r="L448" s="3" t="inlineStr">
        <x:is>
          <x:t>No</x:t>
        </x:is>
      </x:c>
      <x:c r="M448" s="3" t="inlineStr">
        <x:is>
          <x:t>MAURICIO PINZÓN PINZÓN, CALLE 99 # 12-39 piso 4 , BOGOTÁ, D.C., CO</x:t>
        </x:is>
      </x:c>
      <x:c r="N448" s="3" t="inlineStr">
        <x:is>
          <x:t/>
        </x:is>
      </x:c>
      <x:c r="O448" s="3" t="inlineStr">
        <x:is>
          <x:t>20 dic. 2022</x:t>
        </x:is>
      </x:c>
      <x:c r="P448" s="3" t="inlineStr">
        <x:is>
          <x:t/>
        </x:is>
      </x:c>
      <x:c r="Q448" s="3" t="inlineStr">
        <x:is>
          <x:t/>
        </x:is>
      </x:c>
    </x:row>
    <x:row r="449">
      <x:c r="A449" s="10" t="inlineStr">
        <x:f xml:space="preserve">HYPERLINK("http://sipi.sic.gov.co/sipi/View.ashx?4349595","SD2022/0096594")</x:f>
      </x:c>
      <x:c r="B449" s="3" t="inlineStr">
        <x:is>
          <x:t>Glenn </x:t>
        </x:is>
      </x:c>
      <x:c r="C449" s="9" t="inlineStr">
        <x:is>
          <x:t/>
        </x:is>
      </x:c>
      <x:c r="D449" s="3" t="inlineStr">
        <x:is>
          <x:t>20 sept. 2022</x:t>
        </x:is>
      </x:c>
      <x:c r="E449" s="3" t="inlineStr">
        <x:is>
          <x:t/>
        </x:is>
      </x:c>
      <x:c r="F449" s="3" t="inlineStr">
        <x:is>
          <x:t>Negada</x:t>
        </x:is>
      </x:c>
      <x:c r="G449" s="3" t="inlineStr">
        <x:is>
          <x:t>Glenn</x:t>
        </x:is>
      </x:c>
      <x:c r="H449" s="3" t="inlineStr">
        <x:is>
          <x:t>Miguel Ángel Madroñero Sequeira, Kr 18F CL 25 19, BARANOA, ATLÁNTICO 082020, CO</x:t>
        </x:is>
      </x:c>
      <x:c r="I449" s="3" t="inlineStr">
        <x:is>
          <x:t>3</x:t>
        </x:is>
      </x:c>
      <x:c r="J449" s="3" t="inlineStr">
        <x:is>
          <x:t>11</x:t>
        </x:is>
      </x:c>
      <x:c r="K44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49" s="3" t="inlineStr">
        <x:is>
          <x:t>No</x:t>
        </x:is>
      </x:c>
      <x:c r="M449" s="3" t="inlineStr">
        <x:is>
          <x:t>Miguel Ángel Madroñero Sequeira, Kr 18F CL 25 19, BARANOA, ATLÁNTICO 082020, CO</x:t>
        </x:is>
      </x:c>
      <x:c r="N449" s="3" t="inlineStr">
        <x:is>
          <x:t/>
        </x:is>
      </x:c>
      <x:c r="O449" s="3" t="inlineStr">
        <x:is>
          <x:t>27 mar. 2023</x:t>
        </x:is>
      </x:c>
      <x:c r="P449" s="3" t="inlineStr">
        <x:is>
          <x:t/>
        </x:is>
      </x:c>
      <x:c r="Q449" s="3" t="inlineStr">
        <x:is>
          <x:t/>
        </x:is>
      </x:c>
    </x:row>
    <x:row r="450">
      <x:c r="A450" s="10" t="inlineStr">
        <x:f xml:space="preserve">HYPERLINK("http://sipi.sic.gov.co/sipi/View.ashx?4355888","SD2022/0093676")</x:f>
      </x:c>
      <x:c r="B450" s="3" t="inlineStr">
        <x:is>
          <x:t>NUVE</x:t>
        </x:is>
      </x:c>
      <x:c r="C450" s="9" t="inlineStr">
        <x:is>
          <x:t/>
        </x:is>
      </x:c>
      <x:c r="D450" s="3" t="inlineStr">
        <x:is>
          <x:t>16 sept. 2022</x:t>
        </x:is>
      </x:c>
      <x:c r="E450" s="3" t="inlineStr">
        <x:is>
          <x:t/>
        </x:is>
      </x:c>
      <x:c r="F450" s="3" t="inlineStr">
        <x:is>
          <x:t>Negada</x:t>
        </x:is>
      </x:c>
      <x:c r="G450" s="3" t="inlineStr">
        <x:is>
          <x:t>NUVE SKIN</x:t>
        </x:is>
      </x:c>
      <x:c r="H450" s="3" t="inlineStr">
        <x:is>
          <x:t>isabella arboleda arango, carrera 106 # 12a-43, CALI, VALLE DEL CAUCA 760001, CO</x:t>
        </x:is>
      </x:c>
      <x:c r="I450" s="3" t="inlineStr">
        <x:is>
          <x:t>3</x:t>
        </x:is>
      </x:c>
      <x:c r="J450" s="3" t="inlineStr">
        <x:is>
          <x:t>11</x:t>
        </x:is>
      </x:c>
      <x:c r="K450" s="3" t="inlineStr">
        <x:is>
          <x:t>3. Crema corporal; cremas hidratantes.
</x:t>
        </x:is>
      </x:c>
      <x:c r="L450" s="3" t="inlineStr">
        <x:is>
          <x:t>Sí</x:t>
        </x:is>
      </x:c>
      <x:c r="M450" s="3" t="inlineStr">
        <x:is>
          <x:t>Juan David Ortiz Betancur, Carrera 56B 49 51, MEDELLIN, ANTIOQUIA, CO</x:t>
        </x:is>
      </x:c>
      <x:c r="N450" s="3" t="inlineStr">
        <x:is>
          <x:t/>
        </x:is>
      </x:c>
      <x:c r="O450" s="3" t="inlineStr">
        <x:is>
          <x:t>19 may. 2023</x:t>
        </x:is>
      </x:c>
      <x:c r="P450" s="3" t="inlineStr">
        <x:is>
          <x:t/>
        </x:is>
      </x:c>
      <x:c r="Q450" s="3" t="inlineStr">
        <x:is>
          <x:t/>
        </x:is>
      </x:c>
    </x:row>
    <x:row r="451">
      <x:c r="A451" s="10" t="inlineStr">
        <x:f xml:space="preserve">HYPERLINK("http://sipi.sic.gov.co/sipi/View.ashx?4356318","SD2022/0093770")</x:f>
      </x:c>
      <x:c r="B451" s="3" t="inlineStr">
        <x:is>
          <x:t>Mon Lila</x:t>
        </x:is>
      </x:c>
      <x:c r="C451" s="9" t="inlineStr">
        <x:is>
          <x:t/>
        </x:is>
      </x:c>
      <x:c r="D451" s="3" t="inlineStr">
        <x:is>
          <x:t>12 sept. 2022</x:t>
        </x:is>
      </x:c>
      <x:c r="E451" s="3" t="inlineStr">
        <x:is>
          <x:t/>
        </x:is>
      </x:c>
      <x:c r="F451" s="3" t="inlineStr">
        <x:is>
          <x:t>Negada</x:t>
        </x:is>
      </x:c>
      <x:c r="G451" s="3" t="inlineStr">
        <x:is>
          <x:t/>
        </x:is>
      </x:c>
      <x:c r="H451" s="3" t="inlineStr">
        <x:is>
          <x:t>Laura Belén  Cabrera Casadiego, calle 23n #6-112 prados norte , CUCUTA, NORTE DE SANTANDER 540001, CO</x:t>
        </x:is>
      </x:c>
      <x:c r="I451" s="3" t="inlineStr">
        <x:is>
          <x:t>3</x:t>
        </x:is>
      </x:c>
      <x:c r="J451" s="3" t="inlineStr">
        <x:is>
          <x:t>11</x:t>
        </x:is>
      </x:c>
      <x:c r="K451" s="3" t="inlineStr">
        <x:is>
          <x:t>3. Productos de perfumería, aceites esenciales, cosméticos no medicinales, lociones capilares no medicinales.
</x:t>
        </x:is>
      </x:c>
      <x:c r="L451" s="3" t="inlineStr">
        <x:is>
          <x:t>No</x:t>
        </x:is>
      </x:c>
      <x:c r="M451" s="3" t="inlineStr">
        <x:is>
          <x:t/>
        </x:is>
      </x:c>
      <x:c r="N451" s="3" t="inlineStr">
        <x:is>
          <x:t/>
        </x:is>
      </x:c>
      <x:c r="O451" s="3" t="inlineStr">
        <x:is>
          <x:t>08 nov. 2022</x:t>
        </x:is>
      </x:c>
      <x:c r="P451" s="3" t="inlineStr">
        <x:is>
          <x:t/>
        </x:is>
      </x:c>
      <x:c r="Q451" s="3" t="inlineStr">
        <x:is>
          <x:t/>
        </x:is>
      </x:c>
    </x:row>
    <x:row r="452">
      <x:c r="A452" s="10" t="inlineStr">
        <x:f xml:space="preserve">HYPERLINK("http://sipi.sic.gov.co/sipi/View.ashx?4356892","SD2022/0096285")</x:f>
      </x:c>
      <x:c r="B452" s="3" t="inlineStr">
        <x:is>
          <x:t>BALTAZAR</x:t>
        </x:is>
      </x:c>
      <x:c r="C452" s="9" t="inlineStr">
        <x:is>
          <x:t/>
        </x:is>
      </x:c>
      <x:c r="D452" s="3" t="inlineStr">
        <x:is>
          <x:t>19 sept. 2022</x:t>
        </x:is>
      </x:c>
      <x:c r="E452" s="3" t="inlineStr">
        <x:is>
          <x:t/>
        </x:is>
      </x:c>
      <x:c r="F452" s="3" t="inlineStr">
        <x:is>
          <x:t>Negada</x:t>
        </x:is>
      </x:c>
      <x:c r="G452" s="3" t="inlineStr">
        <x:is>
          <x:t>BALTAZAR</x:t>
        </x:is>
      </x:c>
      <x:c r="H452" s="3" t="inlineStr">
        <x:is>
          <x:t>EMANUEL  MURIEL HERRERA, calle 54 36a 47 apto 401, MEDELLIN, ANTIOQUIA, CO</x:t>
        </x:is>
      </x:c>
      <x:c r="I452" s="3" t="inlineStr">
        <x:is>
          <x:t>3</x:t>
        </x:is>
      </x:c>
      <x:c r="J452" s="3" t="inlineStr">
        <x:is>
          <x:t>11</x:t>
        </x:is>
      </x:c>
      <x:c r="K452" s="3" t="inlineStr">
        <x:is>
          <x:t>3. Cosméticos de belleza; cosméticos naturales; cosméticos para el cabello; cosméticos y preparaciones cosméticas.
</x:t>
        </x:is>
      </x:c>
      <x:c r="L452" s="3" t="inlineStr">
        <x:is>
          <x:t>No</x:t>
        </x:is>
      </x:c>
      <x:c r="M452" s="3" t="inlineStr">
        <x:is>
          <x:t/>
        </x:is>
      </x:c>
      <x:c r="N452" s="3" t="inlineStr">
        <x:is>
          <x:t/>
        </x:is>
      </x:c>
      <x:c r="O452" s="3" t="inlineStr">
        <x:is>
          <x:t>26 ene. 2023</x:t>
        </x:is>
      </x:c>
      <x:c r="P452" s="3" t="inlineStr">
        <x:is>
          <x:t/>
        </x:is>
      </x:c>
      <x:c r="Q452" s="3" t="inlineStr">
        <x:is>
          <x:t/>
        </x:is>
      </x:c>
    </x:row>
    <x:row r="453">
      <x:c r="A453" s="10" t="inlineStr">
        <x:f xml:space="preserve">HYPERLINK("http://sipi.sic.gov.co/sipi/View.ashx?4357499","SD2022/0094778")</x:f>
      </x:c>
      <x:c r="B453" s="3" t="inlineStr">
        <x:is>
          <x:t>1010 VIVO HAIR MA</x:t>
        </x:is>
      </x:c>
      <x:c r="C453" s="9" t="inlineStr">
        <x:is>
          <x:t/>
        </x:is>
      </x:c>
      <x:c r="D453" s="3" t="inlineStr">
        <x:is>
          <x:t>14 sept. 2022</x:t>
        </x:is>
      </x:c>
      <x:c r="E453" s="3" t="inlineStr">
        <x:is>
          <x:t/>
        </x:is>
      </x:c>
      <x:c r="F453" s="3" t="inlineStr">
        <x:is>
          <x:t>Negada</x:t>
        </x:is>
      </x:c>
      <x:c r="G453" s="3" t="inlineStr">
        <x:is>
          <x:t>909699844REG</x:t>
        </x:is>
      </x:c>
      <x:c r="H453" s="3" t="inlineStr">
        <x:is>
          <x:t> 1010 EVOLUTION GROUP SAS, CALLE 90 No. 19A-49, BOGOTÁ, D.C., CO</x:t>
        </x:is>
      </x:c>
      <x:c r="I453" s="3" t="inlineStr">
        <x:is>
          <x:t>3</x:t>
        </x:is>
      </x:c>
      <x:c r="J453" s="3" t="inlineStr">
        <x:is>
          <x:t>11</x:t>
        </x:is>
      </x:c>
      <x:c r="K453" s="3" t="inlineStr">
        <x:is>
          <x:t>3. Productos y tratamientos para el cabello, productos cosméticos para el cabello y el cuero cabelludo, preparaciones no medicadas para el cabello; preparaciones no medicinales para el cuidado del cabello; preparaciones para el cuidado del cabello; preparaciones para el cuidado del cuero cabelludo y del cabello; preparación nutritiva para el cabello; preparaciones nutritivas para el cabello; productos hidratantes para el cabello; revitalizantes para el cabello; revitalizantes para el cabello de uso cosmético; suavizantes para el cabello; suavizantes para el cabello de uso cosmético; sueros para el cuidado del cabello; tonificantes para el cabello; tonificantes para el cabello para uso cosmético.
</x:t>
        </x:is>
      </x:c>
      <x:c r="L453" s="3" t="inlineStr">
        <x:is>
          <x:t>No</x:t>
        </x:is>
      </x:c>
      <x:c r="M453" s="3" t="inlineStr">
        <x:is>
          <x:t>JUAN CARLOS URIBE RESTREPO, CALLE 93B No. 12-48 PISO 4, BOGOTÁ, D.C., CO</x:t>
        </x:is>
      </x:c>
      <x:c r="N453" s="3" t="inlineStr">
        <x:is>
          <x:t/>
        </x:is>
      </x:c>
      <x:c r="O453" s="3" t="inlineStr">
        <x:is>
          <x:t>20 dic. 2022</x:t>
        </x:is>
      </x:c>
      <x:c r="P453" s="3" t="inlineStr">
        <x:is>
          <x:t/>
        </x:is>
      </x:c>
      <x:c r="Q453" s="3" t="inlineStr">
        <x:is>
          <x:t/>
        </x:is>
      </x:c>
    </x:row>
    <x:row r="454">
      <x:c r="A454" s="10" t="inlineStr">
        <x:f xml:space="preserve">HYPERLINK("http://sipi.sic.gov.co/sipi/View.ashx?4359124","SD2022/0094386")</x:f>
      </x:c>
      <x:c r="B454" s="3" t="inlineStr">
        <x:is>
          <x:t>Dr. Meier</x:t>
        </x:is>
      </x:c>
      <x:c r="C454" s="9" t="inlineStr">
        <x:is>
          <x:t/>
        </x:is>
      </x:c>
      <x:c r="D454" s="3" t="inlineStr">
        <x:is>
          <x:t>13 sept. 2022</x:t>
        </x:is>
      </x:c>
      <x:c r="E454" s="3" t="inlineStr">
        <x:is>
          <x:t/>
        </x:is>
      </x:c>
      <x:c r="F454" s="3" t="inlineStr">
        <x:is>
          <x:t>Negada</x:t>
        </x:is>
      </x:c>
      <x:c r="G454" s="3" t="inlineStr">
        <x:is>
          <x:t>DM0012022</x:t>
        </x:is>
      </x:c>
      <x:c r="H454" s="3" t="inlineStr">
        <x:is>
          <x:t> SABANA PHARMA SAS, calle 119a # 18-75, BOGOTÁ, D.C. 110111, CO</x:t>
        </x:is>
      </x:c>
      <x:c r="I454" s="3" t="inlineStr">
        <x:is>
          <x:t>3, 5</x:t>
        </x:is>
      </x:c>
      <x:c r="J454" s="3" t="inlineStr">
        <x:is>
          <x:t>11</x:t>
        </x:is>
      </x:c>
      <x:c r="K454" s="3" t="inlineStr">
        <x:is>
          <x:t>3. Cosméticos a base de cannabis; aceites de cáñamo a base de CBD para uso cosmético; preparaciones para el cuidado de la piel a base de CBD; pomadas no medicinales para prevenir y tratar las quemaduras solares; pomadas para los labios; emulsiones, geles y lociones para el cuidado de la piel a base de CBD; aceites esenciales naturales y para uso en aromaterapia; geles corporales y faciales a base de cáñamo; cremas y geles cosméticos hidratantes a base de ingredientes naturales y CBD; geles de ducha a base de cáñamo; geles de lavanda; preparaciones cosméticas para el cuidado de la piel en forma de geles; aceites esenciales; aceites esenciales aromáticos; aceites esenciales de origen vegetal; aceites esenciales naturales; aceites esenciales para uso cosmético; aceites esenciales para uso en aromaterapia; cremas para la piel de uso cosmético; geles para el cuerpo [cosméticos]; geles para el cuerpo y la cara [cosméticos]; geles para la cara [cosméticos]; geles para uso cosmético; cosméticos a base de hierbas; cosméticos ecológicos; cosméticos naturales; cosméticos no medicinales; cosméticos orgánicos; cosméticos para cuidados corporales y estéticos; cosméticos para el cabello; cosméticos para el cuidado del cuerpo; cosméticos y preparaciones cosméticas; cremas corporales [cosméticos]; cremas para el cuerpo [cosméticos]; cremas para la cara [cosméticos]; cremas reparadoras para la piel [cosméticos]; cremas, leches, lociones, geles y polvos cosméticos para la cara, el cuerpo y las manos; geles cosméticos; lociones faciales [cosméticos]; lociones no medicinales para el cuidado de la piel [cosméticos]; lociones para la piel [productos cosméticos]; productos cosméticos a base de hierbas; productos cosméticos para el baño y la ducha; productos cosméticos para el cuidado corporal; productos cosméticos para el cuidado de la piel; productos cosméticos para la piel; productos cosméticos para uso personal; productos cosméticos y de tocador.
5. Cannabis para uso médico; pomadas medicinales contra la dermatitis del pañal; pomadas mentoladas medicinales polivalentes; antiinflamatorios; antiinflamatorios en aerosol; bálsamos antiinflamatorios; espráis antiinflamatorios; geles antiinflamatorios; ungüentos antiinflamatorios; ungüentos antiinflamatorios homeopáticos; parches transdérmicos para el tratamiento de dolores musculares y articulares; parches transdérmicos para el tratamiento del alivio del dolor; parches transdérmicos para el tratamiento del dolor físico; preparaciones para aliviar el dolor; geles medicinales para el cuerpo; geles tópicos para uso médico y terapéutico; relajantes músculo-esqueléticos; aerosoles y cremas de hierbas medicinales de uso externo; espráis y cremas de hierbas medicinales de uso externo; aerosoles a base de hierbas para uso médico; bebidas a base de hierbas para uso médico; cremas a base de hierbas para uso médico; espráis a base de hierbas para uso médico; extractos de hierbas para uso medicinal; extractos de plantas y hierbas para uso medicinal; hierbas y bebidas a base de hierbas para uso médico; preparaciones a base de hierbas para uso médico; preparaciones de hierbas para uso médico; preparaciones medicinales para el cuidado de la piel en forma de geles; preparaciones médicas para el cuidado de la piel en forma de geles.
</x:t>
        </x:is>
      </x:c>
      <x:c r="L454" s="3" t="inlineStr">
        <x:is>
          <x:t>No</x:t>
        </x:is>
      </x:c>
      <x:c r="M454" s="3" t="inlineStr">
        <x:is>
          <x:t>CARLOS ANDRES SORIANO ESPINEL, calle 119a # 18-75 , BOGOTÁ, D.C. 110111, CO</x:t>
        </x:is>
      </x:c>
      <x:c r="N454" s="3" t="inlineStr">
        <x:is>
          <x:t/>
        </x:is>
      </x:c>
      <x:c r="O454" s="3" t="inlineStr">
        <x:is>
          <x:t>30 dic. 2022</x:t>
        </x:is>
      </x:c>
      <x:c r="P454" s="3" t="inlineStr">
        <x:is>
          <x:t/>
        </x:is>
      </x:c>
      <x:c r="Q454" s="3" t="inlineStr">
        <x:is>
          <x:t/>
        </x:is>
      </x:c>
    </x:row>
    <x:row r="455">
      <x:c r="A455" s="10" t="inlineStr">
        <x:f xml:space="preserve">HYPERLINK("http://sipi.sic.gov.co/sipi/View.ashx?4359373","SD2022/0094403")</x:f>
      </x:c>
      <x:c r="B455" s="3" t="inlineStr">
        <x:is>
          <x:t>by. Melenas preciosas</x:t>
        </x:is>
      </x:c>
      <x:c r="C455" s="9" t="inlineStr">
        <x:is>
          <x:t/>
        </x:is>
      </x:c>
      <x:c r="D455" s="3" t="inlineStr">
        <x:is>
          <x:t>13 sept. 2022</x:t>
        </x:is>
      </x:c>
      <x:c r="E455" s="3" t="inlineStr">
        <x:is>
          <x:t/>
        </x:is>
      </x:c>
      <x:c r="F455" s="3" t="inlineStr">
        <x:is>
          <x:t>Negada</x:t>
        </x:is>
      </x:c>
      <x:c r="G455" s="3" t="inlineStr">
        <x:is>
          <x:t>solicitud marca de melenas preciosas</x:t>
        </x:is>
      </x:c>
      <x:c r="H455" s="3" t="inlineStr">
        <x:is>
          <x:t>Hillary Medina García , calle 26 # 16 - 47 , SARAVENA, ARAUCA, CO</x:t>
        </x:is>
      </x:c>
      <x:c r="I455" s="3" t="inlineStr">
        <x:is>
          <x:t>3</x:t>
        </x:is>
      </x:c>
      <x:c r="J455" s="3" t="inlineStr">
        <x:is>
          <x:t>11</x:t>
        </x:is>
      </x:c>
      <x:c r="K455" s="3" t="inlineStr">
        <x:is>
          <x:t>3. Cosméticos para el cabello.
</x:t>
        </x:is>
      </x:c>
      <x:c r="L455" s="3" t="inlineStr">
        <x:is>
          <x:t>No</x:t>
        </x:is>
      </x:c>
      <x:c r="M455" s="3" t="inlineStr">
        <x:is>
          <x:t/>
        </x:is>
      </x:c>
      <x:c r="N455" s="3" t="inlineStr">
        <x:is>
          <x:t/>
        </x:is>
      </x:c>
      <x:c r="O455" s="3" t="inlineStr">
        <x:is>
          <x:t>18 nov. 2022</x:t>
        </x:is>
      </x:c>
      <x:c r="P455" s="3" t="inlineStr">
        <x:is>
          <x:t/>
        </x:is>
      </x:c>
      <x:c r="Q455" s="3" t="inlineStr">
        <x:is>
          <x:t/>
        </x:is>
      </x:c>
    </x:row>
    <x:row r="456">
      <x:c r="A456" s="10" t="inlineStr">
        <x:f xml:space="preserve">HYPERLINK("http://sipi.sic.gov.co/sipi/View.ashx?4359418","SD2022/0094418")</x:f>
      </x:c>
      <x:c r="B456" s="3" t="inlineStr">
        <x:is>
          <x:t> M MUSSA</x:t>
        </x:is>
      </x:c>
      <x:c r="C456" s="9" t="inlineStr">
        <x:is>
          <x:t/>
        </x:is>
      </x:c>
      <x:c r="D456" s="3" t="inlineStr">
        <x:is>
          <x:t>13 sept. 2022</x:t>
        </x:is>
      </x:c>
      <x:c r="E456" s="3" t="inlineStr">
        <x:is>
          <x:t/>
        </x:is>
      </x:c>
      <x:c r="F456" s="3" t="inlineStr">
        <x:is>
          <x:t>Negada</x:t>
        </x:is>
      </x:c>
      <x:c r="G456" s="3" t="inlineStr">
        <x:is>
          <x:t/>
        </x:is>
      </x:c>
      <x:c r="H456" s="3" t="inlineStr">
        <x:is>
          <x:t>daniela ines bracho omaña, diagonal 10 N 22 bis 163, VALLEDUPAR, CESAR, CO</x:t>
        </x:is>
      </x:c>
      <x:c r="I456" s="3" t="inlineStr">
        <x:is>
          <x:t>3, 5, 35, 44</x:t>
        </x:is>
      </x:c>
      <x:c r="J456" s="3" t="inlineStr">
        <x:is>
          <x:t>11</x:t>
        </x:is>
      </x:c>
      <x:c r="K456" s="3" t="inlineStr">
        <x:is>
          <x:t>3. Bálsamos [cremas] para disimular las imperfecciones de la piel; cosméticos en forma de cremas;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noche; cremas de protección capilar, no medicinales; cremas de protección para el cabello; cremas de protección para el cabello, no medicinales; cremas de pureza; cremas depilatorias; cremas desmaquillantes; cremas emolientes reparadoras para el cuidado diario de la piel; cremas evanescentes; cremas exfoliantes; cremas exfoliantes para uso cosmético; cremas faciales; cremas faciales para uso cosmético; cremas hidratantes para la piel [cosméticos]; cremas limpiadoras; cremas limpiadoras [cosméticos]; cremas limpiadoras [productos cosméticos]; cremas limpiadoras no medicadas para uso personal; cremas limpiadoras para la piel; cremas limpiadoras para uso cosmético; cremas multiactivas para el contorno de los ojos;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orgánicas de estiramiento facial; cremas para aclarar la piel; cremas para atenuar las manchas de la vejez de uso cosmético; cremas para cutículas; cremas para dar firmeza al cuerpo; cremas para después de afeitar (no medicinales); cremas para el cabello; cremas para el cabello de uso cosmético; cremas para el cabello para uso cosmético; cremas para el cuerpo cosméticas; cremas para el cuidado de la piel que no sean de uso médico; cremas para el cuidado de la piel que no sean para uso médico;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las manos; cremas para las uñas; cremas para los labios; cremas para los labios de uso cosmético; cremas para los ojos; cremas para los ojos de uso cosmético; cremas perfumadas; cremas perfumadas para uso cosmético; cremas regeneradoras; cremas reparadoras para contornos de ojos; cremas reparadoras para la piel [cosméticos]; cremas solares para bebés.
5. Cremas labiales medicamentosas; cremas labiales medicinales.
35. Servicios de publicidad online.
44. Servicios médicos; servicios veterinarios; tratamientos de higiene y de belleza para personas o animales; servicios de agricultura, horticultura y silvicultura.
</x:t>
        </x:is>
      </x:c>
      <x:c r="L456" s="3" t="inlineStr">
        <x:is>
          <x:t>No</x:t>
        </x:is>
      </x:c>
      <x:c r="M456" s="3" t="inlineStr">
        <x:is>
          <x:t/>
        </x:is>
      </x:c>
      <x:c r="N456" s="3" t="inlineStr">
        <x:is>
          <x:t/>
        </x:is>
      </x:c>
      <x:c r="O456" s="3" t="inlineStr">
        <x:is>
          <x:t>06 feb. 2023</x:t>
        </x:is>
      </x:c>
      <x:c r="P456" s="3" t="inlineStr">
        <x:is>
          <x:t/>
        </x:is>
      </x:c>
      <x:c r="Q456" s="3" t="inlineStr">
        <x:is>
          <x:t/>
        </x:is>
      </x:c>
    </x:row>
    <x:row r="457">
      <x:c r="A457" s="10" t="inlineStr">
        <x:f xml:space="preserve">HYPERLINK("http://sipi.sic.gov.co/sipi/View.ashx?4360072","SD2022/0094509")</x:f>
      </x:c>
      <x:c r="B457" s="3" t="inlineStr">
        <x:is>
          <x:t>MIWEIWEI</x:t>
        </x:is>
      </x:c>
      <x:c r="C457" s="3" t="inlineStr">
        <x:is>
          <x:t/>
        </x:is>
      </x:c>
      <x:c r="D457" s="3" t="inlineStr">
        <x:is>
          <x:t>14 sept. 2022</x:t>
        </x:is>
      </x:c>
      <x:c r="E457" s="3" t="inlineStr">
        <x:is>
          <x:t/>
        </x:is>
      </x:c>
      <x:c r="F457" s="3" t="inlineStr">
        <x:is>
          <x:t>Negada</x:t>
        </x:is>
      </x:c>
      <x:c r="G457" s="3" t="inlineStr">
        <x:is>
          <x:t>S - SD - MIWEIWEI</x:t>
        </x:is>
      </x:c>
      <x:c r="H457" s="3" t="inlineStr">
        <x:is>
          <x:t>MING JIN, Cra 76a # 131-60, BOGOTÁ, D.C., CO</x:t>
        </x:is>
      </x:c>
      <x:c r="I457" s="3" t="inlineStr">
        <x:is>
          <x:t>3</x:t>
        </x:is>
      </x:c>
      <x:c r="J457" s="3" t="inlineStr">
        <x:is>
          <x:t>11</x:t>
        </x:is>
      </x:c>
      <x:c r="K457" s="3" t="inlineStr">
        <x:is>
          <x:t>3. Cosméticos, jabones no medicinales; productos de perfumería, aceites esenciales, lociones capilares no medicinales.
</x:t>
        </x:is>
      </x:c>
      <x:c r="L457" s="3" t="inlineStr">
        <x:is>
          <x:t>No</x:t>
        </x:is>
      </x:c>
      <x:c r="M457" s="3" t="inlineStr">
        <x:is>
          <x:t>WILLIAM ORLANDO  QUIROGA, Carrera 13 No. 32-93. Torre 3, Oficina 708. Parque Central Baviera., BOGOTA, CUNDINAMARCA, CO</x:t>
        </x:is>
      </x:c>
      <x:c r="N457" s="3" t="inlineStr">
        <x:is>
          <x:t/>
        </x:is>
      </x:c>
      <x:c r="O457" s="3" t="inlineStr">
        <x:is>
          <x:t>30 sept. 2022</x:t>
        </x:is>
      </x:c>
      <x:c r="P457" s="3" t="inlineStr">
        <x:is>
          <x:t/>
        </x:is>
      </x:c>
      <x:c r="Q457" s="3" t="inlineStr">
        <x:is>
          <x:t/>
        </x:is>
      </x:c>
    </x:row>
    <x:row r="458">
      <x:c r="A458" s="10" t="inlineStr">
        <x:f xml:space="preserve">HYPERLINK("http://sipi.sic.gov.co/sipi/View.ashx?4360790","SD2022/0094712")</x:f>
      </x:c>
      <x:c r="B458" s="3" t="inlineStr">
        <x:is>
          <x:t>AMARELLA</x:t>
        </x:is>
      </x:c>
      <x:c r="C458" s="9" t="inlineStr">
        <x:is>
          <x:t/>
        </x:is>
      </x:c>
      <x:c r="D458" s="3" t="inlineStr">
        <x:is>
          <x:t>14 sept. 2022</x:t>
        </x:is>
      </x:c>
      <x:c r="E458" s="3" t="inlineStr">
        <x:is>
          <x:t/>
        </x:is>
      </x:c>
      <x:c r="F458" s="3" t="inlineStr">
        <x:is>
          <x:t>Negada</x:t>
        </x:is>
      </x:c>
      <x:c r="G458" s="3" t="inlineStr">
        <x:is>
          <x:t>AMARELLA</x:t>
        </x:is>
      </x:c>
      <x:c r="H458" s="3" t="inlineStr">
        <x:is>
          <x:t>AYDE SOFIA OTALORA MEZA, DG 44a Sur Nº 22b - 21, BOGOTÁ, D.C. 57, CO</x:t>
        </x:is>
      </x:c>
      <x:c r="I458" s="3" t="inlineStr">
        <x:is>
          <x:t>3</x:t>
        </x:is>
      </x:c>
      <x:c r="J458" s="3" t="inlineStr">
        <x:is>
          <x:t>11</x:t>
        </x:is>
      </x:c>
      <x:c r="K458" s="3" t="inlineStr">
        <x:is>
          <x:t>3.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tratamientos para permanentes capilares; cremas no medicinales para el tratamiento del cuero cabelludo; preparaciones para el tratamiento de coloración permanente del cabello; preparaciones para el tratamiento de permanente de coloración del cabello; preparados para el tratamiento de coloración permanente del cabello; preparados para el tratamiento de permanente de coloración del cabello; tratamientos de alisado para el cabello; tratamientos de cera para el cabello; tratamientos de permanente del cabello; tratamientos de permanente para el cabello; tratamientos de queratina para el cabello; aceite para el peinado del cabello; aceites para el cabello; baños de aceite para el cuidado del cabello; tintes cosméticos; tintes para el cabello; tintes temporales para hacer mechas; tintes y decolorantes para el cabello; tinturas para el cabello [tintes]; colorantes para el cabello; decolorantes para uso cosmético; lociones colorantes para el cabello; preparaciones colorantes de uso cosmético; preparaciones cosméticas colorantes; preparaciones para decolorar el cabello; preparaciones para decolorar el pelo; preparaciones para limpiar, colorear, teñir, decolorar, amoldar o para ondular permanentemente el cabello; preparaciones para limpiar, colorear, teñir, decolorar, marcar o para ondular permanentemente el cabello; preparaciones para limpiar, teñir, colorear, decolorar, marcar y peinar el cabello; preparaciones para teñir y decolorar el cabello; productos decolorantes para el cabello; productos para decolorar el cabello; productos químicos de uso doméstico para avivar los colores [lavandería]; acondicionadores de cabello; acondicionadores de cabello a base de cáñamo; acondicionadores en barritas sólidas para el cabello; acondicionadores para el cabello; acondicionadores para uso en el cabello; bálsamo acondicionador; champús y acondicionadores; champús y acondicionadores para animales de compañía [preparaciones de peluquería no medicinales ni veterinarias]; champús y acondicionadores para el cabello; cremas acondicionadoras; champús 3 en 1; champús acondicionadores; champús anticaspa; champús de ph neutro; champús en barritas sólidas; champús no medicinales; champús no medicinales contra la caspa; champús para el cabello; champús para el cabello humano; champús para el cabello y el cuerpo; champús*; crema para peinar el cabello; cremas de protección para el cabello; cremas de protección para el cabello, no medicinales; cremas para el cabello; cremas para el cabello de uso cosmético; cremas para el cabello para uso cosmético; cremas para el cuidado del cabello; aceites suavizantes para el cabello; agua oxigenada para el cabello; baños de aceite para el cuidado del cabello de uso cosmético; brillantina para el cabello; bálsamos para el cabello; cera para el cabello; ceras para el cabello; ceras para el cuidado del cabello; ceras para el peinado del cabello; champúes para el cabello; champúes para el cabello a base de cáñamo; cosméticos para el cabello; enjuagues de color para el cabello; enjuagues para el cabello; enjuagues para el cabello de uso cosmético; lociones para el cabello; lociones para el cabello de uso cosmético; lociones para fortalecer el cabello; lociones para rizar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pomadas para el cabello de uso cosmético; productos cosméticos para el cabello y el cuero cabelludo; productos de enjuague para el cabello; productos de enjuague para el cabello [champús acondicionadores]; productos de textura para el cabello; productos hidratantes para el cabello; productos para aclarar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tinturas para el cabello; tonificantes para el cabello; tonificantes para el cabello para uso cosmético.
</x:t>
        </x:is>
      </x:c>
      <x:c r="L458" s="3" t="inlineStr">
        <x:is>
          <x:t>No</x:t>
        </x:is>
      </x:c>
      <x:c r="M458" s="3" t="inlineStr">
        <x:is>
          <x:t/>
        </x:is>
      </x:c>
      <x:c r="N458" s="3" t="inlineStr">
        <x:is>
          <x:t/>
        </x:is>
      </x:c>
      <x:c r="O458" s="3" t="inlineStr">
        <x:is>
          <x:t>29 may. 2023</x:t>
        </x:is>
      </x:c>
      <x:c r="P458" s="3" t="inlineStr">
        <x:is>
          <x:t/>
        </x:is>
      </x:c>
      <x:c r="Q458" s="3" t="inlineStr">
        <x:is>
          <x:t/>
        </x:is>
      </x:c>
    </x:row>
    <x:row r="459">
      <x:c r="A459" s="10" t="inlineStr">
        <x:f xml:space="preserve">HYPERLINK("http://sipi.sic.gov.co/sipi/View.ashx?4360920","SD2022/0094746")</x:f>
      </x:c>
      <x:c r="B459" s="3" t="inlineStr">
        <x:is>
          <x:t>Naturello ¡ENCANTO DE LO NATURAL! </x:t>
        </x:is>
      </x:c>
      <x:c r="C459" s="9" t="inlineStr">
        <x:is>
          <x:t/>
        </x:is>
      </x:c>
      <x:c r="D459" s="3" t="inlineStr">
        <x:is>
          <x:t>14 sept. 2022</x:t>
        </x:is>
      </x:c>
      <x:c r="E459" s="3" t="inlineStr">
        <x:is>
          <x:t/>
        </x:is>
      </x:c>
      <x:c r="F459" s="3" t="inlineStr">
        <x:is>
          <x:t>Negada</x:t>
        </x:is>
      </x:c>
      <x:c r="G459" s="3" t="inlineStr">
        <x:is>
          <x:t>Naturello ¡ENCANTO DE LO NATURAL! </x:t>
        </x:is>
      </x:c>
      <x:c r="H459" s="3" t="inlineStr">
        <x:is>
          <x:t>Tatiana Marcela Merchán Vallejo , carrera 27a # 40a - 07 , TULUA, VALLE DEL CAUCA 763022, CO</x:t>
        </x:is>
      </x:c>
      <x:c r="I459" s="3" t="inlineStr">
        <x:is>
          <x:t>3</x:t>
        </x:is>
      </x:c>
      <x:c r="J459" s="3" t="inlineStr">
        <x:is>
          <x:t>11</x:t>
        </x:is>
      </x:c>
      <x:c r="K45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59" s="3" t="inlineStr">
        <x:is>
          <x:t>No</x:t>
        </x:is>
      </x:c>
      <x:c r="M459" s="3" t="inlineStr">
        <x:is>
          <x:t>SIMON  GIRALDO JARAMILLO, Corregimiento, Los Chancos – Calle 3ra # 4ª - 38, TULUA, VALLE DEL CAUCA, CO</x:t>
        </x:is>
      </x:c>
      <x:c r="N459" s="3" t="inlineStr">
        <x:is>
          <x:t/>
        </x:is>
      </x:c>
      <x:c r="O459" s="3" t="inlineStr">
        <x:is>
          <x:t>09 dic. 2022</x:t>
        </x:is>
      </x:c>
      <x:c r="P459" s="3" t="inlineStr">
        <x:is>
          <x:t/>
        </x:is>
      </x:c>
      <x:c r="Q459" s="3" t="inlineStr">
        <x:is>
          <x:t/>
        </x:is>
      </x:c>
    </x:row>
    <x:row r="460">
      <x:c r="A460" s="10" t="inlineStr">
        <x:f xml:space="preserve">HYPERLINK("http://sipi.sic.gov.co/sipi/View.ashx?4360985","SD2022/0094722")</x:f>
      </x:c>
      <x:c r="B460" s="3" t="inlineStr">
        <x:is>
          <x:t>DOFICLEAN</x:t>
        </x:is>
      </x:c>
      <x:c r="C460" s="9" t="inlineStr">
        <x:is>
          <x:t/>
        </x:is>
      </x:c>
      <x:c r="D460" s="3" t="inlineStr">
        <x:is>
          <x:t>14 sept. 2022</x:t>
        </x:is>
      </x:c>
      <x:c r="E460" s="3" t="inlineStr">
        <x:is>
          <x:t/>
        </x:is>
      </x:c>
      <x:c r="F460" s="3" t="inlineStr">
        <x:is>
          <x:t>Negada</x:t>
        </x:is>
      </x:c>
      <x:c r="G460" s="3" t="inlineStr">
        <x:is>
          <x:t/>
        </x:is>
      </x:c>
      <x:c r="H460" s="3" t="inlineStr">
        <x:is>
          <x:t> INDUSTRIAS DOFI SAS, SIN ESTABLECER, ARMENIA, QUINDIO, CO</x:t>
        </x:is>
      </x:c>
      <x:c r="I460" s="3" t="inlineStr">
        <x:is>
          <x:t>3</x:t>
        </x:is>
      </x:c>
      <x:c r="J460" s="3" t="inlineStr">
        <x:is>
          <x:t>11</x:t>
        </x:is>
      </x:c>
      <x:c r="K460" s="3" t="inlineStr">
        <x:is>
          <x:t>3. PREPARACIONES PARA LIMPIAR PISOS; BLANQUEADORES; LIMPIA PISOS; LIMPIADORES PARA USO DOMÉSTICO; LIMPIADORES LÍQUIDOS PARA USO DOMÉSTICO O INDUSTRIAL; LAVALOZA; PREPARACIONES PARA LIMPIAR, PULIR, DESENGRASAR Y RASPAR PARA USO DOMÉSTICO; DESENGRASANTES DE LIMPIEZA PARA EL HOGAR; DETERGENTES PARA EL HOGAR;líquidos para la lavandería.
</x:t>
        </x:is>
      </x:c>
      <x:c r="L460" s="3" t="inlineStr">
        <x:is>
          <x:t>No</x:t>
        </x:is>
      </x:c>
      <x:c r="M460" s="3" t="inlineStr">
        <x:is>
          <x:t>ANDRES MARQUEZ ACOSTA, Carrera 43 A 5A 113 torre sur piso 14, MEDELLIN, ANTIOQUIA, CO</x:t>
        </x:is>
      </x:c>
      <x:c r="N460" s="3" t="inlineStr">
        <x:is>
          <x:t/>
        </x:is>
      </x:c>
      <x:c r="O460" s="3" t="inlineStr">
        <x:is>
          <x:t>29 may. 2023</x:t>
        </x:is>
      </x:c>
      <x:c r="P460" s="3" t="inlineStr">
        <x:is>
          <x:t/>
        </x:is>
      </x:c>
      <x:c r="Q460" s="3" t="inlineStr">
        <x:is>
          <x:t/>
        </x:is>
      </x:c>
    </x:row>
    <x:row r="461">
      <x:c r="A461" s="10" t="inlineStr">
        <x:f xml:space="preserve">HYPERLINK("http://sipi.sic.gov.co/sipi/View.ashx?4361446","SD2022/0095933")</x:f>
      </x:c>
      <x:c r="B461" s="3" t="inlineStr">
        <x:is>
          <x:t>BELLEZZA COMPANY</x:t>
        </x:is>
      </x:c>
      <x:c r="C461" s="9" t="inlineStr">
        <x:is>
          <x:t/>
        </x:is>
      </x:c>
      <x:c r="D461" s="3" t="inlineStr">
        <x:is>
          <x:t>16 sept. 2022</x:t>
        </x:is>
      </x:c>
      <x:c r="E461" s="3" t="inlineStr">
        <x:is>
          <x:t/>
        </x:is>
      </x:c>
      <x:c r="F461" s="3" t="inlineStr">
        <x:is>
          <x:t>Negada</x:t>
        </x:is>
      </x:c>
      <x:c r="G461" s="3" t="inlineStr">
        <x:is>
          <x:t>BELLEZZA COMPANY</x:t>
        </x:is>
      </x:c>
      <x:c r="H461" s="3" t="inlineStr">
        <x:is>
          <x:t> BELLEZZA COMPANY S.A.S., CARRERA 9 # 34-03 SUR, BOGOTÁ, D.C., CO</x:t>
        </x:is>
      </x:c>
      <x:c r="I461" s="3" t="inlineStr">
        <x:is>
          <x:t>3, 8, 11, 35</x:t>
        </x:is>
      </x:c>
      <x:c r="J461" s="3" t="inlineStr">
        <x:is>
          <x:t>11</x:t>
        </x:is>
      </x:c>
      <x:c r="K461"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Cosméticos. Esmaltes de uñas, bases para esmaltes de uñas, capa de esmalte de uñas, capa superficial para esmalte de uñas, esmaltes de uñas de acabado, esmaltes de uñas en gel, esmaltes de uñas para uso cosmético, esmaltes de uñas y quitaesmaltes, lápices para aplicar el esmalte de uñas, plumas de esmalte de uñas, preparaciones cosméticas para secar esmaltes de uñas, kits para el cuidado de las uñas que comprenden esmaltes de uñas y quitaesmaltes, kits para el cuidado de las uñas que comprenden principalmente uñas postizas. Aclaradores de uñas, blanqueadores para las uñas, brillantina para las uñas, calcomanías para las uñas, cremas para las uñas, endurecedores de uñas, escarcha para las uñas, fortalecedores de uñas, lacas para las uñas, puntas de uñas, purpurina para las uñas, reparadores de uñas, uñas postizas, adhesivos para fijar uñas postizas, adhesivos para pegar las uñas postizas, adhesivos para uñas postizas, apósitos para la reparación de uñas, calcomanías decorativas para uñas, capa de esmalte de uñas, capa superficial para esmalte de uñas, cremas para las uñas de uso cosmético, endurecedores de uñas [cosméticos], esmaltes de uñas de acabado, esmaltes de uñas y quitaesmaltes, lápices para aplicar el esmalte de uñas, lápices quitaesmaltes de uñas, lociones para fortalecer las uñas, pegatinas decorativas para uñas, plumas de esmalte de uñas, preparaciones cosméticas para el cuidado de las uñas, preparaciones cosméticas para las uñas, preparaciones para el cuidado de las uñas, preparaciones para pulir las uñas, preparaciones para retirar uñas de gel, productos de revestimiento para esculpir uñas, productos para ablandar las uñas, productos para el cuidado de las uñas, puntas de uñas de las manos, punteras para las uñas de las manos, quitaesmalte para uñas [cosméticos], quitaesmaltes de uñas [cosméticos], uñas postizas de metales preciosos, uñas postizas para los dedos de los pies, preparaciones y productos para el cuidado de las uñas, kits para el cuidado de las uñas que comprenden lacas de uñas, adhesivos para fijar uñas y pestañas postizas, adhesivos para pestañas, cabello y uñas postizos, preparaciones para el cuidado de la piel, los ojos y las uñas, productos de revestimiento para esculpir uñas [productos cosméticos], productos para el cuidado de la piel, los ojos y las uñas, lociones, cremas y preparaciones para el cuidado de la cara, cuerpo, cuero cabelludo, uñas y cabello, lociones, cremas y preparaciones para el cuidado del rostro, cuerpo, cuero cabelludo, uñas y cabello.
8. Herramientas e instrumentos de mano accionados manualmente; artículos de cuchillería, tenedores y cucharas; armas blancas; maquinillas de afeitar. Pulidores de uñas, pulidores de uñas eléctricos, pulidores de uñas no eléctricos, pulidores de uñas para uso en la manicura, pulidores de uñas [eléctricos o no]. Limas de uñas, limas de uñas [eléctricas].
11. Aparatos de alumbrado, calefacción, producción de vapor, cocción, refrigeración, secado, ventilación y distribución de agua, así como instalaciones sanitarias. Lámparas LED para uñas, lámparas UV para uñas.
35. Publicidad; gestión de negocios comerciales; administración comercial; trabajos de oficina. Servicio de distribución comercial en el ámbito de los cosméticos, servicios de venta minorista en línea de cosméticos, servicios de venta minorista por correspondencia de cosméticos, asesoramiento sobre productos de consumo en relación con productos cosméticos, servicios de distribución comercial al por mayor de productos cosméticos, servicios de información sobre productos de consumo relacionados con productos cosméticos, servicios de venta minorista en línea de productos cosméticos, servicios de venta minorista en línea en relación con productos cosméticos, servicios de venta minorista o mayorista de productos cosméticos, servicios de venta minorista por correspondencia de productos cosméticos, servicios de venta de tienda al por menor en línea de productos cosméticos y de belleza, servicios de venta de tienda minorista en línea de productos cosméticos y de belleza, servicios de venta de tienda minorista en línea en relación con productos cosméticos y de belleza, servicios de venta minorista y mayorista de utensilios cosméticos y de tocador, servicios de venta de tienda al por menor en línea que incluyen productos cosméticos y de belleza, servicios de venta de tienda minorista en línea que incluyen productos cosméticos y de belleza, servicios de venta minorista en línea de productos cosméticos y de belleza, así como de prendas de vestir y complementos, servicios de venta minorista o mayorista de productos cosméticos, productos de tocador, dentífricos, jabones y detergentes, servicios de venta minorista y mayorista de productos cosméticos para el baño, desodorantes y antitranspirantes, servicios de venta minorista y mayorista de productos cosméticos y preparaciones de tocador no medicinales, servicios de venta minorista y mayorista de productos cosméticos para el baño, desodorantes y antitranspirantes, productos para el cuidado de la piel, de los ojos y de las uñas, servicios de venta minorista y mayorista de productos cosméticos y preparaciones de tocador no medicinales, productos de perfumería y aceites esenciales.
</x:t>
        </x:is>
      </x:c>
      <x:c r="L461" s="3" t="inlineStr">
        <x:is>
          <x:t>No</x:t>
        </x:is>
      </x:c>
      <x:c r="M461" s="3" t="inlineStr">
        <x:is>
          <x:t>CARLOS MANUEL DA COSTA MÁRQUEZ, Calle 36F # 1-22 Sur, BOGOTÁ, D.C., CO</x:t>
        </x:is>
      </x:c>
      <x:c r="N461" s="3" t="inlineStr">
        <x:is>
          <x:t/>
        </x:is>
      </x:c>
      <x:c r="O461" s="3" t="inlineStr">
        <x:is>
          <x:t>18 nov. 2022</x:t>
        </x:is>
      </x:c>
      <x:c r="P461" s="3" t="inlineStr">
        <x:is>
          <x:t/>
        </x:is>
      </x:c>
      <x:c r="Q461" s="3" t="inlineStr">
        <x:is>
          <x:t/>
        </x:is>
      </x:c>
    </x:row>
    <x:row r="462">
      <x:c r="A462" s="10" t="inlineStr">
        <x:f xml:space="preserve">HYPERLINK("http://sipi.sic.gov.co/sipi/View.ashx?4362637","SD2022/0095363")</x:f>
      </x:c>
      <x:c r="B462" s="3" t="inlineStr">
        <x:is>
          <x:t>Angel's Skin cuidado natural</x:t>
        </x:is>
      </x:c>
      <x:c r="C462" s="9" t="inlineStr">
        <x:is>
          <x:t/>
        </x:is>
      </x:c>
      <x:c r="D462" s="3" t="inlineStr">
        <x:is>
          <x:t>15 sept. 2022</x:t>
        </x:is>
      </x:c>
      <x:c r="E462" s="3" t="inlineStr">
        <x:is>
          <x:t/>
        </x:is>
      </x:c>
      <x:c r="F462" s="3" t="inlineStr">
        <x:is>
          <x:t>Negada</x:t>
        </x:is>
      </x:c>
      <x:c r="G462" s="3" t="inlineStr">
        <x:is>
          <x:t/>
        </x:is>
      </x:c>
      <x:c r="H462" s="3" t="inlineStr">
        <x:is>
          <x:t>Luisa Fernanda  Ospina Mariaca, calle 85 # 47-08, MEDELLIN, ANTIOQUIA, CO</x:t>
        </x:is>
      </x:c>
      <x:c r="I462" s="3" t="inlineStr">
        <x:is>
          <x:t>3</x:t>
        </x:is>
      </x:c>
      <x:c r="J462" s="3" t="inlineStr">
        <x:is>
          <x:t>11</x:t>
        </x:is>
      </x:c>
      <x:c r="K462" s="3" t="inlineStr">
        <x:is>
          <x:t>3. Cremas para el cuidado de la piel, no medicinales; lociones cosméticas para el cuidado de la piel; preparaciones cosméticas para el cuidado de la piel; aceite de coco para uso cosmético; agua de rosas [destilados de hierbas]; exfoliantes para la cara; exfoliantes para la piel; jabones faciales; barras de labios hidratantes; exfoliantes para labios; preparados cosméticos para el cuidado del cuerpo; preparados cosméticos para el tratamiento de la piel; productos cosméticos no medicinales; productos cosméticos para la piel; productos cosméticos para uso personal; productos cosméticos y de belleza; productos cosméticos y de maquillaje.
</x:t>
        </x:is>
      </x:c>
      <x:c r="L462" s="3" t="inlineStr">
        <x:is>
          <x:t>No</x:t>
        </x:is>
      </x:c>
      <x:c r="M462" s="3" t="inlineStr">
        <x:is>
          <x:t/>
        </x:is>
      </x:c>
      <x:c r="N462" s="3" t="inlineStr">
        <x:is>
          <x:t/>
        </x:is>
      </x:c>
      <x:c r="O462" s="3" t="inlineStr">
        <x:is>
          <x:t>20 dic. 2022</x:t>
        </x:is>
      </x:c>
      <x:c r="P462" s="3" t="inlineStr">
        <x:is>
          <x:t/>
        </x:is>
      </x:c>
      <x:c r="Q462" s="3" t="inlineStr">
        <x:is>
          <x:t/>
        </x:is>
      </x:c>
    </x:row>
    <x:row r="463">
      <x:c r="A463" s="10" t="inlineStr">
        <x:f xml:space="preserve">HYPERLINK("http://sipi.sic.gov.co/sipi/View.ashx?4362718","SD2022/0095259")</x:f>
      </x:c>
      <x:c r="B463" s="3" t="inlineStr">
        <x:is>
          <x:t>ISAFACE</x:t>
        </x:is>
      </x:c>
      <x:c r="C463" s="3" t="inlineStr">
        <x:is>
          <x:t/>
        </x:is>
      </x:c>
      <x:c r="D463" s="3" t="inlineStr">
        <x:is>
          <x:t>15 sept. 2022</x:t>
        </x:is>
      </x:c>
      <x:c r="E463" s="3" t="inlineStr">
        <x:is>
          <x:t/>
        </x:is>
      </x:c>
      <x:c r="F463" s="3" t="inlineStr">
        <x:is>
          <x:t>Negada</x:t>
        </x:is>
      </x:c>
      <x:c r="G463" s="3" t="inlineStr">
        <x:is>
          <x:t/>
        </x:is>
      </x:c>
      <x:c r="H463" s="3" t="inlineStr">
        <x:is>
          <x:t> TRIDEX FARMACEUTICA S.A.S., CARRERA 46 NO. 12 - 30, BOGOTÁ, D.C., CO</x:t>
        </x:is>
      </x:c>
      <x:c r="I463" s="3" t="inlineStr">
        <x:is>
          <x:t>3</x:t>
        </x:is>
      </x:c>
      <x:c r="J463" s="3" t="inlineStr">
        <x:is>
          <x:t>11</x:t>
        </x:is>
      </x:c>
      <x:c r="K463" s="3" t="inlineStr">
        <x:is>
          <x:t>3. Aceites para después del sol [productos cosméticos]; aceites perfumados para la fabricación de preparados cosméticos; aceites perfumados para la fabricación de productos cosméticos; aerosoles cosméticos de uso tópico para la piel; bloqueador solar [cosméticos]; colonias, perfumes y productos cosméticos; cosméticos; cosméticos a base de cannabis; cosméticos de belleza; cosméticos en forma de cremas; cosméticos naturales; cosméticos no medicinales; cosméticos orgánicos; cosméticos para broncear la piel; cosméticos para cuidados corporales y estéticos; cosméticos para el cuidado del cuerpo; cosméticos para las cejas;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la cara [cosméticos]; cremas reparadoras para la piel [cosméticos]; cremas tonificantes [cosméticos]; cremas y geles cosméticos para cara, manos y cuerpo; cremas, leches, lociones, geles y polvos cosméticos para la cara, el cuerpo y las manos; geles bronceadores [cosméticos]; geles corporales y faciales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leches bronceadoras [cosméticos]; leches para después del sol [productos cosméticos]; limpiadores cosméticos cutáneos; limpiadores cosméticos faciales; limpiadores cosméticos para la piel; limpiadores cutáneos con propiedades suavizantes [cosméticos]; limpiadores de la piel [cosméticos]; limpiadores faciales [cosméticos]; lociones autobronceadoras [cosméticos]; lociones faciales [cosméticos]; lociones hidratantes [cosméticos]; lociones hidratantes para el cuerpo [cosméticos]; lociones hidratantes para la piel [cosméticos]; lociones no medicinales para el cuidado de la piel [cosméticos]; lociones para el cuidado de la piel [cosméticos]; lociones para la piel [productos cosméticos]; maquillaje [cosméticos]; mascarillas faciales [productos cosméticos]; mascarillas para el cutis [cosméticos]; mascarillas para la piel [cosméticos]; pañitos cosméticos prehumedecidos; perfumería para cosméticos; polvos cosméticos; polvos faciales [cosméticos]; polvos faciales cosméticos de color blanco; preparaciones autobronceadoras [cosméticos]; preparaciones blanqueadoras para la piel [productos cosméticos]; preparaciones de cuidado facial [cosméticos]; preparaciones de protección solar [productos cosméticos]; preparaciones faciales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de cbd; productos cosméticos de baño y ducha; productos cosméticos decorativos; productos cosméticos en aerosol para el cuidado de la piel; productos cosméticos en forma de cremas; productos cosméticos para el baño y la ducha; productos cosméticos para la piel; productos cosméticos para niños; productos cosméticos para uso personal; productos cosméticos y de maquillaje; productos cosméticos y de tocador; productos cosméticos, a saber, leches, lociones y emulsiones; productos cosméticos, a saber, lociones; productos de perfumería, aceites esenciales, cosméticos no medicinales, lociones capilares no medicinales; tónicos cosméticos; tónicos cosméticos para el rostro; tónicos faciales [cosméticos].
</x:t>
        </x:is>
      </x:c>
      <x:c r="L463" s="3" t="inlineStr">
        <x:is>
          <x:t>No</x:t>
        </x:is>
      </x:c>
      <x:c r="M463" s="3" t="inlineStr">
        <x:is>
          <x:t>CHAYANNE ELENA GARCES LEZAMA, CARRERA 46 # 12 30 , BOGOTÁ, D.C., CO</x:t>
        </x:is>
      </x:c>
      <x:c r="N463" s="3" t="inlineStr">
        <x:is>
          <x:t/>
        </x:is>
      </x:c>
      <x:c r="O463" s="3" t="inlineStr">
        <x:is>
          <x:t>20 sept. 2022</x:t>
        </x:is>
      </x:c>
      <x:c r="P463" s="3" t="inlineStr">
        <x:is>
          <x:t/>
        </x:is>
      </x:c>
      <x:c r="Q463" s="3" t="inlineStr">
        <x:is>
          <x:t/>
        </x:is>
      </x:c>
    </x:row>
    <x:row r="464">
      <x:c r="A464" s="10" t="inlineStr">
        <x:f xml:space="preserve">HYPERLINK("http://sipi.sic.gov.co/sipi/View.ashx?4362804","SD2022/0095270")</x:f>
      </x:c>
      <x:c r="B464" s="3" t="inlineStr">
        <x:is>
          <x:t>QAMAR</x:t>
        </x:is>
      </x:c>
      <x:c r="C464" s="9" t="inlineStr">
        <x:is>
          <x:t/>
        </x:is>
      </x:c>
      <x:c r="D464" s="3" t="inlineStr">
        <x:is>
          <x:t>15 sept. 2022</x:t>
        </x:is>
      </x:c>
      <x:c r="E464" s="3" t="inlineStr">
        <x:is>
          <x:t/>
        </x:is>
      </x:c>
      <x:c r="F464" s="3" t="inlineStr">
        <x:is>
          <x:t>Negada</x:t>
        </x:is>
      </x:c>
      <x:c r="G464" s="3" t="inlineStr">
        <x:is>
          <x:t>Solicitud QAMAR</x:t>
        </x:is>
      </x:c>
      <x:c r="H464" s="3" t="inlineStr">
        <x:is>
          <x:t> i-seven LLC, sharjah media city, sharjah, SHARJAH, SHARJAH, AE</x:t>
        </x:is>
      </x:c>
      <x:c r="I464" s="3" t="inlineStr">
        <x:is>
          <x:t>3, 35</x:t>
        </x:is>
      </x:c>
      <x:c r="J464" s="3" t="inlineStr">
        <x:is>
          <x:t>11</x:t>
        </x:is>
      </x:c>
      <x:c r="K464" s="3" t="inlineStr">
        <x:is>
          <x:t>3. Aceite de menta [perfumería]; aceites de perfumería; aceites esenciales en cuanto perfumes de lavandería; aceites para perfumes y fragancias; agua de perfume; almizcle [producto de perfumería]; bases para perfumes de flores; colonias, perfumes y productos cosméticos; desodorantes corporales [perfumería]; desodorantes corporales [productos de perfumería]; desodorantes para personas o animales [productos de perfumería]; desodorantes para uso personal [perfumería]; difusores de perfumes de ambiente con varillas; eau de parfum [agua de perfume]; espráis utilizados como desodorantes y perfumes corporales; extractos de flores [productos de perfumería]; extractos de flores en cuanto perfumes; extractos de flores en cuanto productos de perfumería; fragancias y productos de perfumería; iononas [productos de perfumería]; menta para perfumería; mezclas de perfumería; perfumería para cosméticos; perfumería y fragancias;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perfumería, inciensos y fragancias; recambios de perfumes para difusores de aceites esenciales enchufables; recambios de perfumes para difusores electrónicos de aceites esenciales; vainillina sintética [productos de perfumería]; ámbar [productos de perfumería]; ámbar gris [perfume]; aromas para fragancias; aromatizantes para fragancias; fragancias; fragancias corporales; fragancias para uso personal; popurrís [fragancias]; cremas y lociones cosméticas; lociones cosméticas para la piel; lociones de belleza; lociones para la piel; lociones para la piel [productos cosméticos]; lociones para la piel no medicadas; aceites cosméticos; aceites cosméticos para la piel; cosméticos; sprays para el cuerpo de uso cosmético.
35. Servicios de agencia de ventas de aceites esenciales para la perfumería; servicios de publicidad en relación con productos de perfumería; servicio de distribución comercial en el ámbito de los cosméticos; servicios de agencia de ventas de productos cosméticos; servicios de agencia de ventas de utensilios cosméticos; servicios de distribución comercial al por mayor de productos cosméticos; servicios de publicidad en relación con productos cosméticos; servicios de venta minorista o mayorista de productos cosméticos.
</x:t>
        </x:is>
      </x:c>
      <x:c r="L464" s="3" t="inlineStr">
        <x:is>
          <x:t>No</x:t>
        </x:is>
      </x:c>
      <x:c r="M464" s="3" t="inlineStr">
        <x:is>
          <x:t>Vladimir  Escobar Ospitia, Av. 4N No. 6N - 67 Of. 405 Ed. Siglo XXI , CALI, VALLE DEL CAUCA, CO</x:t>
        </x:is>
      </x:c>
      <x:c r="N464" s="3" t="inlineStr">
        <x:is>
          <x:t/>
        </x:is>
      </x:c>
      <x:c r="O464" s="3" t="inlineStr">
        <x:is>
          <x:t>09 dic. 2022</x:t>
        </x:is>
      </x:c>
      <x:c r="P464" s="3" t="inlineStr">
        <x:is>
          <x:t/>
        </x:is>
      </x:c>
      <x:c r="Q464" s="3" t="inlineStr">
        <x:is>
          <x:t/>
        </x:is>
      </x:c>
    </x:row>
    <x:row r="465">
      <x:c r="A465" s="10" t="inlineStr">
        <x:f xml:space="preserve">HYPERLINK("http://sipi.sic.gov.co/sipi/View.ashx?4362856","SD2022/0095613")</x:f>
      </x:c>
      <x:c r="B465" s="3" t="inlineStr">
        <x:is>
          <x:t>KIWAII</x:t>
        </x:is>
      </x:c>
      <x:c r="C465" s="9" t="inlineStr">
        <x:is>
          <x:t/>
        </x:is>
      </x:c>
      <x:c r="D465" s="3" t="inlineStr">
        <x:is>
          <x:t>16 sept. 2022</x:t>
        </x:is>
      </x:c>
      <x:c r="E465" s="3" t="inlineStr">
        <x:is>
          <x:t/>
        </x:is>
      </x:c>
      <x:c r="F465" s="3" t="inlineStr">
        <x:is>
          <x:t>Negada</x:t>
        </x:is>
      </x:c>
      <x:c r="G465" s="3" t="inlineStr">
        <x:is>
          <x:t>KIWAII</x:t>
        </x:is>
      </x:c>
      <x:c r="H465" s="3" t="inlineStr">
        <x:is>
          <x:t> GRUPO AROMA CLEAN SAS, CALLE 24 Nº 65 F 20, MEDELLIN, ANTIOQUIA 050024, CO; NASLY ALEJANDRA MARTÍNEZ BLANDÓN, Calle 24 65 F 20, MEDELLIN, ANTIOQUIA, CO</x:t>
        </x:is>
      </x:c>
      <x:c r="I465" s="3" t="inlineStr">
        <x:is>
          <x:t>3</x:t>
        </x:is>
      </x:c>
      <x:c r="J465" s="3" t="inlineStr">
        <x:is>
          <x:t>11</x:t>
        </x:is>
      </x:c>
      <x:c r="K465" s="3" t="inlineStr">
        <x:is>
          <x:t>3. Cosméticos y preparaciones de cuidado personal; cremas corporales [cosméticos]; cremas hidratantes para la piel [cosméticos]; cremas para el cuerpo [cosméticos]; productos cosméticos y de belleza.
</x:t>
        </x:is>
      </x:c>
      <x:c r="L465" s="3" t="inlineStr">
        <x:is>
          <x:t>No</x:t>
        </x:is>
      </x:c>
      <x:c r="M465" s="3" t="inlineStr">
        <x:is>
          <x:t>Isabel Cristina Uribe Martínez, Calle 70 sur # 38-430 Ofi. 602, MEDELLIN, ANTIOQUIA 050044, CO</x:t>
        </x:is>
      </x:c>
      <x:c r="N465" s="3" t="inlineStr">
        <x:is>
          <x:t/>
        </x:is>
      </x:c>
      <x:c r="O465" s="3" t="inlineStr">
        <x:is>
          <x:t>30 sept. 2022</x:t>
        </x:is>
      </x:c>
      <x:c r="P465" s="3" t="inlineStr">
        <x:is>
          <x:t/>
        </x:is>
      </x:c>
      <x:c r="Q465" s="3" t="inlineStr">
        <x:is>
          <x:t/>
        </x:is>
      </x:c>
    </x:row>
    <x:row r="466">
      <x:c r="A466" s="10" t="inlineStr">
        <x:f xml:space="preserve">HYPERLINK("http://sipi.sic.gov.co/sipi/View.ashx?4364148","SD2022/0095573")</x:f>
      </x:c>
      <x:c r="B466" s="3" t="inlineStr">
        <x:is>
          <x:t>con cientes</x:t>
        </x:is>
      </x:c>
      <x:c r="C466" s="9" t="inlineStr">
        <x:is>
          <x:t/>
        </x:is>
      </x:c>
      <x:c r="D466" s="3" t="inlineStr">
        <x:is>
          <x:t>22 sept. 2022</x:t>
        </x:is>
      </x:c>
      <x:c r="E466" s="3" t="inlineStr">
        <x:is>
          <x:t/>
        </x:is>
      </x:c>
      <x:c r="F466" s="3" t="inlineStr">
        <x:is>
          <x:t>Negada</x:t>
        </x:is>
      </x:c>
      <x:c r="G466" s="3" t="inlineStr">
        <x:is>
          <x:t>registro marca cclab</x:t>
        </x:is>
      </x:c>
      <x:c r="H466" s="3" t="inlineStr">
        <x:is>
          <x:t> CON CIENCIA LAB S.A.S, av 19 # 146-61 of 104, BOGOTÁ, D.C., CO</x:t>
        </x:is>
      </x:c>
      <x:c r="I466" s="3" t="inlineStr">
        <x:is>
          <x:t>3</x:t>
        </x:is>
      </x:c>
      <x:c r="J466" s="3" t="inlineStr">
        <x:is>
          <x:t>11</x:t>
        </x:is>
      </x:c>
      <x:c r="K46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66" s="3" t="inlineStr">
        <x:is>
          <x:t>No</x:t>
        </x:is>
      </x:c>
      <x:c r="M466" s="3" t="inlineStr">
        <x:is>
          <x:t>Alba Lucia Torres castro, Transversal 96b #20a-40 int 2 apto 305, BOGOTÁ, D.C., CO</x:t>
        </x:is>
      </x:c>
      <x:c r="N466" s="3" t="inlineStr">
        <x:is>
          <x:t/>
        </x:is>
      </x:c>
      <x:c r="O466" s="3" t="inlineStr">
        <x:is>
          <x:t>20 dic. 2022</x:t>
        </x:is>
      </x:c>
      <x:c r="P466" s="3" t="inlineStr">
        <x:is>
          <x:t/>
        </x:is>
      </x:c>
      <x:c r="Q466" s="3" t="inlineStr">
        <x:is>
          <x:t/>
        </x:is>
      </x:c>
    </x:row>
    <x:row r="467">
      <x:c r="A467" s="10" t="inlineStr">
        <x:f xml:space="preserve">HYPERLINK("http://sipi.sic.gov.co/sipi/View.ashx?4364256","SD2022/0096795")</x:f>
      </x:c>
      <x:c r="B467" s="3" t="inlineStr">
        <x:is>
          <x:t>MARLYN</x:t>
        </x:is>
      </x:c>
      <x:c r="C467" s="9" t="inlineStr">
        <x:is>
          <x:t/>
        </x:is>
      </x:c>
      <x:c r="D467" s="3" t="inlineStr">
        <x:is>
          <x:t>21 sept. 2022</x:t>
        </x:is>
      </x:c>
      <x:c r="E467" s="3" t="inlineStr">
        <x:is>
          <x:t/>
        </x:is>
      </x:c>
      <x:c r="F467" s="3" t="inlineStr">
        <x:is>
          <x:t>Negada</x:t>
        </x:is>
      </x:c>
      <x:c r="G467" s="3" t="inlineStr">
        <x:is>
          <x:t>MARLYN</x:t>
        </x:is>
      </x:c>
      <x:c r="H467" s="3" t="inlineStr">
        <x:is>
          <x:t>MARLYN JANNETH MARIN TURCIOS, Calle 132 # 46-17, BOGOTA, CUNDINAMARCA 11001, CO</x:t>
        </x:is>
      </x:c>
      <x:c r="I467" s="3" t="inlineStr">
        <x:is>
          <x:t>3</x:t>
        </x:is>
      </x:c>
      <x:c r="J467" s="3" t="inlineStr">
        <x:is>
          <x:t>11</x:t>
        </x:is>
      </x:c>
      <x:c r="K467" s="3" t="inlineStr">
        <x:is>
          <x:t>3. Jabones no medicinales; jabones para alfombras; jabones para avivar los colores de materias textiles; jabones para el cuerpo; jabones para el cuidado del cuerpo; jabones para guarnicionería; jabones para la colada; jabones para la ducha; jabones para la piel; jabones para las manos; jabones para las manos; jabones para lavar la ropa; jabones perfumados; jabones vegetales; jabones para uso doméstico; jabones para uso personal; jabones y detergentes; velas de masaje para uso cosmético; aceites aromáticos; aceites aromáticos para el baño; aceites brillantes para el cuerpo; aceites bronceadores; aceites bronceadores [cosméticos]; aceites bronceadores de uso cosmético; aceites de baño para uso cosmético; aceites de baño que no sean medicinales; aceites de baño, que no sean para uso médico; aceites de cáñamo a base de cbd para uso cosmético; aceites de ducha a base de cáñamo; aceites de limpieza; aceites de masaje, no medicinales; aceites de perfumería; aceites de pino para la limpieza de suelos; aceites de protección solar; aceites de protección solar [cosméticos]; aceites de tocador; aceites destilados para el cuidado de belleza;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en cuanto aromatizantes alimentarios; aceites esenciales en cuanto fragancias de lavandería; aceites esenciales en cuanto perfumes de lavandería; aceites esenciales industriales para uso en la fabricación de productos de tabaco; aceites esenciales naturales; aceites esenciales para ambientadores de interior; aceites esenciales para aparatos ambientadores de interior; aceites esenciales para aromatizar bebidas; aceites esenciales para aromatizar el tabaco; aceites esenciales para aromatizar las bebidas; aceites esenciales para aromatizar los alimentos; aceites esenciales para cigarrillos electrónicos; aceites esenciales para el tabaco; aceites esenciales para la fabricación de productos perfumados; aceites esenciales para uso cosmético; aceites esenciales para uso doméstico; aceites esenciales para uso en aromaterapia; aceites esenciales para uso en la fabricación de líquidos para cigarrillos electrónicos [e-liquid]; aceites esenciales para uso en la fabricación de productos neutralizadores de olores; aceites esenciales para uso industrial; aceites esenciales para uso industrial para uso en la fabricación de productos de tabaco; aceites esenciales para uso personal; aceites esenciales que no sean para uso médico o terapéutico; aceites esenciales utilizados como aromatizantes alimentarios; aceites esenciales utilizados como aromatizantes para alimentos; aceites esenciales utilizados como saborizantes alimentarios; aceites esenciales utilizados como saborizantes para alimentos; aceites esenciales utilizados en la fabricación de líquido para cigarrillo electrónico [e-liquid]; aceites esenciales utilizados en procesos de fabricación; aceites etéreos; aceites faciales; aceites hidratantes intensivos; aceites minerales [cosméticos]; aceites no medicados; aceites no medicinales para masajes; aceites para bebés; aceites para bebés [productos de tocador]; aceites para bronceado [cosméticos]; esencias comestibles para alimentos [aceites esenciales]; esencias y aceites etéreos; geles, cremas y aceites de ducha; leches, geles y aceites bronceadores y para después del sol, de uso cosmético; lociones, cremas y aceites de aplicación tópica para la piel y el cuerpo, de uso cosmético; líquidos para cigarrillos electrónicos [e-liquid] que contienen aceites esenciales; líquidos para cigarrillos electrónicos [e-liquid] que contienen aceites esenciales, utilizados para rellenar cartuchos de cigarrillos electrónicos; líquidos para cigarrillos electrónicos [e-liquid] que contienen aromas en cuanto aceites esenciales, utilizados para rellenar cartuchos de cigarrillos electrónicos; líquidos para cigarrillos electrónicos [e-liquid] que contienen aromas que sean aceites esenciales; líquidos para cigarrillos electrónicos a base de aceites esenciales; líquidos para cigarrillos electrónicos que contienen aromas en cuanto aceites esenciales; líquidos para cigarrillos electrónicos que contienen aromas en cuanto aceites esenciales, utilizados para rellenar los cartuchos de cigarrillos electrónicos; productos de perfumería, aceites esenciales; productos de perfumería, aceites esenciales, cosméticos no medicinales, lociones capilares no medicinales; productos de perfumería, aceites esenciales, cosméticos, lociones capilares; recambios de fragancias para ambientadores de aceites esenciales enchufables; recambios de fragancias para ambientadores electrónicos de aceites esenciales; recambios de fragancias para difusores de aceites esenciales enchufables; recambios de fragancias para difusores electrónicos de aceites esenciales; recambios de perfumes para difusores de aceites esenciales enchufables; toallitas impregnadas de aceites esenciales, para uso cosmético; aceites y sales de baño; aceites y sales de baño que no sean para uso médico; geles y sales de baño y de ducha no medicinales; sales blanqueadoras; sales de baño; sales de baño cosméticas; sales de baño no medicinales; sales de baño para uso cosmético; sales de baño perfumadas; sales de baño que no sean para uso médico; sales para el baño; hierbas para el baño que no sean para uso médico; jabones de baño; jabones de baño en forma líquida, sólida o de gel; jabones líquidos para baños de pies; jabones líquidos para el baño; jabón de baño; jabón líquido para baños de pies; leches de baño; lociones de baño; lociones de baño para uso cosmético; perlas de baño; perlas de baño para uso cosmético; perlitas de baño; perlitas de baño para uso cosmético; polvos de baño; polvos de baño no medicamentosos; polvos de baño no medicinales; polvos de baño para uso cosmético; preparaciones cosméticas para el baño; preparaciones cosméticas para el baño y la ducha; preparaciones de baño no medicinales para animales; preparaciones de espuma para el baño; preparaciones de limpieza para el baño; preparaciones mentoladas para el baño que no sean de uso médico; preparaciones no medicadas para el baño; preparaciones no medicadas para el baño de pies; preparaciones no medicinales para el baño; preparaciones para baños de espuma; preparaciones para baños de espuma para uso cosmético; preparaciones para baños oculares que no sean para uso médico;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broncear la piel; cremas para cutículas; cremas para dar firmeza al cuerpo; cremas para después de afeitar (no medicinales); cremas para después del afeitado; cremas para después del afeitado (no medicinales); cremas para después del sol;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aceites para perfumes y fragancias; bases para perfumes de flores; colonias, perfumes y productos cosméticos; difusores de perfumes de ambiente con varillas; espráis utilizados como desodorantes y perfumes corporales; extractos de flores en cuanto perfumes;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recambios de perfumes para difusores electrónicos de aceites esenciales; aceite fijador para el cabello; aceite japonés para fijar el cabello; aceite para el peinado del cabello; aceites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preparaciones para ondular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lociones tónicas para el cuerpo; lociones tónicas para el rostro, el cuerpo y las manos de uso cosmético; lociones, cremas y preparaciones para el cuidado de la cara, cuerpo, cuero cabelludo, uñas y cabello; lociones, cremas y preparaciones para el cuidado del rostro, cuerpo, cuero cabelludo, uñas y cabello; maquillaje para el cuerpo; maquillaje para el rostro y el cuerpo; maquillaje para la cara y el cuerpo; pastillas de jabón para el cuerpo; pegatinas decorativas para el cuerpo; pintura para la cara y el cuerpo; polvos brillantes para el cuerpo; polvos para el cuerpo; polvos para el cuerpo de uso cosmético; preparaciones cosméticas para el cuidado del cuerpo; preparaciones cosméticas para el rostro y el cuerpo; preparaciones de limpieza no medicadas para el cuerpo; preparaciones de limpieza para el cuerpo; preparaciones de maquillaje para el rostro y el cuerpo; preparaciones de maquillaje para la cara y el cuerpo.
</x:t>
        </x:is>
      </x:c>
      <x:c r="L467" s="3" t="inlineStr">
        <x:is>
          <x:t>Sí</x:t>
        </x:is>
      </x:c>
      <x:c r="M467" s="3" t="inlineStr">
        <x:is>
          <x:t>JULIANA GONZÁLEZ GONZÁLEZ, CALLE 66 No.11- 50 OFIC 416, BOGOTÁ, D.C., CO</x:t>
        </x:is>
      </x:c>
      <x:c r="N467" s="3" t="inlineStr">
        <x:is>
          <x:t/>
        </x:is>
      </x:c>
      <x:c r="O467" s="3" t="inlineStr">
        <x:is>
          <x:t>09 dic. 2022</x:t>
        </x:is>
      </x:c>
      <x:c r="P467" s="3" t="inlineStr">
        <x:is>
          <x:t/>
        </x:is>
      </x:c>
      <x:c r="Q467" s="3" t="inlineStr">
        <x:is>
          <x:t/>
        </x:is>
      </x:c>
    </x:row>
    <x:row r="468">
      <x:c r="A468" s="10" t="inlineStr">
        <x:f xml:space="preserve">HYPERLINK("http://sipi.sic.gov.co/sipi/View.ashx?4364776","SD2022/0095746")</x:f>
      </x:c>
      <x:c r="B468" s="3" t="inlineStr">
        <x:is>
          <x:t>ZAMAY TIENDA INDÍGENA FÓRMULAS ANCESTRALES</x:t>
        </x:is>
      </x:c>
      <x:c r="C468" s="9" t="inlineStr">
        <x:is>
          <x:t/>
        </x:is>
      </x:c>
      <x:c r="D468" s="3" t="inlineStr">
        <x:is>
          <x:t>16 sept. 2022</x:t>
        </x:is>
      </x:c>
      <x:c r="E468" s="3" t="inlineStr">
        <x:is>
          <x:t/>
        </x:is>
      </x:c>
      <x:c r="F468" s="3" t="inlineStr">
        <x:is>
          <x:t>Negada</x:t>
        </x:is>
      </x:c>
      <x:c r="G468" s="3" t="inlineStr">
        <x:is>
          <x:t/>
        </x:is>
      </x:c>
      <x:c r="H468" s="3" t="inlineStr">
        <x:is>
          <x:t>ANA MARÍA  GUAPACHA, Calle 29 no. 3-40 Sausalito bloque 4 apto 201, PEREIRA, RISARALDA, CO</x:t>
        </x:is>
      </x:c>
      <x:c r="I468" s="3" t="inlineStr">
        <x:is>
          <x:t>3</x:t>
        </x:is>
      </x:c>
      <x:c r="J468" s="3" t="inlineStr">
        <x:is>
          <x:t>11</x:t>
        </x:is>
      </x:c>
      <x:c r="K46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68" s="3" t="inlineStr">
        <x:is>
          <x:t>No</x:t>
        </x:is>
      </x:c>
      <x:c r="M468" s="3" t="inlineStr">
        <x:is>
          <x:t>ISABEL CRISTINA  GARCES RAMIREZ, Ciudadela El Castillo Casa 32, JAMUNDI, VALLE DEL CAUCA, CO</x:t>
        </x:is>
      </x:c>
      <x:c r="N468" s="3" t="inlineStr">
        <x:is>
          <x:t/>
        </x:is>
      </x:c>
      <x:c r="O468" s="3" t="inlineStr">
        <x:is>
          <x:t>18 nov. 2022</x:t>
        </x:is>
      </x:c>
      <x:c r="P468" s="3" t="inlineStr">
        <x:is>
          <x:t/>
        </x:is>
      </x:c>
      <x:c r="Q468" s="3" t="inlineStr">
        <x:is>
          <x:t/>
        </x:is>
      </x:c>
    </x:row>
    <x:row r="469">
      <x:c r="A469" s="10" t="inlineStr">
        <x:f xml:space="preserve">HYPERLINK("http://sipi.sic.gov.co/sipi/View.ashx?4365205","SD2022/0095832")</x:f>
      </x:c>
      <x:c r="B469" s="3" t="inlineStr">
        <x:is>
          <x:t>D JADI</x:t>
        </x:is>
      </x:c>
      <x:c r="C469" s="9" t="inlineStr">
        <x:is>
          <x:t/>
        </x:is>
      </x:c>
      <x:c r="D469" s="3" t="inlineStr">
        <x:is>
          <x:t>16 sept. 2022</x:t>
        </x:is>
      </x:c>
      <x:c r="E469" s="3" t="inlineStr">
        <x:is>
          <x:t/>
        </x:is>
      </x:c>
      <x:c r="F469" s="3" t="inlineStr">
        <x:is>
          <x:t>Negada</x:t>
        </x:is>
      </x:c>
      <x:c r="G469" s="3" t="inlineStr">
        <x:is>
          <x:t/>
        </x:is>
      </x:c>
      <x:c r="H469" s="3" t="inlineStr">
        <x:is>
          <x:t>MARIA JENNY NARANJO QUINTERO, CARRERA 7 NRO. 14 - 55, PEREIRA, RISARALDA, CO</x:t>
        </x:is>
      </x:c>
      <x:c r="I469" s="3" t="inlineStr">
        <x:is>
          <x:t>3</x:t>
        </x:is>
      </x:c>
      <x:c r="J469" s="3" t="inlineStr">
        <x:is>
          <x:t>11</x:t>
        </x:is>
      </x:c>
      <x:c r="K469" s="3" t="inlineStr">
        <x:is>
          <x:t>3. Aceites cosméticos; aceites perfumados para la fabricación de preparados cosméticos; almohadillas de limpieza impregnadas con cosméticos; autobronceadores [cosméticos]; cosméticos; cosméticos de belleza; cosméticos funcionales en cuanto preparaciones para blanquear la piel; cosméticos naturales; cosméticos para broncear la piel; cosméticos para el cabello; cremas limpiadoras [cosméticos]; cremas tonificantes [cosméticos]; cremas y geles cosméticos para rostro, manos y cuerpo; esmaltes de base para las uñas [productos cosméticos]; exfoliantes corporales cosméticos; geles para el cuerpo [cosméticos]; lociones faciales [cosméticos]; maquillaje [cosméticos]; mascarillas faciales [productos cosméticos].
</x:t>
        </x:is>
      </x:c>
      <x:c r="L469" s="3" t="inlineStr">
        <x:is>
          <x:t>No</x:t>
        </x:is>
      </x:c>
      <x:c r="M469" s="3" t="inlineStr">
        <x:is>
          <x:t>AIDA LUCIA CERTUCHE CANDELO, CL 64N 5BN 145 OF 314A, CALI, VALLE DEL CAUCA, CO</x:t>
        </x:is>
      </x:c>
      <x:c r="N469" s="3" t="inlineStr">
        <x:is>
          <x:t/>
        </x:is>
      </x:c>
      <x:c r="O469" s="3" t="inlineStr">
        <x:is>
          <x:t>30 sept. 2022</x:t>
        </x:is>
      </x:c>
      <x:c r="P469" s="3" t="inlineStr">
        <x:is>
          <x:t/>
        </x:is>
      </x:c>
      <x:c r="Q469" s="3" t="inlineStr">
        <x:is>
          <x:t/>
        </x:is>
      </x:c>
    </x:row>
    <x:row r="470">
      <x:c r="A470" s="10" t="inlineStr">
        <x:f xml:space="preserve">HYPERLINK("http://sipi.sic.gov.co/sipi/View.ashx?4365725","SD2022/0095983")</x:f>
      </x:c>
      <x:c r="B470" s="3" t="inlineStr">
        <x:is>
          <x:t>ELIVI</x:t>
        </x:is>
      </x:c>
      <x:c r="C470" s="3" t="inlineStr">
        <x:is>
          <x:t/>
        </x:is>
      </x:c>
      <x:c r="D470" s="3" t="inlineStr">
        <x:is>
          <x:t>16 sept. 2022</x:t>
        </x:is>
      </x:c>
      <x:c r="E470" s="3" t="inlineStr">
        <x:is>
          <x:t/>
        </x:is>
      </x:c>
      <x:c r="F470" s="3" t="inlineStr">
        <x:is>
          <x:t>Negada</x:t>
        </x:is>
      </x:c>
      <x:c r="G470" s="3" t="inlineStr">
        <x:is>
          <x:t>ELIVI</x:t>
        </x:is>
      </x:c>
      <x:c r="H470" s="3" t="inlineStr">
        <x:is>
          <x:t> GRUPO ELEGANTE S.A.S., Av. Costa Rica L. 174 Cetro Comercial Tropicana, SAN ANDRES, SAN ANDRES Y PROVIDENCIA 88001, CO</x:t>
        </x:is>
      </x:c>
      <x:c r="I470" s="3" t="inlineStr">
        <x:is>
          <x:t>3</x:t>
        </x:is>
      </x:c>
      <x:c r="J470" s="3" t="inlineStr">
        <x:is>
          <x:t>11</x:t>
        </x:is>
      </x:c>
      <x:c r="K470" s="3" t="inlineStr">
        <x:is>
          <x:t>3. Aceites de perfumería; desodorantes corporales [perfumería]; desodorantes corporales [productos de perfumería]; fragancias y productos de perfumería; perfumería y fragancias; productos de perfumería; productos de perfumería y productos de fragancias; productos de perfumería, aceites esenciales; productos de perfumería, aceites esenciales, cosméticos no medicinales, lociones capilares no medicinales; productos de perfumería, aceites esenciales, cosméticos, lociones capilares.
</x:t>
        </x:is>
      </x:c>
      <x:c r="L470" s="3" t="inlineStr">
        <x:is>
          <x:t>Sí</x:t>
        </x:is>
      </x:c>
      <x:c r="M470" s="3" t="inlineStr">
        <x:is>
          <x:t>Esteban  Berrio Lopez, calle 8 # 84f - 155 casa 1090 , MEDELLIN, ANTIOQUIA, CO</x:t>
        </x:is>
      </x:c>
      <x:c r="N470" s="3" t="inlineStr">
        <x:is>
          <x:t/>
        </x:is>
      </x:c>
      <x:c r="O470" s="3" t="inlineStr">
        <x:is>
          <x:t>16 ene. 2023</x:t>
        </x:is>
      </x:c>
      <x:c r="P470" s="3" t="inlineStr">
        <x:is>
          <x:t/>
        </x:is>
      </x:c>
      <x:c r="Q470" s="3" t="inlineStr">
        <x:is>
          <x:t/>
        </x:is>
      </x:c>
    </x:row>
    <x:row r="471">
      <x:c r="A471" s="10" t="inlineStr">
        <x:f xml:space="preserve">HYPERLINK("http://sipi.sic.gov.co/sipi/View.ashx?4365739","SD2022/0095990")</x:f>
      </x:c>
      <x:c r="B471" s="3" t="inlineStr">
        <x:is>
          <x:t>AS ALESSIO</x:t>
        </x:is>
      </x:c>
      <x:c r="C471" s="9" t="inlineStr">
        <x:is>
          <x:t/>
        </x:is>
      </x:c>
      <x:c r="D471" s="3" t="inlineStr">
        <x:is>
          <x:t>16 sept. 2022</x:t>
        </x:is>
      </x:c>
      <x:c r="E471" s="3" t="inlineStr">
        <x:is>
          <x:t/>
        </x:is>
      </x:c>
      <x:c r="F471" s="3" t="inlineStr">
        <x:is>
          <x:t>Negada</x:t>
        </x:is>
      </x:c>
      <x:c r="G471" s="3" t="inlineStr">
        <x:is>
          <x:t>ALESSIO</x:t>
        </x:is>
      </x:c>
      <x:c r="H471" s="3" t="inlineStr">
        <x:is>
          <x:t>Andrés David Botero Duque, Calle 10a # 10-190 edificio paradisia apto 1503, MEDELLIN, ANTIOQUIA, CO</x:t>
        </x:is>
      </x:c>
      <x:c r="I471" s="3" t="inlineStr">
        <x:is>
          <x:t>3, 5</x:t>
        </x:is>
      </x:c>
      <x:c r="J471" s="3" t="inlineStr">
        <x:is>
          <x:t>11</x:t>
        </x:is>
      </x:c>
      <x:c r="K471" s="3" t="inlineStr">
        <x:is>
          <x: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bronceadoras.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
</x:t>
        </x:is>
      </x:c>
      <x:c r="L471" s="3" t="inlineStr">
        <x:is>
          <x:t>Sí</x:t>
        </x:is>
      </x:c>
      <x:c r="M471" s="3" t="inlineStr">
        <x:is>
          <x:t>Esteban  Berrio Lopez, calle 8 # 84f - 155 casa 1090 , MEDELLIN, ANTIOQUIA, CO</x:t>
        </x:is>
      </x:c>
      <x:c r="N471" s="3" t="inlineStr">
        <x:is>
          <x:t/>
        </x:is>
      </x:c>
      <x:c r="O471" s="3" t="inlineStr">
        <x:is>
          <x:t>20 dic. 2022</x:t>
        </x:is>
      </x:c>
      <x:c r="P471" s="3" t="inlineStr">
        <x:is>
          <x:t/>
        </x:is>
      </x:c>
      <x:c r="Q471" s="3" t="inlineStr">
        <x:is>
          <x:t/>
        </x:is>
      </x:c>
    </x:row>
    <x:row r="472">
      <x:c r="A472" s="10" t="inlineStr">
        <x:f xml:space="preserve">HYPERLINK("http://sipi.sic.gov.co/sipi/View.ashx?4366594","SD2022/0096329")</x:f>
      </x:c>
      <x:c r="B472" s="3" t="inlineStr">
        <x:is>
          <x:t>MAMA-LINA</x:t>
        </x:is>
      </x:c>
      <x:c r="C472" s="9" t="inlineStr">
        <x:is>
          <x:t/>
        </x:is>
      </x:c>
      <x:c r="D472" s="3" t="inlineStr">
        <x:is>
          <x:t>19 sept. 2022</x:t>
        </x:is>
      </x:c>
      <x:c r="E472" s="3" t="inlineStr">
        <x:is>
          <x:t/>
        </x:is>
      </x:c>
      <x:c r="F472" s="3" t="inlineStr">
        <x:is>
          <x:t>Negada</x:t>
        </x:is>
      </x:c>
      <x:c r="G472" s="3" t="inlineStr">
        <x:is>
          <x:t>Mama.lina</x:t>
        </x:is>
      </x:c>
      <x:c r="H472" s="3" t="inlineStr">
        <x:is>
          <x:t> HUMANCARE S.A.S., Calle 162 # 21-68, BOGOTÁ, D.C., CO</x:t>
        </x:is>
      </x:c>
      <x:c r="I472" s="3" t="inlineStr">
        <x:is>
          <x:t>3, 5</x:t>
        </x:is>
      </x:c>
      <x:c r="J472" s="3" t="inlineStr">
        <x:is>
          <x:t>11</x:t>
        </x:is>
      </x:c>
      <x:c r="K472" s="3" t="inlineStr">
        <x:is>
          <x:t>3. Cosméticos; cosméticos no medicinales; jabones cosméticos; jabones de tocador no medicinales; jabones no medicinales; preparaciones de higiene en cuanto productos de tocador; lociones capilares no medicinales; productos de perfumería, aceites esenciales; dentífricos no medicinales.
5. Productos farmacéuticos. preparaciones farmacéuticas. Medicamentos . Suplementos nutricionales / complementos nutricionales. Alimentos y sustancias dietéticas. Suplementos alimenticios para personas. Suplementos dietarios. Alimentos dietéticos para uso médico. Alimentos para bebés. Sustancias dietéticas para uso médico. Preparaciones alimenticias. Preparaciones de vitaminas. Preparaciones nutracéuticas para uso terapéutico o médico.
</x:t>
        </x:is>
      </x:c>
      <x:c r="L472" s="3" t="inlineStr">
        <x:is>
          <x:t>No</x:t>
        </x:is>
      </x:c>
      <x:c r="M472" s="3" t="inlineStr">
        <x:is>
          <x:t>FRANCISCO ADOLFO ACOSTA DE LA ROSA, CARRERA 12 A No.137-51 Apto.611, BOGOTÁ, D.C., CO</x:t>
        </x:is>
      </x:c>
      <x:c r="N472" s="3" t="inlineStr">
        <x:is>
          <x:t/>
        </x:is>
      </x:c>
      <x:c r="O472" s="3" t="inlineStr">
        <x:is>
          <x:t>31 oct. 2022</x:t>
        </x:is>
      </x:c>
      <x:c r="P472" s="3" t="inlineStr">
        <x:is>
          <x:t/>
        </x:is>
      </x:c>
      <x:c r="Q472" s="3" t="inlineStr">
        <x:is>
          <x:t/>
        </x:is>
      </x:c>
    </x:row>
    <x:row r="473">
      <x:c r="A473" s="10" t="inlineStr">
        <x:f xml:space="preserve">HYPERLINK("http://sipi.sic.gov.co/sipi/View.ashx?4367064","SD2022/0096132")</x:f>
      </x:c>
      <x:c r="B473" s="3" t="inlineStr">
        <x:is>
          <x:t>SHINE, BABE! </x:t>
        </x:is>
      </x:c>
      <x:c r="C473" s="9" t="inlineStr">
        <x:is>
          <x:t/>
        </x:is>
      </x:c>
      <x:c r="D473" s="3" t="inlineStr">
        <x:is>
          <x:t>19 sept. 2022</x:t>
        </x:is>
      </x:c>
      <x:c r="E473" s="3" t="inlineStr">
        <x:is>
          <x:t/>
        </x:is>
      </x:c>
      <x:c r="F473" s="3" t="inlineStr">
        <x:is>
          <x:t>Negada</x:t>
        </x:is>
      </x:c>
      <x:c r="G473" s="3" t="inlineStr">
        <x:is>
          <x:t>SHINE,BABE!</x:t>
        </x:is>
      </x:c>
      <x:c r="H473" s="3" t="inlineStr">
        <x:is>
          <x:t>LEIDY ALEJANDRA ARANGO NIETO, MZ 76 C4 JORDÁN 7MA ETAPA, IBAGUE, TOLIMA, CO</x:t>
        </x:is>
      </x:c>
      <x:c r="I473" s="3" t="inlineStr">
        <x:is>
          <x:t>3</x:t>
        </x:is>
      </x:c>
      <x:c r="J473" s="3" t="inlineStr">
        <x:is>
          <x:t>11</x:t>
        </x:is>
      </x:c>
      <x:c r="K47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73" s="3" t="inlineStr">
        <x:is>
          <x:t>No</x:t>
        </x:is>
      </x:c>
      <x:c r="M473" s="3" t="inlineStr">
        <x:is>
          <x:t/>
        </x:is>
      </x:c>
      <x:c r="N473" s="3" t="inlineStr">
        <x:is>
          <x:t/>
        </x:is>
      </x:c>
      <x:c r="O473" s="3" t="inlineStr">
        <x:is>
          <x:t>31 oct. 2022</x:t>
        </x:is>
      </x:c>
      <x:c r="P473" s="3" t="inlineStr">
        <x:is>
          <x:t/>
        </x:is>
      </x:c>
      <x:c r="Q473" s="3" t="inlineStr">
        <x:is>
          <x:t/>
        </x:is>
      </x:c>
    </x:row>
    <x:row r="474">
      <x:c r="A474" s="10" t="inlineStr">
        <x:f xml:space="preserve">HYPERLINK("http://sipi.sic.gov.co/sipi/View.ashx?4367776","SD2022/0096294")</x:f>
      </x:c>
      <x:c r="B474" s="3" t="inlineStr">
        <x:is>
          <x:t>KB KARLA BEAUTY</x:t>
        </x:is>
      </x:c>
      <x:c r="C474" s="9" t="inlineStr">
        <x:is>
          <x:t/>
        </x:is>
      </x:c>
      <x:c r="D474" s="3" t="inlineStr">
        <x:is>
          <x:t>19 sept. 2022</x:t>
        </x:is>
      </x:c>
      <x:c r="E474" s="3" t="inlineStr">
        <x:is>
          <x:t/>
        </x:is>
      </x:c>
      <x:c r="F474" s="3" t="inlineStr">
        <x:is>
          <x:t>Negada</x:t>
        </x:is>
      </x:c>
      <x:c r="G474" s="3" t="inlineStr">
        <x:is>
          <x:t/>
        </x:is>
      </x:c>
      <x:c r="H474" s="3" t="inlineStr">
        <x:is>
          <x:t>KARLA ALTAMAR LOPEZ, calle 11# 2-45, SABANAGRANDE, ATLÁNTICO 080001, CO</x:t>
        </x:is>
      </x:c>
      <x:c r="I474" s="3" t="inlineStr">
        <x:is>
          <x:t>3, 35</x:t>
        </x:is>
      </x:c>
      <x:c r="J474" s="3" t="inlineStr">
        <x:is>
          <x:t>11</x:t>
        </x:is>
      </x:c>
      <x:c r="K474" s="3" t="inlineStr">
        <x:is>
          <x:t>3. Mascarillas corporales; mascarillas corporales en polvo; mascarillas corporales en polvo para uso cosmético; mascarillas corporales para uso cosmético; mascarillas cosméticas; mascarillas cosméticas para el cutis; mascarillas envasadas para uso cosmético; mascarillas faciales; mascarillas faciales [productos cosméticos]; mascarillas faciales cosméticas; mascarillas faciales de limpieza profunda; mascarillas faciales para eliminar el exceso de sebo de la cara; mascarillas faciales para limpiar los poros; mascarillas faciales para uso cosmético; mascarillas para el cutis; mascarillas para el cutis [cosméticos]; mascarillas para eliminar los comedones; mascarillas para eliminar los puntos negros; mascarillas para la cara; mascarillas para pieles grasas.
35. Servicios de publicidad online.
</x:t>
        </x:is>
      </x:c>
      <x:c r="L474" s="3" t="inlineStr">
        <x:is>
          <x:t>No</x:t>
        </x:is>
      </x:c>
      <x:c r="M474" s="3" t="inlineStr">
        <x:is>
          <x:t>jose andres sanabria nunzaba, carrera 15 No 8-08, BOGOTA, CUNDINAMARCA, CO</x:t>
        </x:is>
      </x:c>
      <x:c r="N474" s="3" t="inlineStr">
        <x:is>
          <x:t/>
        </x:is>
      </x:c>
      <x:c r="O474" s="3" t="inlineStr">
        <x:is>
          <x:t>07 jun. 2024</x:t>
        </x:is>
      </x:c>
      <x:c r="P474" s="3" t="inlineStr">
        <x:is>
          <x:t/>
        </x:is>
      </x:c>
      <x:c r="Q474" s="3" t="inlineStr">
        <x:is>
          <x:t/>
        </x:is>
      </x:c>
    </x:row>
    <x:row r="475">
      <x:c r="A475" s="10" t="inlineStr">
        <x:f xml:space="preserve">HYPERLINK("http://sipi.sic.gov.co/sipi/View.ashx?4367789","SD2022/0096287")</x:f>
      </x:c>
      <x:c r="B475" s="3" t="inlineStr">
        <x:is>
          <x:t>BOMBAI</x:t>
        </x:is>
      </x:c>
      <x:c r="C475" s="3" t="inlineStr">
        <x:is>
          <x:t/>
        </x:is>
      </x:c>
      <x:c r="D475" s="3" t="inlineStr">
        <x:is>
          <x:t>19 sept. 2022</x:t>
        </x:is>
      </x:c>
      <x:c r="E475" s="3" t="inlineStr">
        <x:is>
          <x:t/>
        </x:is>
      </x:c>
      <x:c r="F475" s="3" t="inlineStr">
        <x:is>
          <x:t>Negada</x:t>
        </x:is>
      </x:c>
      <x:c r="G475" s="3" t="inlineStr">
        <x:is>
          <x:t/>
        </x:is>
      </x:c>
      <x:c r="H475" s="3" t="inlineStr">
        <x:is>
          <x:t> INDUSTRIAS DOFI SAS, SIN ESTABLECER, ARMENIA, QUINDIO, CO</x:t>
        </x:is>
      </x:c>
      <x:c r="I475" s="3" t="inlineStr">
        <x:is>
          <x:t>3</x:t>
        </x:is>
      </x:c>
      <x:c r="J475" s="3" t="inlineStr">
        <x:is>
          <x:t>11</x:t>
        </x:is>
      </x:c>
      <x:c r="K475" s="3" t="inlineStr">
        <x:is>
          <x:t>3. PREPARACIONES PARA LIMPIAR PISOS; BLANQUEADORES; LIMPIAPISOS; LIMPIADORES PARA USO DOMÉSTICO; LIMPIADORES LÍQUIDOS; LAVALOZA; PREPARACIONES PARA LIMPIAR, PULIR, DESENGRASAR Y RASPAR; DESENGRASANTES DE LIMPIEZA; DETERGENTES PARA EL HOGAR; LÍQUIDOS PARA LA LAVANDERÍA.
</x:t>
        </x:is>
      </x:c>
      <x:c r="L475" s="3" t="inlineStr">
        <x:is>
          <x:t>Sí</x:t>
        </x:is>
      </x:c>
      <x:c r="M475" s="3" t="inlineStr">
        <x:is>
          <x:t>ANDRES MARQUEZ ACOSTA, Carrera 43 A 5A 113 torre sur piso 14, MEDELLIN, ANTIOQUIA, CO</x:t>
        </x:is>
      </x:c>
      <x:c r="N475" s="3" t="inlineStr">
        <x:is>
          <x:t/>
        </x:is>
      </x:c>
      <x:c r="O475" s="3" t="inlineStr">
        <x:is>
          <x:t>26 ene. 2023</x:t>
        </x:is>
      </x:c>
      <x:c r="P475" s="3" t="inlineStr">
        <x:is>
          <x:t/>
        </x:is>
      </x:c>
      <x:c r="Q475" s="3" t="inlineStr">
        <x:is>
          <x:t/>
        </x:is>
      </x:c>
    </x:row>
    <x:row r="476">
      <x:c r="A476" s="10" t="inlineStr">
        <x:f xml:space="preserve">HYPERLINK("http://sipi.sic.gov.co/sipi/View.ashx?4367845","SD2022/0096297")</x:f>
      </x:c>
      <x:c r="B476" s="3" t="inlineStr">
        <x:is>
          <x:t>COCORA</x:t>
        </x:is>
      </x:c>
      <x:c r="C476" s="3" t="inlineStr">
        <x:is>
          <x:t/>
        </x:is>
      </x:c>
      <x:c r="D476" s="3" t="inlineStr">
        <x:is>
          <x:t>19 sept. 2022</x:t>
        </x:is>
      </x:c>
      <x:c r="E476" s="3" t="inlineStr">
        <x:is>
          <x:t/>
        </x:is>
      </x:c>
      <x:c r="F476" s="3" t="inlineStr">
        <x:is>
          <x:t>Negada</x:t>
        </x:is>
      </x:c>
      <x:c r="G476" s="3" t="inlineStr">
        <x:is>
          <x:t/>
        </x:is>
      </x:c>
      <x:c r="H476" s="3" t="inlineStr">
        <x:is>
          <x:t> INDUSTRIAS DOFI SAS, SIN ESTABLECER, ARMENIA, QUINDIO, CO</x:t>
        </x:is>
      </x:c>
      <x:c r="I476" s="3" t="inlineStr">
        <x:is>
          <x:t>3</x:t>
        </x:is>
      </x:c>
      <x:c r="J476" s="3" t="inlineStr">
        <x:is>
          <x:t>11</x:t>
        </x:is>
      </x:c>
      <x:c r="K476" s="3" t="inlineStr">
        <x:is>
          <x:t>3. PREPARACIONES PARA LIMPIAR PISOS; BLANQUEADORES; LIMPIAPISOS; LIMPIADORES PARA USO DOMÉSTICO; LIMPIADORES LÍQUIDOS; LAVALOZA; PREPARACIONES PARA LIMPIAR, PULIR, DESENGRASAR Y RASPAR; DESENGRASANTES DE LIMPIEZA; DETERGENTES PARA EL HOGAR; LÍQUIDOS PARA LA LAVANDERÍA.
</x:t>
        </x:is>
      </x:c>
      <x:c r="L476" s="3" t="inlineStr">
        <x:is>
          <x:t>No</x:t>
        </x:is>
      </x:c>
      <x:c r="M476" s="3" t="inlineStr">
        <x:is>
          <x:t>ANDRES MARQUEZ ACOSTA, Carrera 43 A 5A 113 torre sur piso 14, MEDELLIN, ANTIOQUIA, CO</x:t>
        </x:is>
      </x:c>
      <x:c r="N476" s="3" t="inlineStr">
        <x:is>
          <x:t/>
        </x:is>
      </x:c>
      <x:c r="O476" s="3" t="inlineStr">
        <x:is>
          <x:t>26 ene. 2023</x:t>
        </x:is>
      </x:c>
      <x:c r="P476" s="3" t="inlineStr">
        <x:is>
          <x:t/>
        </x:is>
      </x:c>
      <x:c r="Q476" s="3" t="inlineStr">
        <x:is>
          <x:t/>
        </x:is>
      </x:c>
    </x:row>
    <x:row r="477">
      <x:c r="A477" s="10" t="inlineStr">
        <x:f xml:space="preserve">HYPERLINK("http://sipi.sic.gov.co/sipi/View.ashx?4367860","SD2022/0096302")</x:f>
      </x:c>
      <x:c r="B477" s="3" t="inlineStr">
        <x:is>
          <x:t>MÁGICO ENCANTO</x:t>
        </x:is>
      </x:c>
      <x:c r="C477" s="3" t="inlineStr">
        <x:is>
          <x:t/>
        </x:is>
      </x:c>
      <x:c r="D477" s="3" t="inlineStr">
        <x:is>
          <x:t>19 sept. 2022</x:t>
        </x:is>
      </x:c>
      <x:c r="E477" s="3" t="inlineStr">
        <x:is>
          <x:t/>
        </x:is>
      </x:c>
      <x:c r="F477" s="3" t="inlineStr">
        <x:is>
          <x:t>Negada</x:t>
        </x:is>
      </x:c>
      <x:c r="G477" s="3" t="inlineStr">
        <x:is>
          <x:t/>
        </x:is>
      </x:c>
      <x:c r="H477" s="3" t="inlineStr">
        <x:is>
          <x:t> INDUSTRIAS DOFI SAS, SIN ESTABLECER, ARMENIA, QUINDIO, CO</x:t>
        </x:is>
      </x:c>
      <x:c r="I477" s="3" t="inlineStr">
        <x:is>
          <x:t>3</x:t>
        </x:is>
      </x:c>
      <x:c r="J477" s="3" t="inlineStr">
        <x:is>
          <x:t>11</x:t>
        </x:is>
      </x:c>
      <x:c r="K477" s="3" t="inlineStr">
        <x:is>
          <x:t>3. PREPARACIONES PARA LIMPIAR PISOS; BLANQUEADORES; LIMPIAPISOS; LIMPIADORES PARA USO DOMÉSTICO; LIMPIADORES LÍQUIDOS; LAVALOZA; PREPARACIONES PARA LIMPIAR, PULIR, DESENGRASAR Y RASPAR; DESENGRASANTES DE LIMPIEZA; DETERGENTES PARA EL HOGAR; LÍQUIDOS PARA LA LAVANDERÍA.
</x:t>
        </x:is>
      </x:c>
      <x:c r="L477" s="3" t="inlineStr">
        <x:is>
          <x:t>No</x:t>
        </x:is>
      </x:c>
      <x:c r="M477" s="3" t="inlineStr">
        <x:is>
          <x:t>ANDRES MARQUEZ ACOSTA, Carrera 43 A 5A 113 torre sur piso 14, MEDELLIN, ANTIOQUIA, CO</x:t>
        </x:is>
      </x:c>
      <x:c r="N477" s="3" t="inlineStr">
        <x:is>
          <x:t/>
        </x:is>
      </x:c>
      <x:c r="O477" s="3" t="inlineStr">
        <x:is>
          <x:t>18 nov. 2022</x:t>
        </x:is>
      </x:c>
      <x:c r="P477" s="3" t="inlineStr">
        <x:is>
          <x:t/>
        </x:is>
      </x:c>
      <x:c r="Q477" s="3" t="inlineStr">
        <x:is>
          <x:t/>
        </x:is>
      </x:c>
    </x:row>
    <x:row r="478">
      <x:c r="A478" s="10" t="inlineStr">
        <x:f xml:space="preserve">HYPERLINK("http://sipi.sic.gov.co/sipi/View.ashx?4369753","SD2022/0097178")</x:f>
      </x:c>
      <x:c r="B478" s="3" t="inlineStr">
        <x:is>
          <x:t>Nature and Skin</x:t>
        </x:is>
      </x:c>
      <x:c r="C478" s="9" t="inlineStr">
        <x:is>
          <x:t/>
        </x:is>
      </x:c>
      <x:c r="D478" s="3" t="inlineStr">
        <x:is>
          <x:t>21 sept. 2022</x:t>
        </x:is>
      </x:c>
      <x:c r="E478" s="3" t="inlineStr">
        <x:is>
          <x:t/>
        </x:is>
      </x:c>
      <x:c r="F478" s="3" t="inlineStr">
        <x:is>
          <x:t>Negada</x:t>
        </x:is>
      </x:c>
      <x:c r="G478" s="3" t="inlineStr">
        <x:is>
          <x:t>Nature</x:t>
        </x:is>
      </x:c>
      <x:c r="H478" s="3" t="inlineStr">
        <x:is>
          <x:t>Hannan Jadiye Amar Garces, Calle 102a #70c-25, BOGOTÁ, D.C. 111121, CO</x:t>
        </x:is>
      </x:c>
      <x:c r="I478" s="3" t="inlineStr">
        <x:is>
          <x:t>3</x:t>
        </x:is>
      </x:c>
      <x:c r="J478" s="3" t="inlineStr">
        <x:is>
          <x:t>11</x:t>
        </x:is>
      </x:c>
      <x:c r="K47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78" s="3" t="inlineStr">
        <x:is>
          <x:t>No</x:t>
        </x:is>
      </x:c>
      <x:c r="M478" s="3" t="inlineStr">
        <x:is>
          <x:t/>
        </x:is>
      </x:c>
      <x:c r="N478" s="3" t="inlineStr">
        <x:is>
          <x:t/>
        </x:is>
      </x:c>
      <x:c r="O478" s="3" t="inlineStr">
        <x:is>
          <x:t>18 nov. 2022</x:t>
        </x:is>
      </x:c>
      <x:c r="P478" s="3" t="inlineStr">
        <x:is>
          <x:t/>
        </x:is>
      </x:c>
      <x:c r="Q478" s="3" t="inlineStr">
        <x:is>
          <x:t/>
        </x:is>
      </x:c>
    </x:row>
    <x:row r="479">
      <x:c r="A479" s="10" t="inlineStr">
        <x:f xml:space="preserve">HYPERLINK("http://sipi.sic.gov.co/sipi/View.ashx?4369965","SD2022/0096738")</x:f>
      </x:c>
      <x:c r="B479" s="3" t="inlineStr">
        <x:is>
          <x:t>CABELLO SALVAJE </x:t>
        </x:is>
      </x:c>
      <x:c r="C479" s="9" t="inlineStr">
        <x:is>
          <x:t/>
        </x:is>
      </x:c>
      <x:c r="D479" s="3" t="inlineStr">
        <x:is>
          <x:t>20 sept. 2022</x:t>
        </x:is>
      </x:c>
      <x:c r="E479" s="3" t="inlineStr">
        <x:is>
          <x:t/>
        </x:is>
      </x:c>
      <x:c r="F479" s="3" t="inlineStr">
        <x:is>
          <x:t>Negada</x:t>
        </x:is>
      </x:c>
      <x:c r="G479" s="3" t="inlineStr">
        <x:is>
          <x:t/>
        </x:is>
      </x:c>
      <x:c r="H479" s="3" t="inlineStr">
        <x:is>
          <x:t>mariam sofia isaza ventura, carrera 21a#13b-08, BARANOA, ATLÁNTICO, CO</x:t>
        </x:is>
      </x:c>
      <x:c r="I479" s="3" t="inlineStr">
        <x:is>
          <x:t>3</x:t>
        </x:is>
      </x:c>
      <x:c r="J479" s="3" t="inlineStr">
        <x:is>
          <x:t>11</x:t>
        </x:is>
      </x:c>
      <x:c r="K47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79" s="3" t="inlineStr">
        <x:is>
          <x:t>Sí</x:t>
        </x:is>
      </x:c>
      <x:c r="M479" s="3" t="inlineStr">
        <x:is>
          <x:t/>
        </x:is>
      </x:c>
      <x:c r="N479" s="3" t="inlineStr">
        <x:is>
          <x:t/>
        </x:is>
      </x:c>
      <x:c r="O479" s="3" t="inlineStr">
        <x:is>
          <x:t>11 oct. 2022</x:t>
        </x:is>
      </x:c>
      <x:c r="P479" s="3" t="inlineStr">
        <x:is>
          <x:t/>
        </x:is>
      </x:c>
      <x:c r="Q479" s="3" t="inlineStr">
        <x:is>
          <x:t/>
        </x:is>
      </x:c>
    </x:row>
    <x:row r="480">
      <x:c r="A480" s="10" t="inlineStr">
        <x:f xml:space="preserve">HYPERLINK("http://sipi.sic.gov.co/sipi/View.ashx?4369984","SD2022/0096747")</x:f>
      </x:c>
      <x:c r="B480" s="3" t="inlineStr">
        <x:is>
          <x:t>MAVE</x:t>
        </x:is>
      </x:c>
      <x:c r="C480" s="9" t="inlineStr">
        <x:is>
          <x:t/>
        </x:is>
      </x:c>
      <x:c r="D480" s="3" t="inlineStr">
        <x:is>
          <x:t>20 sept. 2022</x:t>
        </x:is>
      </x:c>
      <x:c r="E480" s="3" t="inlineStr">
        <x:is>
          <x:t/>
        </x:is>
      </x:c>
      <x:c r="F480" s="3" t="inlineStr">
        <x:is>
          <x:t>Negada</x:t>
        </x:is>
      </x:c>
      <x:c r="G480" s="3" t="inlineStr">
        <x:is>
          <x:t/>
        </x:is>
      </x:c>
      <x:c r="H480" s="3" t="inlineStr">
        <x:is>
          <x:t>MARIA VALENTINA GUTIERREZ BOLIVAR,  I-Autonorte #Km 19, CHIA, CUNDINAMARCA, CO</x:t>
        </x:is>
      </x:c>
      <x:c r="I480" s="3" t="inlineStr">
        <x:is>
          <x:t>3</x:t>
        </x:is>
      </x:c>
      <x:c r="J480" s="3" t="inlineStr">
        <x:is>
          <x:t>11</x:t>
        </x:is>
      </x:c>
      <x:c r="K480" s="3" t="inlineStr">
        <x:is>
          <x:t>3. Productos cosméticos para el baño y la ducha; productos cosméticos para el cabello y el cuero cabelludo.
</x:t>
        </x:is>
      </x:c>
      <x:c r="L480" s="3" t="inlineStr">
        <x:is>
          <x:t>No</x:t>
        </x:is>
      </x:c>
      <x:c r="M480" s="3" t="inlineStr">
        <x:is>
          <x:t>CESAR AUGUSTO GONZALEZ GONZALEZ,  Cr 11 No. 7-21. Pl 1 P 1, ZIPAQUIRA, CUNDINAMARCA, CO</x:t>
        </x:is>
      </x:c>
      <x:c r="N480" s="3" t="inlineStr">
        <x:is>
          <x:t/>
        </x:is>
      </x:c>
      <x:c r="O480" s="3" t="inlineStr">
        <x:is>
          <x:t>27 feb. 2023</x:t>
        </x:is>
      </x:c>
      <x:c r="P480" s="3" t="inlineStr">
        <x:is>
          <x:t/>
        </x:is>
      </x:c>
      <x:c r="Q480" s="3" t="inlineStr">
        <x:is>
          <x:t/>
        </x:is>
      </x:c>
    </x:row>
    <x:row r="481">
      <x:c r="A481" s="10" t="inlineStr">
        <x:f xml:space="preserve">HYPERLINK("http://sipi.sic.gov.co/sipi/View.ashx?4373197","SD2022/0097593")</x:f>
      </x:c>
      <x:c r="B481" s="3" t="inlineStr">
        <x:is>
          <x:t>ELYVERSE By Ely Rodas</x:t>
        </x:is>
      </x:c>
      <x:c r="C481" s="9" t="inlineStr">
        <x:is>
          <x:t/>
        </x:is>
      </x:c>
      <x:c r="D481" s="3" t="inlineStr">
        <x:is>
          <x:t>22 sept. 2022</x:t>
        </x:is>
      </x:c>
      <x:c r="E481" s="3" t="inlineStr">
        <x:is>
          <x:t/>
        </x:is>
      </x:c>
      <x:c r="F481" s="3" t="inlineStr">
        <x:is>
          <x:t>Negada</x:t>
        </x:is>
      </x:c>
      <x:c r="G481" s="3" t="inlineStr">
        <x:is>
          <x:t>ELYVERSE By Ely Rodas</x:t>
        </x:is>
      </x:c>
      <x:c r="H481" s="3" t="inlineStr">
        <x:is>
          <x:t> SOCIEDAD DERMALUXXOR SAS, QUINTA AVE # 6A-19 OF 206 CENTRO MEDICO BOCAGRANDE BARRIO BOCAGRANDE, CARTAGENA, BOLIVAR, CO</x:t>
        </x:is>
      </x:c>
      <x:c r="I481" s="3" t="inlineStr">
        <x:is>
          <x:t>3, 5, 25</x:t>
        </x:is>
      </x:c>
      <x:c r="J481" s="3" t="inlineStr">
        <x:is>
          <x:t>11</x:t>
        </x:is>
      </x:c>
      <x:c r="K481" s="3" t="inlineStr">
        <x:is>
          <x:t>3. Cosméticos.
5. Suplementos alimenticios; suplementos dietéticos.
25. Ropa de deporte; ropa de mujer; ropa informal; ropa interior; ropa interior de mujer; ropa interior femenina; ropa*.
</x:t>
        </x:is>
      </x:c>
      <x:c r="L481" s="3" t="inlineStr">
        <x:is>
          <x:t>No</x:t>
        </x:is>
      </x:c>
      <x:c r="M481" s="3" t="inlineStr">
        <x:is>
          <x:t>WILMAR DE JESUS POLO VEGA,  QUINTA AVENIDA AV 6 A 19 OF 206, CARTAGENA, BOLIVAR, CO</x:t>
        </x:is>
      </x:c>
      <x:c r="N481" s="3" t="inlineStr">
        <x:is>
          <x:t/>
        </x:is>
      </x:c>
      <x:c r="O481" s="3" t="inlineStr">
        <x:is>
          <x:t>20 dic. 2022</x:t>
        </x:is>
      </x:c>
      <x:c r="P481" s="3" t="inlineStr">
        <x:is>
          <x:t/>
        </x:is>
      </x:c>
      <x:c r="Q481" s="3" t="inlineStr">
        <x:is>
          <x:t/>
        </x:is>
      </x:c>
    </x:row>
    <x:row r="482">
      <x:c r="A482" s="10" t="inlineStr">
        <x:f xml:space="preserve">HYPERLINK("http://sipi.sic.gov.co/sipi/View.ashx?4373534","SD2022/0097655")</x:f>
      </x:c>
      <x:c r="B482" s="3" t="inlineStr">
        <x:is>
          <x:t>NatyNatu biocosmeticos</x:t>
        </x:is>
      </x:c>
      <x:c r="C482" s="9" t="inlineStr">
        <x:is>
          <x:t/>
        </x:is>
      </x:c>
      <x:c r="D482" s="3" t="inlineStr">
        <x:is>
          <x:t>05 oct. 2022</x:t>
        </x:is>
      </x:c>
      <x:c r="E482" s="3" t="inlineStr">
        <x:is>
          <x:t/>
        </x:is>
      </x:c>
      <x:c r="F482" s="3" t="inlineStr">
        <x:is>
          <x:t>Negada</x:t>
        </x:is>
      </x:c>
      <x:c r="G482" s="3" t="inlineStr">
        <x:is>
          <x:t>NatyNatu biocosmeticos</x:t>
        </x:is>
      </x:c>
      <x:c r="H482" s="3" t="inlineStr">
        <x:is>
          <x:t> Natalia Trejos SAS BIC, Carrera 11 # 11 - 40, casa 15, BELEN DE UMBRIA, RISARALDA, CO</x:t>
        </x:is>
      </x:c>
      <x:c r="I482" s="3" t="inlineStr">
        <x:is>
          <x:t>3</x:t>
        </x:is>
      </x:c>
      <x:c r="J482" s="3" t="inlineStr">
        <x:is>
          <x:t>11</x:t>
        </x:is>
      </x:c>
      <x:c r="K482" s="3" t="inlineStr">
        <x:is>
          <x:t>3. Cosméticos de belleza; cosméticos naturales.
</x:t>
        </x:is>
      </x:c>
      <x:c r="L482" s="3" t="inlineStr">
        <x:is>
          <x:t>No</x:t>
        </x:is>
      </x:c>
      <x:c r="M482" s="3" t="inlineStr">
        <x:is>
          <x:t>leidy natalia trejos tirado, carrera 11 barrio ciudad belen casa 15, BELEN DE UMBRIA, RISARALDA, CO</x:t>
        </x:is>
      </x:c>
      <x:c r="N482" s="3" t="inlineStr">
        <x:is>
          <x:t/>
        </x:is>
      </x:c>
      <x:c r="O482" s="3" t="inlineStr">
        <x:is>
          <x:t>21 oct. 2022</x:t>
        </x:is>
      </x:c>
      <x:c r="P482" s="3" t="inlineStr">
        <x:is>
          <x:t/>
        </x:is>
      </x:c>
      <x:c r="Q482" s="3" t="inlineStr">
        <x:is>
          <x:t/>
        </x:is>
      </x:c>
    </x:row>
    <x:row r="483">
      <x:c r="A483" s="10" t="inlineStr">
        <x:f xml:space="preserve">HYPERLINK("http://sipi.sic.gov.co/sipi/View.ashx?4375548","SD2022/0098125")</x:f>
      </x:c>
      <x:c r="B483" s="3" t="inlineStr">
        <x:is>
          <x:t>Malufa</x:t>
        </x:is>
      </x:c>
      <x:c r="C483" s="9" t="inlineStr">
        <x:is>
          <x:t/>
        </x:is>
      </x:c>
      <x:c r="D483" s="3" t="inlineStr">
        <x:is>
          <x:t>23 sept. 2022</x:t>
        </x:is>
      </x:c>
      <x:c r="E483" s="3" t="inlineStr">
        <x:is>
          <x:t/>
        </x:is>
      </x:c>
      <x:c r="F483" s="3" t="inlineStr">
        <x:is>
          <x:t>Negada</x:t>
        </x:is>
      </x:c>
      <x:c r="G483" s="3" t="inlineStr">
        <x:is>
          <x:t>Malufa</x:t>
        </x:is>
      </x:c>
      <x:c r="H483" s="3" t="inlineStr">
        <x:is>
          <x:t>olga lucia  obando cataño, calle 38 # 26-59, TULUA, VALLE DEL CAUCA, CO</x:t>
        </x:is>
      </x:c>
      <x:c r="I483" s="3" t="inlineStr">
        <x:is>
          <x:t>3</x:t>
        </x:is>
      </x:c>
      <x:c r="J483" s="3" t="inlineStr">
        <x:is>
          <x:t>11</x:t>
        </x:is>
      </x:c>
      <x:c r="K483" s="3" t="inlineStr">
        <x:is>
          <x:t>3. Aceites cosméticos; aceites cosméticos para la piel; aceites de baño para uso cosmético; aceites perfumados para la fabricación de productos cosméticos; colonias, perfumes y productos cosméticos; cosméticos; geles cosméticos; productos cosméticos a base de hierbas; productos cosméticos de baño y ducha; productos cosméticos en forma de cremas; productos cosméticos para el baño y la ducha; productos cosméticos para el cabello y el cuero cabelludo; productos cosméticos para uso personal; productos cosméticos y de belleza; productos de perfumería, aceites esenciales, cosméticos no medicinales, lociones capilares no medicinales; productos de perfumería, aceites esenciales, cosméticos, lociones capilares; revitalizantes para el cabello de uso cosmético; suavizantes para el cabello de uso cosmético; tónicos cosméticos.
</x:t>
        </x:is>
      </x:c>
      <x:c r="L483" s="3" t="inlineStr">
        <x:is>
          <x:t>No</x:t>
        </x:is>
      </x:c>
      <x:c r="M483" s="3" t="inlineStr">
        <x:is>
          <x:t/>
        </x:is>
      </x:c>
      <x:c r="N483" s="3" t="inlineStr">
        <x:is>
          <x:t/>
        </x:is>
      </x:c>
      <x:c r="O483" s="3" t="inlineStr">
        <x:is>
          <x:t>20 dic. 2022</x:t>
        </x:is>
      </x:c>
      <x:c r="P483" s="3" t="inlineStr">
        <x:is>
          <x:t/>
        </x:is>
      </x:c>
      <x:c r="Q483" s="3" t="inlineStr">
        <x:is>
          <x:t/>
        </x:is>
      </x:c>
    </x:row>
    <x:row r="484">
      <x:c r="A484" s="10" t="inlineStr">
        <x:f xml:space="preserve">HYPERLINK("http://sipi.sic.gov.co/sipi/View.ashx?4376441","SD2022/0098583")</x:f>
      </x:c>
      <x:c r="B484" s="3" t="inlineStr">
        <x:is>
          <x:t>CALI</x:t>
        </x:is>
      </x:c>
      <x:c r="C484" s="3" t="inlineStr">
        <x:is>
          <x:t/>
        </x:is>
      </x:c>
      <x:c r="D484" s="3" t="inlineStr">
        <x:is>
          <x:t>26 sept. 2022</x:t>
        </x:is>
      </x:c>
      <x:c r="E484" s="3" t="inlineStr">
        <x:is>
          <x:t/>
        </x:is>
      </x:c>
      <x:c r="F484" s="3" t="inlineStr">
        <x:is>
          <x:t>Negada</x:t>
        </x:is>
      </x:c>
      <x:c r="G484" s="3" t="inlineStr">
        <x:is>
          <x:t>BE-IP </x:t>
        </x:is>
      </x:c>
      <x:c r="H484" s="3" t="inlineStr">
        <x:is>
          <x:t>Sami El Badaoui, Ruby Rose Building, 6th Floor, Tripoli City, Lebanon, TRIPOLI, LIBANO-NORTE, LB</x:t>
        </x:is>
      </x:c>
      <x:c r="I484" s="3" t="inlineStr">
        <x:is>
          <x:t>3</x:t>
        </x:is>
      </x:c>
      <x:c r="J484" s="3" t="inlineStr">
        <x:is>
          <x:t>11</x:t>
        </x:is>
      </x:c>
      <x:c r="K484" s="3" t="inlineStr">
        <x:is>
          <x:t>3. Leches limpiadoras de tocador; esmaltes de uñas; perfumes; productos de limpieza; aceites esenciales; cosméticos; lápices de labios [pintalabios]; mascarillas de belleza; brillos de labios; preparaciones cosméticas para el baño; algodón para uso cosmético; lápices para uso cosmético; máscara de pestañas; productos cosméticos para el cuidado de la piel; champús; pastas de dientes; cosméticos para animales; productos para perfumar el ambiente; uñas postizas; purpurina corporal.
</x:t>
        </x:is>
      </x:c>
      <x:c r="L484" s="3" t="inlineStr">
        <x:is>
          <x:t>Sí</x:t>
        </x:is>
      </x:c>
      <x:c r="M484" s="3" t="inlineStr">
        <x:is>
          <x:t>CLEMENCIA DELGADO VILLEGAS, Avenida Carrera  24 # 37-31 Oficina 202, BOGOTÁ, D.C., CO</x:t>
        </x:is>
      </x:c>
      <x:c r="N484" s="3" t="inlineStr">
        <x:is>
          <x:t/>
        </x:is>
      </x:c>
      <x:c r="O484" s="3" t="inlineStr">
        <x:is>
          <x:t>26 ene. 2023</x:t>
        </x:is>
      </x:c>
      <x:c r="P484" s="3" t="inlineStr">
        <x:is>
          <x:t/>
        </x:is>
      </x:c>
      <x:c r="Q484" s="3" t="inlineStr">
        <x:is>
          <x:t/>
        </x:is>
      </x:c>
    </x:row>
    <x:row r="485">
      <x:c r="A485" s="10" t="inlineStr">
        <x:f xml:space="preserve">HYPERLINK("http://sipi.sic.gov.co/sipi/View.ashx?4377126","SD2022/0098486")</x:f>
      </x:c>
      <x:c r="B485" s="3" t="inlineStr">
        <x:is>
          <x:t>Kerenaby Cosmetics</x:t>
        </x:is>
      </x:c>
      <x:c r="C485" s="9" t="inlineStr">
        <x:is>
          <x:t/>
        </x:is>
      </x:c>
      <x:c r="D485" s="3" t="inlineStr">
        <x:is>
          <x:t>24 sept. 2022</x:t>
        </x:is>
      </x:c>
      <x:c r="E485" s="3" t="inlineStr">
        <x:is>
          <x:t/>
        </x:is>
      </x:c>
      <x:c r="F485" s="3" t="inlineStr">
        <x:is>
          <x:t>Negada</x:t>
        </x:is>
      </x:c>
      <x:c r="G485" s="3" t="inlineStr">
        <x:is>
          <x:t>Kerenaby</x:t>
        </x:is>
      </x:c>
      <x:c r="H485" s="3" t="inlineStr">
        <x:is>
          <x:t>Valentina Villaquirán Franco, CL 66 Norte # 4 N - 100, CALI, VALLE DEL CAUCA, VALLE DEL CAUCA, CO</x:t>
        </x:is>
      </x:c>
      <x:c r="I485" s="3" t="inlineStr">
        <x:is>
          <x:t>3, 35</x:t>
        </x:is>
      </x:c>
      <x:c r="J485" s="3" t="inlineStr">
        <x:is>
          <x:t>11</x:t>
        </x:is>
      </x:c>
      <x:c r="K485" s="3" t="inlineStr">
        <x:is>
          <x:t>3. Aceite de rosas para uso cosmético; aceites bronceadores [cosméticos]; aceites bronceadores de uso cosmético; aceites cosméticos; aceites cosméticos para la piel; aceites de baño para uso cosmético; aceites esenciales para uso cosmético; aceites para bronceado [cosméticos]; aceites para después del sol [productos cosméticos]; aceites para después del sol de uso cosmético; aceites para el cuerpo de uso cosmético; aceites para uso cosmético;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almohadillas para uso cosmético; astringentes para uso cosmético; autobronceadores [cosméticos]; barras de labios con protección solar [cosméticos]; barras de labios en stick con protección solar [cosméticos]; baños de aceite para el cuidado del cabello de uso cosmético; brillos para uso cosmético; cintas de estiramiento facial para uso cosmético; cosméticos; cosméticos a base de hierbas; cosméticos de belleza; cosméticos ecológicos; cosméticos en forma de cremas; cosméticos en forma de polvos; cosméticos naturales; cosméticos para el cabello; cosméticos para el cuidado del cuerpo; cosméticos para los labios; cremas exfoliantes para uso cosmético; cremas hidratantes para la piel [cosméticos]; cremas limpiadoras [cosméticos]; cremas limpiadoras para uso cosmético; geles para uso cosmético; productos cosméticos de baño y ducha; productos cosméticos en forma de cremas; productos cosméticos en forma de polvos; productos cosméticos no medicinales; productos cosméticos para la piel; productos cosméticos y de belleza; productos cosméticos y de maquillaje; productos cosméticos y de tocador; productos cosméticos, a saber, leches, lociones y emulsiones; productos cosméticos, a saber, lociones.
35. Asesoramiento sobre productos de consumo en relación con productos cosméticos; servicio de distribución comercial en el ámbito de los cosméticos; servicios de agencia de ventas de productos cosméticos; servicios de publicidad en relación con productos cosméticos; servicios de revendedores en el ámbito de los cosméticos; servicios de venta de tienda al por menor en línea de productos cosméticos y de belleza; servicios de venta de tienda al por menor en línea que incluyen productos cosméticos y de belleza; servicios de venta de tienda minorista en línea de productos cosméticos y de belleza; servicios de venta de tienda minorista en línea en relación con productos cosméticos y de belleza; servicios de venta de tienda minorista en línea que incluyen productos cosméticos y de belleza; servicios de venta minorista en línea de cosméticos; servicios de venta minorista por correspondencia de cosméticos; servicios de venta minorista por correspondencia de productos cosméticos; comercialización de productos.
</x:t>
        </x:is>
      </x:c>
      <x:c r="L485" s="3" t="inlineStr">
        <x:is>
          <x:t>No</x:t>
        </x:is>
      </x:c>
      <x:c r="M485" s="3" t="inlineStr">
        <x:is>
          <x:t/>
        </x:is>
      </x:c>
      <x:c r="N485" s="3" t="inlineStr">
        <x:is>
          <x:t/>
        </x:is>
      </x:c>
      <x:c r="O485" s="3" t="inlineStr">
        <x:is>
          <x:t>29 nov. 2022</x:t>
        </x:is>
      </x:c>
      <x:c r="P485" s="3" t="inlineStr">
        <x:is>
          <x:t/>
        </x:is>
      </x:c>
      <x:c r="Q485" s="3" t="inlineStr">
        <x:is>
          <x:t/>
        </x:is>
      </x:c>
    </x:row>
    <x:row r="486">
      <x:c r="A486" s="10" t="inlineStr">
        <x:f xml:space="preserve">HYPERLINK("http://sipi.sic.gov.co/sipi/View.ashx?4377502","SD2022/0098559")</x:f>
      </x:c>
      <x:c r="B486" s="3" t="inlineStr">
        <x:is>
          <x:t>LIFFTA</x:t>
        </x:is>
      </x:c>
      <x:c r="C486" s="9" t="inlineStr">
        <x:is>
          <x:t/>
        </x:is>
      </x:c>
      <x:c r="D486" s="3" t="inlineStr">
        <x:is>
          <x:t>25 sept. 2022</x:t>
        </x:is>
      </x:c>
      <x:c r="E486" s="3" t="inlineStr">
        <x:is>
          <x:t/>
        </x:is>
      </x:c>
      <x:c r="F486" s="3" t="inlineStr">
        <x:is>
          <x:t>Negada</x:t>
        </x:is>
      </x:c>
      <x:c r="G486" s="3" t="inlineStr">
        <x:is>
          <x:t>LIFFTA</x:t>
        </x:is>
      </x:c>
      <x:c r="H486" s="3" t="inlineStr">
        <x:is>
          <x:t>SEBASTIAN RINCON GIRALDO, CRA 44 #67 SUR 62, SABANETA, ANTIOQUIA 055450, CO</x:t>
        </x:is>
      </x:c>
      <x:c r="I486" s="3" t="inlineStr">
        <x:is>
          <x:t>3</x:t>
        </x:is>
      </x:c>
      <x:c r="J486" s="3" t="inlineStr">
        <x:is>
          <x:t>11</x:t>
        </x:is>
      </x:c>
      <x:c r="K486" s="3" t="inlineStr">
        <x:is>
          <x:t>3. Aceites bronceadores [cosméticos]; aceites cosméticos; aceites de protección solar [cosméticos]; aceites perfumados para la fabricación de productos cosméticos; apitoxina [veneno de abeja melífera] con fines cosméticos; autobronceadores [cosméticos]; barras de labios en stick con protección solar [cosméticos]; colonias, perfumes y productos cosméticos; colorantes para los labios [productos cosméticos]; composiciones para aclarar la piel [cosméticos]; cosméticos; cosméticos a base de cannabis; cosméticos en forma de cremas; cosméticos en forma de polvos; cosméticos naturales; cosméticos para animales; cosméticos para cuidados corporales y estéticos; cosméticos para el cuidado del cuerpo; cosméticos y preparaciones cosméticas; cosméticos y preparaciones de cuidado personal; cremas de limpieza [productos cosméticos]; cremas para el cuerpo [cosméticos]; cremas tonificantes [cosméticos]; cremas y geles cosméticos para rostro, manos y cuerpo; cremas, leches, lociones, geles y polvos cosméticos para la cara, el cuerpo y las manos; filtro solar [cosméticos]; geles bronceadores [cosméticos]; geles cosméticos; geles para el cuerpo [cosméticos]; hidratantes [cosméticos]; jabones cosméticos; kits de cosméticos que contienen principalmente máscara de pestañas, lápices de labios, lápices de cejas, maquillaje, fundación de maquillaje y brillos de labios; limpiadores de la piel [cosméticos]; lociones faciales [cosméticos]; lociones hidratantes para el cuerpo [cosméticos]; maquillaje [cosméticos]; mascarillas para la piel [cosméticos]; perfumería para cosméticos; polvos cosméticos; preparaciones de cuidado facial [cosméticos]; preparados cosméticos para el cuidado del cuerpo; productos cosméticos a base de hierbas; productos cosméticos en forma de cremas; productos cosméticos en forma de polvos; productos cosméticos para la piel; productos cosméticos para uso personal; productos de perfumería, aceites esenciales, cosméticos, lociones capilares; tintes cosméticos; tónicos cosméticos; veneno de abeja con fines cosméticos; preparados para el cuidado de la piel a base de cbd; productos cosméticos de cbd.
</x:t>
        </x:is>
      </x:c>
      <x:c r="L486" s="3" t="inlineStr">
        <x:is>
          <x:t>No</x:t>
        </x:is>
      </x:c>
      <x:c r="M486" s="3" t="inlineStr">
        <x:is>
          <x:t/>
        </x:is>
      </x:c>
      <x:c r="N486" s="3" t="inlineStr">
        <x:is>
          <x:t/>
        </x:is>
      </x:c>
      <x:c r="O486" s="3" t="inlineStr">
        <x:is>
          <x:t>26 ene. 2023</x:t>
        </x:is>
      </x:c>
      <x:c r="P486" s="3" t="inlineStr">
        <x:is>
          <x:t/>
        </x:is>
      </x:c>
      <x:c r="Q486" s="3" t="inlineStr">
        <x:is>
          <x:t/>
        </x:is>
      </x:c>
    </x:row>
    <x:row r="487">
      <x:c r="A487" s="10" t="inlineStr">
        <x:f xml:space="preserve">HYPERLINK("http://sipi.sic.gov.co/sipi/View.ashx?4377624","SD2022/0098562")</x:f>
      </x:c>
      <x:c r="B487" s="3" t="inlineStr">
        <x:is>
          <x:t>ORO MILK SOFT</x:t>
        </x:is>
      </x:c>
      <x:c r="C487" s="9" t="inlineStr">
        <x:is>
          <x:t/>
        </x:is>
      </x:c>
      <x:c r="D487" s="3" t="inlineStr">
        <x:is>
          <x:t>25 sept. 2022</x:t>
        </x:is>
      </x:c>
      <x:c r="E487" s="3" t="inlineStr">
        <x:is>
          <x:t/>
        </x:is>
      </x:c>
      <x:c r="F487" s="3" t="inlineStr">
        <x:is>
          <x:t>Negada</x:t>
        </x:is>
      </x:c>
      <x:c r="G487" s="3" t="inlineStr">
        <x:is>
          <x:t>OROMILKSOFT</x:t>
        </x:is>
      </x:c>
      <x:c r="H487" s="3" t="inlineStr">
        <x:is>
          <x:t>SEBASTIAN RINCON GIRALDO, CRA 44 #67 SUR 62, SABANETA, ANTIOQUIA 055450, CO</x:t>
        </x:is>
      </x:c>
      <x:c r="I487" s="3" t="inlineStr">
        <x:is>
          <x:t>3</x:t>
        </x:is>
      </x:c>
      <x:c r="J487" s="3" t="inlineStr">
        <x:is>
          <x:t>11</x:t>
        </x:is>
      </x:c>
      <x:c r="K487" s="3" t="inlineStr">
        <x:is>
          <x:t>3. Aceite de amla para uso cosmético; aceite de coco para uso cosmético; aceites bronceadores [cosméticos]; aceites bronceadores de uso cosmético; aceites cosméticos; aceites cosméticos para la piel; aceites de protección solar [cosméticos]; aceites minerales [cosméticos]; aceites para después del sol [productos cosméticos]; aceites para el cuerpo de uso cosmético; aceites perfumados para la fabricación de productos cosméticos; apitoxina [veneno de abeja melífera] con fines cosméticos; astringentes para uso cosmético; autobronceadores [cosméticos]; basma para uso cosmético; bloqueador solar [cosméticos]; colorantes para los labios [productos cosméticos]; composiciones para aclarar la piel [cosméticos]; cosméticos; cosméticos a base de cannabis; cosméticos de belleza; cosméticos en forma de cremas; cosméticos en forma de polvos; cosméticos naturales; cosméticos para animales; cosméticos para el cabello; cosméticos para el cuidado del cuerpo; crema corporal para uso cosmético; cremas antienvejecimiento para uso cosmético; cremas con filtro solar para uso cosmético; cremas corporales [cosméticos]; cremas exfoliantes para uso cosmético; cremas limpiadoras para uso cosmético; cremas para después del sol de uso cosmético; cremas para el cuerpo [cosméticos]; cremas tonificantes [cosméticos]; cremas, leches, lociones, geles y polvos cosméticos para la cara, el cuerpo y las manos; exfoliantes para uso cosmético; filtro solar [cosméticos]; geles cosméticos; geles para después del sol [productos cosméticos]; geles para el cuerpo [cosméticos]; jabones cosméticos; kits de cosméticos que contienen principalmente máscara de pestañas, lápices de labios, lápices de cejas, maquillaje, fundación de maquillaje y brillos de labios; leches bronceadoras [cosméticos]; limpiadores de la piel [cosméticos]; lociones con filtro solar para uso cosmético; lociones para uso cosmético; maquillaje [cosméticos]; peróxido de hidrógeno para uso cosmético; pomadas para uso cosmético; productos con filtro solar para uso cosmético; productos cosméticos de cbd; productos cosméticos para la piel; productos cosméticos para uso personal; sprays para el cuerpo de uso cosmético; suavizantes para el cabello de uso cosmético; sueros para uso cosmético; tintes cosméticos; tintes labiales [cosméticos]; tónicos cosméticos; tónicos para uso cosmético; veneno de abeja con fines cosméticos; preparaciones para el cuidado de la piel a base de cbd; preparados para el cuidado de la piel a base de cbd.
</x:t>
        </x:is>
      </x:c>
      <x:c r="L487" s="3" t="inlineStr">
        <x:is>
          <x:t>No</x:t>
        </x:is>
      </x:c>
      <x:c r="M487" s="3" t="inlineStr">
        <x:is>
          <x:t/>
        </x:is>
      </x:c>
      <x:c r="N487" s="3" t="inlineStr">
        <x:is>
          <x:t/>
        </x:is>
      </x:c>
      <x:c r="O487" s="3" t="inlineStr">
        <x:is>
          <x:t>26 ene. 2023</x:t>
        </x:is>
      </x:c>
      <x:c r="P487" s="3" t="inlineStr">
        <x:is>
          <x:t/>
        </x:is>
      </x:c>
      <x:c r="Q487" s="3" t="inlineStr">
        <x:is>
          <x:t/>
        </x:is>
      </x:c>
    </x:row>
    <x:row r="488">
      <x:c r="A488" s="10" t="inlineStr">
        <x:f xml:space="preserve">HYPERLINK("http://sipi.sic.gov.co/sipi/View.ashx?4377849","SD2022/0099313")</x:f>
      </x:c>
      <x:c r="B488" s="3" t="inlineStr">
        <x:is>
          <x:t>JIE KOU</x:t>
        </x:is>
      </x:c>
      <x:c r="C488" s="9" t="inlineStr">
        <x:is>
          <x:t/>
        </x:is>
      </x:c>
      <x:c r="D488" s="3" t="inlineStr">
        <x:is>
          <x:t>27 sept. 2022</x:t>
        </x:is>
      </x:c>
      <x:c r="E488" s="3" t="inlineStr">
        <x:is>
          <x:t/>
        </x:is>
      </x:c>
      <x:c r="F488" s="3" t="inlineStr">
        <x:is>
          <x:t>Negada</x:t>
        </x:is>
      </x:c>
      <x:c r="G488" s="3" t="inlineStr">
        <x:is>
          <x:t/>
        </x:is>
      </x:c>
      <x:c r="H488" s="3" t="inlineStr">
        <x:is>
          <x:t>ZHONGFU ZHU, Calle 26 # 68c - 61, BOGOTÁ, D.C. 110111, CO</x:t>
        </x:is>
      </x:c>
      <x:c r="I488" s="3" t="inlineStr">
        <x:is>
          <x:t>3</x:t>
        </x:is>
      </x:c>
      <x:c r="J488" s="3" t="inlineStr">
        <x:is>
          <x:t>11</x:t>
        </x:is>
      </x:c>
      <x:c r="K488" s="3" t="inlineStr">
        <x:is>
          <x:t>3. Bases de maquillaje; bases de maquillaje para la piel; kits de cosméticos que contienen principalmente máscara de pestañas, lápices de labios, lápices de cejas, maquillaje, fundación de maquillaje y brillos de labios; lápices de maquillaje; maquillaje; maquillaje [cosméticos]; maquillajes de ojos; polvos de maquillaje; preparaciones de maquillaje para el rostro y el cuerpo; productos cosméticos y de maquillaje; productos de maquillaje; sprays para fijar el maquillaje; agua micelar; agua micelar de limpieza; correctores de ojos; cremas cosméticas reafirmantes para el contorno de ojos; cremas para los ojos; cremas para los ojos de uso cosmético; desmaquilladores de ojos; lociones para los ojos; lápices de ojos; lápices de ojos para uso cosmético; maquillaje para los ojos; serum de corrección para el contorno de los ojos; sombras de ojos; cosméticos para las cejas; lápices de cejas; cosméticos para pestañas; máscara de pestañas; pestañas postizas; aceites cosméticos para la piel; bálsamos [cremas] para disimular las imperfecciones de la piel; correctores para disimular manchas e imperfecciones de la piel; cremas cosméticas para la piel; cremas hidratantes para la piel [cosméticos]; cremas limpiadoras para la piel; cremas para la piel; cremas para la piel de uso cosmético; emulsiones, geles y lociones para el cuidado de la piel; espumas limpiadoras para la piel; hidratantes para la piel utilizados como cosméticos; limpiadores de la piel [cosméticos]; lociones, cremas y aceites de aplicación tópica para la piel y el cuerpo, de uso cosmético; mascarillas para la piel; paños o toallitas impregnados de productos limpiadores para la piel; barras de labios; barras de labios hidratantes; brillos de labios; colorantes de labios [cosméticos]; cosméticos para los labios; kits de maquillaje que consisten principalmente en bases de maquillaje, rímeles, coloretes, brillos de labios y lápices de labios [sin incluir pinceles ni esponjas]; lápices de labios; perfiladores de labios; pintalabios; bloqueador solar [cosméticos]; cremas con filtro solar; filtro solar [cosméticos]; cremas para el cuidado del pelo; aceite de almendras; aceite de coco para uso cosmético; aceite de lavanda para uso cosmético; aceite de rosas; aceite de árbol de té; aceites cosméticos; aceites de limpieza; aceites de perfumería; aceites esenciales para ambientadores de interior; aceites esenciales para uso personal; aceites faciales; aceites para el cabello; aceites para el cuerpo de uso cosmético; aceites para perfumes y fragancias; aceites para uso cosmético; cremas, aceites, lociones, aerosoles, lápices y bálsamos para uso cosmético; geles, cremas y aceites de ducha; toallitas impregnadas de aceites esenciales, para uso cosmético; champúes para el cabello; champús 3 en 1; champús acondicionadores; champús capilares; champús corporales; champús en seco*; champús para el cabello; champús para el cabello humano; champús para el cabello y el cuerpo; champús para el cuerpo; champús y acondicionadores para el cabello; champús*; cosméticos en forma de cremas; cremas antiarrugas para uso cosmético; cremas bronceadoras para la piel; cremas con retinol para uso cosmético; cremas con vitamina a para uso cosmético; cremas corporales [cosméticos]; cremas cosméticas; cremas cosméticas para el cuidado de la piel; cremas cosméticas para las manos; cremas de belleza para el cuerpo; cremas de belleza para el rostro y el cuerpo; cremas de limpieza [productos cosméticos]; cremas de protección para el cabello; cremas faciales; cremas faciales para uso cosmético; perfumes; espráis utilizados como desodorantes y perfumes corporales; colonias, perfumes y productos cosméticos; rubores para las mejillas; polvos compactos para polveras; polvos compactos para polveras [cosméticos]; polvos cosméticos; polvos de brillo para uso cosmético; polvos faciales [cosméticos]; polvos faciales cosméticos; polvos faciales en crema; polvos faciales en papel; polvos faciales para uso cosmético; polvos faciales sueltos; productos cosméticos en forma de polvos; almohadillas, toallitas o pañitos húmedos o impregnados de preparaciones limpiadoras; toallitas húmedas para uso higiénico y cosmético; toallitas impregnadas con preparados cosméticos; toallitas impregnadas con preparados de bronceador; toallitas impregnadas con preparados de limpieza personal; toallitas impregnadas con preparados para el cuidado de la piel; toallitas impregnadas con un limpiador de la piel; máscaras para el cabello y el cuero cabelludo; máscaras refrigerantes para los ojos; bases para esmaltes de uñas; esmaltes de uñas; esmaltes de uñas para uso cosmético; esmaltes de uñas y quitaesmaltes; kits para el cuidado de las uñas que comprenden esmaltes de uñas y quitaesmaltes; kits para el cuidado de las uñas que comprenden principalmente esmaltes de uñas, quitaesmaltes y uñas postizas; cosméticos de belleza; cosméticos para tratamiento de belleza cosméticos para el cuidado de belleza; preparaciones de cuidado corporal y de belleza para uso cosmético; productos cosméticos y de belleza.
</x:t>
        </x:is>
      </x:c>
      <x:c r="L488" s="3" t="inlineStr">
        <x:is>
          <x:t>No</x:t>
        </x:is>
      </x:c>
      <x:c r="M488" s="3" t="inlineStr">
        <x:is>
          <x:t/>
        </x:is>
      </x:c>
      <x:c r="N488" s="3" t="inlineStr">
        <x:is>
          <x:t/>
        </x:is>
      </x:c>
      <x:c r="O488" s="3" t="inlineStr">
        <x:is>
          <x:t>29 nov. 2022</x:t>
        </x:is>
      </x:c>
      <x:c r="P488" s="3" t="inlineStr">
        <x:is>
          <x:t/>
        </x:is>
      </x:c>
      <x:c r="Q488" s="3" t="inlineStr">
        <x:is>
          <x:t/>
        </x:is>
      </x:c>
    </x:row>
    <x:row r="489">
      <x:c r="A489" s="10" t="inlineStr">
        <x:f xml:space="preserve">HYPERLINK("http://sipi.sic.gov.co/sipi/View.ashx?4381332","SD2022/0099416")</x:f>
      </x:c>
      <x:c r="B489" s="3" t="inlineStr">
        <x:is>
          <x:t>Delahoz Natural</x:t>
        </x:is>
      </x:c>
      <x:c r="C489" s="9" t="inlineStr">
        <x:is>
          <x:t/>
        </x:is>
      </x:c>
      <x:c r="D489" s="3" t="inlineStr">
        <x:is>
          <x:t>27 sept. 2022</x:t>
        </x:is>
      </x:c>
      <x:c r="E489" s="3" t="inlineStr">
        <x:is>
          <x:t/>
        </x:is>
      </x:c>
      <x:c r="F489" s="3" t="inlineStr">
        <x:is>
          <x:t>Negada</x:t>
        </x:is>
      </x:c>
      <x:c r="G489" s="3" t="inlineStr">
        <x:is>
          <x:t/>
        </x:is>
      </x:c>
      <x:c r="H489" s="3" t="inlineStr">
        <x:is>
          <x:t>Alismar De la Hoz, Calle 18a 32-45 barrio asovivienda, ACACIAS, META 507001, CO</x:t>
        </x:is>
      </x:c>
      <x:c r="I489" s="3" t="inlineStr">
        <x:is>
          <x:t>3</x:t>
        </x:is>
      </x:c>
      <x:c r="J489" s="3" t="inlineStr">
        <x:is>
          <x:t>11</x:t>
        </x:is>
      </x:c>
      <x:c r="K48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89" s="3" t="inlineStr">
        <x:is>
          <x:t>No</x:t>
        </x:is>
      </x:c>
      <x:c r="M489" s="3" t="inlineStr">
        <x:is>
          <x:t/>
        </x:is>
      </x:c>
      <x:c r="N489" s="3" t="inlineStr">
        <x:is>
          <x:t/>
        </x:is>
      </x:c>
      <x:c r="O489" s="3" t="inlineStr">
        <x:is>
          <x:t>11 oct. 2022</x:t>
        </x:is>
      </x:c>
      <x:c r="P489" s="3" t="inlineStr">
        <x:is>
          <x:t/>
        </x:is>
      </x:c>
      <x:c r="Q489" s="3" t="inlineStr">
        <x:is>
          <x:t/>
        </x:is>
      </x:c>
    </x:row>
    <x:row r="490">
      <x:c r="A490" s="10" t="inlineStr">
        <x:f xml:space="preserve">HYPERLINK("http://sipi.sic.gov.co/sipi/View.ashx?4382466","SD2022/0099634")</x:f>
      </x:c>
      <x:c r="B490" s="3" t="inlineStr">
        <x:is>
          <x:t>EL MENJURJE DE MI ABUELA Agua mágica</x:t>
        </x:is>
      </x:c>
      <x:c r="C490" s="9" t="inlineStr">
        <x:is>
          <x:t/>
        </x:is>
      </x:c>
      <x:c r="D490" s="3" t="inlineStr">
        <x:is>
          <x:t>28 sept. 2022</x:t>
        </x:is>
      </x:c>
      <x:c r="E490" s="3" t="inlineStr">
        <x:is>
          <x:t/>
        </x:is>
      </x:c>
      <x:c r="F490" s="3" t="inlineStr">
        <x:is>
          <x:t>Negada</x:t>
        </x:is>
      </x:c>
      <x:c r="G490" s="3" t="inlineStr">
        <x:is>
          <x:t>EL MENJURJE DE MI ABUELA Agua mágica</x:t>
        </x:is>
      </x:c>
      <x:c r="H490" s="3" t="inlineStr">
        <x:is>
          <x:t>Miguel Angel Bedoya Montenegro, Manzana 8, casa 29, etapa 4, Bosques de la Acuarela, DOSQUEBRADAS, RISARALDA, CO</x:t>
        </x:is>
      </x:c>
      <x:c r="I490" s="3" t="inlineStr">
        <x:is>
          <x:t>3</x:t>
        </x:is>
      </x:c>
      <x:c r="J490" s="3" t="inlineStr">
        <x:is>
          <x:t>11</x:t>
        </x:is>
      </x:c>
      <x:c r="K490" s="3" t="inlineStr">
        <x:is>
          <x:t>3. Productos cosméticos y de belleza.
</x:t>
        </x:is>
      </x:c>
      <x:c r="L490" s="3" t="inlineStr">
        <x:is>
          <x:t>No</x:t>
        </x:is>
      </x:c>
      <x:c r="M490" s="3" t="inlineStr">
        <x:is>
          <x:t/>
        </x:is>
      </x:c>
      <x:c r="N490" s="3" t="inlineStr">
        <x:is>
          <x:t/>
        </x:is>
      </x:c>
      <x:c r="O490" s="3" t="inlineStr">
        <x:is>
          <x:t>29 nov. 2022</x:t>
        </x:is>
      </x:c>
      <x:c r="P490" s="3" t="inlineStr">
        <x:is>
          <x:t/>
        </x:is>
      </x:c>
      <x:c r="Q490" s="3" t="inlineStr">
        <x:is>
          <x:t/>
        </x:is>
      </x:c>
    </x:row>
    <x:row r="491">
      <x:c r="A491" s="10" t="inlineStr">
        <x:f xml:space="preserve">HYPERLINK("http://sipi.sic.gov.co/sipi/View.ashx?4382762","SD2022/0100788")</x:f>
      </x:c>
      <x:c r="B491" s="3" t="inlineStr">
        <x:is>
          <x:t>ALOPEL</x:t>
        </x:is>
      </x:c>
      <x:c r="C491" s="3" t="inlineStr">
        <x:is>
          <x:t/>
        </x:is>
      </x:c>
      <x:c r="D491" s="3" t="inlineStr">
        <x:is>
          <x:t>30 sept. 2022</x:t>
        </x:is>
      </x:c>
      <x:c r="E491" s="3" t="inlineStr">
        <x:is>
          <x:t/>
        </x:is>
      </x:c>
      <x:c r="F491" s="3" t="inlineStr">
        <x:is>
          <x:t>Negada</x:t>
        </x:is>
      </x:c>
      <x:c r="G491" s="3" t="inlineStr">
        <x:is>
          <x:t>8028</x:t>
        </x:is>
      </x:c>
      <x:c r="H491" s="3" t="inlineStr">
        <x:is>
          <x:t> CATALYSIS, S.L., CALLE MACARENA, 14, MADRID, MADRID 28016 , ES</x:t>
        </x:is>
      </x:c>
      <x:c r="I491" s="3" t="inlineStr">
        <x:is>
          <x:t>3</x:t>
        </x:is>
      </x:c>
      <x:c r="J491" s="3" t="inlineStr">
        <x:is>
          <x:t>11</x:t>
        </x:is>
      </x:c>
      <x:c r="K491" s="3" t="inlineStr">
        <x:is>
          <x:t>3. JABONES CABELLO Y EL CUERO CABELLUDO; ACEITES ESENCIALES, COSMÉTICOS, A SABER, CREMAS PARA LA CARA, EL CUERPO Y EL CABELLO, CREMAS SUAVIZANTES Y ACONDICIONADORES PARA EL CABELLO Y EL CUERO CABELLUDO, CREMAS DE TRATAMIENTO PARA LA CARA, EL CUERPO Y; EL CABELLO; LOCIONES PARA EL CABELLO.
</x:t>
        </x:is>
      </x:c>
      <x:c r="L491" s="3" t="inlineStr">
        <x:is>
          <x:t>Sí</x:t>
        </x:is>
      </x:c>
      <x:c r="M491" s="3" t="inlineStr">
        <x:is>
          <x:t>EDUARDO DORADO SANCHEZ , Calle 123 No. 7 - 51 Oficina 902, BOGOTÁ, D.C., CO</x:t>
        </x:is>
      </x:c>
      <x:c r="N491" s="3" t="inlineStr">
        <x:is>
          <x:t/>
        </x:is>
      </x:c>
      <x:c r="O491" s="3" t="inlineStr">
        <x:is>
          <x:t>26 ene. 2023</x:t>
        </x:is>
      </x:c>
      <x:c r="P491" s="3" t="inlineStr">
        <x:is>
          <x:t/>
        </x:is>
      </x:c>
      <x:c r="Q491" s="3" t="inlineStr">
        <x:is>
          <x:t/>
        </x:is>
      </x:c>
    </x:row>
    <x:row r="492">
      <x:c r="A492" s="10" t="inlineStr">
        <x:f xml:space="preserve">HYPERLINK("http://sipi.sic.gov.co/sipi/View.ashx?4382880","SD2022/0099713")</x:f>
      </x:c>
      <x:c r="B492" s="3" t="inlineStr">
        <x:is>
          <x:t>LUMINOUS SKIN</x:t>
        </x:is>
      </x:c>
      <x:c r="C492" s="3" t="inlineStr">
        <x:is>
          <x:t/>
        </x:is>
      </x:c>
      <x:c r="D492" s="3" t="inlineStr">
        <x:is>
          <x:t>12 oct. 2022</x:t>
        </x:is>
      </x:c>
      <x:c r="E492" s="3" t="inlineStr">
        <x:is>
          <x:t/>
        </x:is>
      </x:c>
      <x:c r="F492" s="3" t="inlineStr">
        <x:is>
          <x:t>Negada</x:t>
        </x:is>
      </x:c>
      <x:c r="G492" s="3" t="inlineStr">
        <x:is>
          <x:t>1214742864</x:t>
        </x:is>
      </x:c>
      <x:c r="H492" s="3" t="inlineStr">
        <x:is>
          <x:t>DAYANA ALEJANDRA PEREZ JIMENEZ, calle 99#44a20, MEDELLIN, ANTIOQUIA, CO</x:t>
        </x:is>
      </x:c>
      <x:c r="I492" s="3" t="inlineStr">
        <x:is>
          <x:t>3</x:t>
        </x:is>
      </x:c>
      <x:c r="J492" s="3" t="inlineStr">
        <x:is>
          <x:t>11</x:t>
        </x:is>
      </x:c>
      <x:c r="K492" s="3" t="inlineStr">
        <x:is>
          <x:t>3. Mascarillas antienvejecimiento; mascarillas cosméticas; mascarillas cosméticas para el cutis; mascarillas faciales de belleza; mascarillas faciales de limpieza profunda; mascarillas faciales para eliminar el exceso de sebo de la cara; mascarillas faciales para limpiar los poros; mascarillas hidratantes para la piel; mascarillas faciales [productos cosméticos]; mascarillas para la cara; mascarillas para pieles grasas; mascarillas para la piel de uso cosmético; sérums antienvejecimiento con efecto lifting; sérums antiedad con efecto lifting; serum para el contorno de ojos; serum para calmar la piel [cosmético].
</x:t>
        </x:is>
      </x:c>
      <x:c r="L492" s="3" t="inlineStr">
        <x:is>
          <x:t>No</x:t>
        </x:is>
      </x:c>
      <x:c r="M492" s="3" t="inlineStr">
        <x:is>
          <x:t/>
        </x:is>
      </x:c>
      <x:c r="N492" s="3" t="inlineStr">
        <x:is>
          <x:t/>
        </x:is>
      </x:c>
      <x:c r="O492" s="3" t="inlineStr">
        <x:is>
          <x:t>20 dic. 2022</x:t>
        </x:is>
      </x:c>
      <x:c r="P492" s="3" t="inlineStr">
        <x:is>
          <x:t/>
        </x:is>
      </x:c>
      <x:c r="Q492" s="3" t="inlineStr">
        <x:is>
          <x:t/>
        </x:is>
      </x:c>
    </x:row>
    <x:row r="493">
      <x:c r="A493" s="10" t="inlineStr">
        <x:f xml:space="preserve">HYPERLINK("http://sipi.sic.gov.co/sipi/View.ashx?4383046","SD2022/0099746")</x:f>
      </x:c>
      <x:c r="B493" s="3" t="inlineStr">
        <x:is>
          <x:t>i GROOM LUXURY PET BEAUTY CARE</x:t>
        </x:is>
      </x:c>
      <x:c r="C493" s="9" t="inlineStr">
        <x:is>
          <x:t/>
        </x:is>
      </x:c>
      <x:c r="D493" s="3" t="inlineStr">
        <x:is>
          <x:t>28 sept. 2022</x:t>
        </x:is>
      </x:c>
      <x:c r="E493" s="3" t="inlineStr">
        <x:is>
          <x:t/>
        </x:is>
      </x:c>
      <x:c r="F493" s="3" t="inlineStr">
        <x:is>
          <x:t>Negada</x:t>
        </x:is>
      </x:c>
      <x:c r="G493" s="3" t="inlineStr">
        <x:is>
          <x:t/>
        </x:is>
      </x:c>
      <x:c r="H493" s="3" t="inlineStr">
        <x:is>
          <x:t> IG COLOMBIA S.A., CARRERA 106 No. 15-25 BDG 128 , BOGOTÁ, D.C., CO</x:t>
        </x:is>
      </x:c>
      <x:c r="I493" s="3" t="inlineStr">
        <x:is>
          <x:t>3</x:t>
        </x:is>
      </x:c>
      <x:c r="J493" s="3" t="inlineStr">
        <x:is>
          <x:t>11</x:t>
        </x:is>
      </x:c>
      <x:c r="K49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93" s="3" t="inlineStr">
        <x:is>
          <x:t>No</x:t>
        </x:is>
      </x:c>
      <x:c r="M493" s="3" t="inlineStr">
        <x:is>
          <x:t>LIZETH VIVIANA MORERA CASAS, cra 2 n 2 a 26, MADRID, CUNDINAMARCA, CO</x:t>
        </x:is>
      </x:c>
      <x:c r="N493" s="3" t="inlineStr">
        <x:is>
          <x:t/>
        </x:is>
      </x:c>
      <x:c r="O493" s="3" t="inlineStr">
        <x:is>
          <x:t>07 mar. 2024</x:t>
        </x:is>
      </x:c>
      <x:c r="P493" s="3" t="inlineStr">
        <x:is>
          <x:t/>
        </x:is>
      </x:c>
      <x:c r="Q493" s="3" t="inlineStr">
        <x:is>
          <x:t/>
        </x:is>
      </x:c>
    </x:row>
    <x:row r="494">
      <x:c r="A494" s="10" t="inlineStr">
        <x:f xml:space="preserve">HYPERLINK("http://sipi.sic.gov.co/sipi/View.ashx?4383099","SD2022/0099759")</x:f>
      </x:c>
      <x:c r="B494" s="3" t="inlineStr">
        <x:is>
          <x:t>Chris Christensen</x:t>
        </x:is>
      </x:c>
      <x:c r="C494" s="9" t="inlineStr">
        <x:is>
          <x:t/>
        </x:is>
      </x:c>
      <x:c r="D494" s="3" t="inlineStr">
        <x:is>
          <x:t>28 sept. 2022</x:t>
        </x:is>
      </x:c>
      <x:c r="E494" s="3" t="inlineStr">
        <x:is>
          <x:t/>
        </x:is>
      </x:c>
      <x:c r="F494" s="3" t="inlineStr">
        <x:is>
          <x:t>Negada</x:t>
        </x:is>
      </x:c>
      <x:c r="G494" s="3" t="inlineStr">
        <x:is>
          <x:t/>
        </x:is>
      </x:c>
      <x:c r="H494" s="3" t="inlineStr">
        <x:is>
          <x:t>RAFAEL ALFONSO TRIVIÑO MENDOZA, carrera 106 No. 15 A 25 bod 128, BOGOTA, CUNDINAMARCA, CO</x:t>
        </x:is>
      </x:c>
      <x:c r="I494" s="3" t="inlineStr">
        <x:is>
          <x:t>3</x:t>
        </x:is>
      </x:c>
      <x:c r="J494" s="3" t="inlineStr">
        <x:is>
          <x:t>11</x:t>
        </x:is>
      </x:c>
      <x:c r="K49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494" s="3" t="inlineStr">
        <x:is>
          <x:t>No</x:t>
        </x:is>
      </x:c>
      <x:c r="M494" s="3" t="inlineStr">
        <x:is>
          <x:t>LIZETH VIVIANA MORERA CASAS, cra 2 n 2 a 26, MADRID, CUNDINAMARCA, CO</x:t>
        </x:is>
      </x:c>
      <x:c r="N494" s="3" t="inlineStr">
        <x:is>
          <x:t/>
        </x:is>
      </x:c>
      <x:c r="O494" s="3" t="inlineStr">
        <x:is>
          <x:t>08 may. 2023</x:t>
        </x:is>
      </x:c>
      <x:c r="P494" s="3" t="inlineStr">
        <x:is>
          <x:t/>
        </x:is>
      </x:c>
      <x:c r="Q494" s="3" t="inlineStr">
        <x:is>
          <x:t/>
        </x:is>
      </x:c>
    </x:row>
    <x:row r="495">
      <x:c r="A495" s="10" t="inlineStr">
        <x:f xml:space="preserve">HYPERLINK("http://sipi.sic.gov.co/sipi/View.ashx?4383145","SD2022/0099774")</x:f>
      </x:c>
      <x:c r="B495" s="3" t="inlineStr">
        <x:is>
          <x:t>Mi Amore</x:t>
        </x:is>
      </x:c>
      <x:c r="C495" s="9" t="inlineStr">
        <x:is>
          <x:t/>
        </x:is>
      </x:c>
      <x:c r="D495" s="3" t="inlineStr">
        <x:is>
          <x:t>28 sept. 2022</x:t>
        </x:is>
      </x:c>
      <x:c r="E495" s="3" t="inlineStr">
        <x:is>
          <x:t/>
        </x:is>
      </x:c>
      <x:c r="F495" s="3" t="inlineStr">
        <x:is>
          <x:t>Negada</x:t>
        </x:is>
      </x:c>
      <x:c r="G495" s="3" t="inlineStr">
        <x:is>
          <x:t>Mi Amore</x:t>
        </x:is>
      </x:c>
      <x:c r="H495" s="3" t="inlineStr">
        <x:is>
          <x:t> INVERSIONES X  HOBBIES S.A.S., CL 45 53 50, MEDELLIN, ANTIOQUIA, CO</x:t>
        </x:is>
      </x:c>
      <x:c r="I495" s="3" t="inlineStr">
        <x:is>
          <x:t>3, 5</x:t>
        </x:is>
      </x:c>
      <x:c r="J495" s="3" t="inlineStr">
        <x:is>
          <x:t>11</x:t>
        </x:is>
      </x:c>
      <x:c r="K495" s="3" t="inlineStr">
        <x:is>
          <x: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
</x:t>
        </x:is>
      </x:c>
      <x:c r="L495" s="3" t="inlineStr">
        <x:is>
          <x:t>No</x:t>
        </x:is>
      </x:c>
      <x:c r="M495" s="3" t="inlineStr">
        <x:is>
          <x:t>Esteban  Berrio Lopez, calle 8 # 84f - 155 casa 1090 , MEDELLIN, ANTIOQUIA, CO</x:t>
        </x:is>
      </x:c>
      <x:c r="N495" s="3" t="inlineStr">
        <x:is>
          <x:t/>
        </x:is>
      </x:c>
      <x:c r="O495" s="3" t="inlineStr">
        <x:is>
          <x:t>08 nov. 2022</x:t>
        </x:is>
      </x:c>
      <x:c r="P495" s="3" t="inlineStr">
        <x:is>
          <x:t/>
        </x:is>
      </x:c>
      <x:c r="Q495" s="3" t="inlineStr">
        <x:is>
          <x:t/>
        </x:is>
      </x:c>
    </x:row>
    <x:row r="496">
      <x:c r="A496" s="10" t="inlineStr">
        <x:f xml:space="preserve">HYPERLINK("http://sipi.sic.gov.co/sipi/View.ashx?4386335","SD2022/0100555")</x:f>
      </x:c>
      <x:c r="B496" s="3" t="inlineStr">
        <x:is>
          <x:t>AL ALBA SOY NATURAL</x:t>
        </x:is>
      </x:c>
      <x:c r="C496" s="9" t="inlineStr">
        <x:is>
          <x:t/>
        </x:is>
      </x:c>
      <x:c r="D496" s="3" t="inlineStr">
        <x:is>
          <x:t>30 sept. 2022</x:t>
        </x:is>
      </x:c>
      <x:c r="E496" s="3" t="inlineStr">
        <x:is>
          <x:t/>
        </x:is>
      </x:c>
      <x:c r="F496" s="3" t="inlineStr">
        <x:is>
          <x:t>Negada</x:t>
        </x:is>
      </x:c>
      <x:c r="G496" s="3" t="inlineStr">
        <x:is>
          <x:t/>
        </x:is>
      </x:c>
      <x:c r="H496" s="3" t="inlineStr">
        <x:is>
          <x:t>Yirley  Cuadros Zuluaga, Vda Alto Grande, CARMEN DE VIBORAL, ANTIOQUIA, CO</x:t>
        </x:is>
      </x:c>
      <x:c r="I496" s="3" t="inlineStr">
        <x:is>
          <x:t>3</x:t>
        </x:is>
      </x:c>
      <x:c r="J496" s="3" t="inlineStr">
        <x:is>
          <x:t>11</x:t>
        </x:is>
      </x:c>
      <x:c r="K49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cosmética natural y orgánica.
</x:t>
        </x:is>
      </x:c>
      <x:c r="L496" s="3" t="inlineStr">
        <x:is>
          <x:t>Sí</x:t>
        </x:is>
      </x:c>
      <x:c r="M496" s="3" t="inlineStr">
        <x:is>
          <x:t/>
        </x:is>
      </x:c>
      <x:c r="N496" s="3" t="inlineStr">
        <x:is>
          <x:t/>
        </x:is>
      </x:c>
      <x:c r="O496" s="3" t="inlineStr">
        <x:is>
          <x:t>07 mar. 2023</x:t>
        </x:is>
      </x:c>
      <x:c r="P496" s="3" t="inlineStr">
        <x:is>
          <x:t/>
        </x:is>
      </x:c>
      <x:c r="Q496" s="3" t="inlineStr">
        <x:is>
          <x:t/>
        </x:is>
      </x:c>
    </x:row>
    <x:row r="497">
      <x:c r="A497" s="10" t="inlineStr">
        <x:f xml:space="preserve">HYPERLINK("http://sipi.sic.gov.co/sipi/View.ashx?4386557","SD2022/0100627")</x:f>
      </x:c>
      <x:c r="B497" s="3" t="inlineStr">
        <x:is>
          <x:t>Honne</x:t>
        </x:is>
      </x:c>
      <x:c r="C497" s="9" t="inlineStr">
        <x:is>
          <x:t/>
        </x:is>
      </x:c>
      <x:c r="D497" s="3" t="inlineStr">
        <x:is>
          <x:t>03 oct. 2022</x:t>
        </x:is>
      </x:c>
      <x:c r="E497" s="3" t="inlineStr">
        <x:is>
          <x:t/>
        </x:is>
      </x:c>
      <x:c r="F497" s="3" t="inlineStr">
        <x:is>
          <x:t>Negada</x:t>
        </x:is>
      </x:c>
      <x:c r="G497" s="3" t="inlineStr">
        <x:is>
          <x:t/>
        </x:is>
      </x:c>
      <x:c r="H497" s="3" t="inlineStr">
        <x:is>
          <x:t>EDNA RAQUEL PEÑALOZA MAZUERA, carrera 50 # 150a-45, bloque 2 Apto 402, BOGOTÁ, D.C. 111156, CO</x:t>
        </x:is>
      </x:c>
      <x:c r="I497" s="3" t="inlineStr">
        <x:is>
          <x:t>3, 25</x:t>
        </x:is>
      </x:c>
      <x:c r="J497" s="3" t="inlineStr">
        <x:is>
          <x:t>11</x:t>
        </x:is>
      </x:c>
      <x:c r="K497" s="3" t="inlineStr">
        <x:is>
          <x:t>3. Productos de perfumería, aceites esenciales, cosméticos no medicinales, lociones capilares no medicinales; dentífricos no medicinales.; aceite de almendras; aceite de jazmín, aceite de lavanda aceite de rosas aceites de limpieza aceites de perfumería / aceites para perfumes y fragancias aceites de tocador aceites esenciales / aceites etéreos; aceites esenciales de cidra aceites esenciales de limón aceites para uso cosmético aceites esenciales para aromaterapia acondicionadores para el cabello adhesivos [pegamentos] para uso cosmético productos de afeitar agua de Colonia agua de lavanda agua micelar aguas de tocador aguas perfumadas algodón impregnado de preparaciones desmaquillantes algodón para uso cosmético / guata para uso almizcle [producto de perfumería] ámbar [productos de perfumería] amoniaco [álcali volátil] [detergente] / álcali volátil [amoniaco] [detergente] / amoníaco [álcali volátil] [detergente] añil de lavandería / añil para azulear la ropa / azulete productos antiestáticos para uso doméstico productos antitranspirantes [artículos de tocador] apósitos para la reparación de uñas aromas [aceites esenciales]; bálsamos que no sean para uso médico, brillos de labios , cera depilatoria , champús en seco* 060 colorantes de tocador / tintes de tocador; duchas vaginales para la higiene íntima o en cuanto desodorantes, enjuagues bucales que no sean para uso médico, esencia de badiana , esencia de bergamota , esencia de menta [aceite esencial] , , estuches para pintalabios / estuches para lápices de labios , extractos de flores [productos de perfumería] , extractos de plantas para uso cosmético , productos de fumigación [perfumes] , productos de glaseado para lavar la ropa , grasas para uso cosmético , heliotropina , jabón de afeitar , jabón de almendras , jabones antitranspirantes , jabones antitranspirantes para los pies , jabones desodorantes , jabones para avivar los colores de materias textiles, lacas para el cabello ,lápices de cejas , lápices de labios [pintalabios] / pintalabios , lápices para uso cosmético , leche de almendras para uso cosmético , leches limpiadoras de tocador , lociones capilares* , lociones para después del afeitado , lociones para uso cosmético , maquillaje , productos de maquillaje , máscara de pestañas , mascarillas de belleza , mascarillas de hoja para uso cosmético , mascarillas desechables calentadas con vapor, que no sean para uso médico , menta para perfumería , motivos decorativos para uso cosmético / calcomanías decorativas para uso cosmético , neceseres de cosmética , pastillas de jabón 030266 pastillas de detergente para cafeteras 030224 pegatinas decorativas para uñas / calcomanías decorativas para uñas , productos para perfumar el ambiente , productos para perfumar la ropa / bolsitas para perfumar la ropa , productos de perfumería , perfumes , peróxido de hidrógeno para uso cosmético , pestañas postizas , polvos de maquillaje pomadas para uso cosmético , popurrís aromáticos , preparaciones con filtro solar 030177 preparaciones cosméticas adelgazantes , preparaciones cosméticas para el baño , preparaciones cosméticas para el bronceado de la piel , preparaciones de aloe vera para uso cosmético, preparaciones de colágeno para uso cosmético, preparaciones de higiene íntima para uso sanitario o utilizadas como desodorantes , preparaciones de higiene personal para refrescar el aliento , preparaciones de lavandería , preparaciones de tocador* , preparaciones fito-cosméticas , preparaciones limpiadoras no medicinales para la higiene íntima , productos de cera para derretir [preparaciones aromáticas] , quitaesmaltes , quitamanchas , sellos cosméticos, terpenos [aceites esenciales] tintes cosméticos tintes para la barba , toallitas antiestáticas para secadoras de ropa ,toallitas atrapacolor para la ropa , toallitas impregnadas de lociones cosméticas , toallitas impregnadas de preparaciones desmaquillantes , toallitas para bebés impregnadas de preparaciones de limpieza , tónicos para uso cosmético ,varillas de incienso , velas de masaje para uso cosmético.
25. Prendas de vestir, calzado, abrigos / tapados , ajuares de ropa para bebés , albas , albornoces / salidas de baño , alpargatas ,antifaces para dormir , baberos con mangas que no sean de papel , baberos que no sean de papel / babadores que no sean de papel , bandanas [pañuelos para el cuello] , bandas para la cabeza [prendas de vestir] 250010 batas [guardapolvos] / guardapolvos [batas] 250033 batas [saltos de cama] / batines / saltos de cama , boas [bufandas] , bodis [ropa interior], bragas para bebés / blúmers para bebés / bombachas para bebés / calzones para bebés / pantaletas para bebés , bragas* / blúmers* / bombachas* / pantaletas* , calcetines absorbentes del sudor , calcetines* / soquetes [calcetines] , calentadores de piernas , calzoncillos bóxer , calzones de baño / shorts de baño , camisas de manga corta , camisas*,, camisetas , camisetas de deporte , camisetas de deporte sin mangas , camisetas de protección [rashguards] , camisolas, combinaciones [ropa interior] , conjuntos de vestir , corseletes , corsés [ropa interior] , cubrecorsés , cubrecuellos / bragas para el cuello / chalinas , enaguas , fajas [ropa interior] , fajines CLASIFICACIÓN DE NIZA - 11 edición, versión 2022 a Clase 25 - Página 4 , faldas / polleras , faldas short , folgos que no estén calentados eléctricamente , galochas / chanclos , gorros de ducha , guantes de ciclismo , guantes de conducir , jerseys [prendas de vestir] , kimonos , leotardos , ligas [ropa interior] , ligas para calcetines , ligueros / portaligas , mallas [leggings] / calzas [leggings] / leggings [pantalones] , manguitos [prendas de vestir] , medias absorbentes del sudor , medias* CLASIFICACIÓN DE NIZA - 11 edición, versión 2022 a Clase 25 - Página 5 250099 mitones , orejeras [prendas de vestir] pantalones , pantis pantuflas / escarpines / patucos / zapatillas de interior , pañuelos de bolsillo [prendas de vestir] , pañuelos de cuello de hombre , pañuelos para la cabeza , parkas 250043 pecheras de camisa , pelerinas 250103 pellizas 250169 pichis , prendas de calcetería / prendas de mediería , prendas de punto , prendas de vestir bordadas , prendas de vestir que contienen sustancias adelgazantes , prendas de vestir* / ropa* / vestimenta , prendas para cubrir la cara que no sean para uso médico ni higiénico / mascarillas [ropa] para cubrir la cara que no sean para uso médico ni higiénico , ropa de playa , ropa exterior , ropa interior / lencería , ropa interior absorbente del sudor , ropa para ciclistas , ropa de deporte con sensores digitales integrados , sandalias , sandalias de baño , saris , sarongs [pareos] / pareos , slips , sobaqueras , sostenes / ajustadores [ropa interior] / corpiños [ropa interior] / sujetadores [ropa interior] , trajes de baño [bañadores] / bañadores / mallas [bañadores] , turbantes , zapatillas de baño / pantuflas de baño.
</x:t>
        </x:is>
      </x:c>
      <x:c r="L497" s="3" t="inlineStr">
        <x:is>
          <x:t>Sí</x:t>
        </x:is>
      </x:c>
      <x:c r="M497" s="3" t="inlineStr">
        <x:is>
          <x:t/>
        </x:is>
      </x:c>
      <x:c r="N497" s="3" t="inlineStr">
        <x:is>
          <x:t/>
        </x:is>
      </x:c>
      <x:c r="O497" s="3" t="inlineStr">
        <x:is>
          <x:t>08 nov. 2022</x:t>
        </x:is>
      </x:c>
      <x:c r="P497" s="3" t="inlineStr">
        <x:is>
          <x:t/>
        </x:is>
      </x:c>
      <x:c r="Q497" s="3" t="inlineStr">
        <x:is>
          <x:t/>
        </x:is>
      </x:c>
    </x:row>
    <x:row r="498">
      <x:c r="A498" s="10" t="inlineStr">
        <x:f xml:space="preserve">HYPERLINK("http://sipi.sic.gov.co/sipi/View.ashx?4388118","SD2022/0101022")</x:f>
      </x:c>
      <x:c r="B498" s="3" t="inlineStr">
        <x:is>
          <x:t>Nishane</x:t>
        </x:is>
      </x:c>
      <x:c r="C498" s="3" t="inlineStr">
        <x:is>
          <x:t/>
        </x:is>
      </x:c>
      <x:c r="D498" s="3" t="inlineStr">
        <x:is>
          <x:t>30 sept. 2022</x:t>
        </x:is>
      </x:c>
      <x:c r="E498" s="3" t="inlineStr">
        <x:is>
          <x:t/>
        </x:is>
      </x:c>
      <x:c r="F498" s="3" t="inlineStr">
        <x:is>
          <x:t>Negada</x:t>
        </x:is>
      </x:c>
      <x:c r="G498" s="3" t="inlineStr">
        <x:is>
          <x:t>92215</x:t>
        </x:is>
      </x:c>
      <x:c r="H498" s="3" t="inlineStr">
        <x:is>
          <x:t> PARIS SUCCESS S.A.S, CARRERA 53 # 103 B - 42 OF. 313, BOGOTÁ, D.C., CO</x:t>
        </x:is>
      </x:c>
      <x:c r="I498" s="3" t="inlineStr">
        <x:is>
          <x:t>3</x:t>
        </x:is>
      </x:c>
      <x:c r="J498" s="3" t="inlineStr">
        <x:is>
          <x:t>11</x:t>
        </x:is>
      </x:c>
      <x:c r="K498" s="3" t="inlineStr">
        <x:is>
          <x:t>3. Perfumes.
</x:t>
        </x:is>
      </x:c>
      <x:c r="L498" s="3" t="inlineStr">
        <x:is>
          <x:t>Sí</x:t>
        </x:is>
      </x:c>
      <x:c r="M498" s="3" t="inlineStr">
        <x:is>
          <x:t>MAURICIO PINZÓN PINZÓN, CALLE 99 # 12-39 piso 4 , BOGOTÁ, D.C., CO</x:t>
        </x:is>
      </x:c>
      <x:c r="N498" s="3" t="inlineStr">
        <x:is>
          <x:t/>
        </x:is>
      </x:c>
      <x:c r="O498" s="3" t="inlineStr">
        <x:is>
          <x:t>21 oct. 2022</x:t>
        </x:is>
      </x:c>
      <x:c r="P498" s="3" t="inlineStr">
        <x:is>
          <x:t/>
        </x:is>
      </x:c>
      <x:c r="Q498" s="3" t="inlineStr">
        <x:is>
          <x:t/>
        </x:is>
      </x:c>
    </x:row>
    <x:row r="499">
      <x:c r="A499" s="10" t="inlineStr">
        <x:f xml:space="preserve">HYPERLINK("http://sipi.sic.gov.co/sipi/View.ashx?4388415","SD2022/0101044")</x:f>
      </x:c>
      <x:c r="B499" s="3" t="inlineStr">
        <x:is>
          <x:t>FELICIA MAKE UP BY GABRIELA MIRANDA</x:t>
        </x:is>
      </x:c>
      <x:c r="C499" s="9" t="inlineStr">
        <x:is>
          <x:t/>
        </x:is>
      </x:c>
      <x:c r="D499" s="3" t="inlineStr">
        <x:is>
          <x:t>01 oct. 2022</x:t>
        </x:is>
      </x:c>
      <x:c r="E499" s="3" t="inlineStr">
        <x:is>
          <x:t/>
        </x:is>
      </x:c>
      <x:c r="F499" s="3" t="inlineStr">
        <x:is>
          <x:t>Negada</x:t>
        </x:is>
      </x:c>
      <x:c r="G499" s="3" t="inlineStr">
        <x:is>
          <x:t/>
        </x:is>
      </x:c>
      <x:c r="H499" s="3" t="inlineStr">
        <x:is>
          <x:t>MARIA GABRIELA  MIRANDA PATIÑO, CENTRO COMERCIAL UNICENTRO LOCAL 106, PASTO, NARIÑO 520002, CO</x:t>
        </x:is>
      </x:c>
      <x:c r="I499" s="3" t="inlineStr">
        <x:is>
          <x:t>3</x:t>
        </x:is>
      </x:c>
      <x:c r="J499" s="3" t="inlineStr">
        <x:is>
          <x:t>11</x:t>
        </x:is>
      </x:c>
      <x:c r="K499" s="3" t="inlineStr">
        <x:is>
          <x:t>3. Productos cosméticos y preparaciones de tocador no medicinales; dentífricos no medicinales; fragancias y productos de perfumería; aceites esenciales; cosméticos funcionales en cuanto preparaciones para blanquear la piel; maquillaje para la piel; lociones capilares cosméticas; lociones capilares no medicinales.
</x:t>
        </x:is>
      </x:c>
      <x:c r="L499" s="3" t="inlineStr">
        <x:is>
          <x:t>No</x:t>
        </x:is>
      </x:c>
      <x:c r="M499" s="3" t="inlineStr">
        <x:is>
          <x:t>JUAN PABLO RODRIGUEZ CHAVES, cra 22 #22-31 Av Santander, PASTO, NARIÑO, CO</x:t>
        </x:is>
      </x:c>
      <x:c r="N499" s="3" t="inlineStr">
        <x:is>
          <x:t/>
        </x:is>
      </x:c>
      <x:c r="O499" s="3" t="inlineStr">
        <x:is>
          <x:t>09 dic. 2022</x:t>
        </x:is>
      </x:c>
      <x:c r="P499" s="3" t="inlineStr">
        <x:is>
          <x:t/>
        </x:is>
      </x:c>
      <x:c r="Q499" s="3" t="inlineStr">
        <x:is>
          <x:t/>
        </x:is>
      </x:c>
    </x:row>
    <x:row r="500">
      <x:c r="A500" s="10" t="inlineStr">
        <x:f xml:space="preserve">HYPERLINK("http://sipi.sic.gov.co/sipi/View.ashx?4388451","SD2022/0101069")</x:f>
      </x:c>
      <x:c r="B500" s="3" t="inlineStr">
        <x:is>
          <x:t>LAGLORIOSA</x:t>
        </x:is>
      </x:c>
      <x:c r="C500" s="9" t="inlineStr">
        <x:is>
          <x:t/>
        </x:is>
      </x:c>
      <x:c r="D500" s="3" t="inlineStr">
        <x:is>
          <x:t>02 oct. 2022</x:t>
        </x:is>
      </x:c>
      <x:c r="E500" s="3" t="inlineStr">
        <x:is>
          <x:t/>
        </x:is>
      </x:c>
      <x:c r="F500" s="3" t="inlineStr">
        <x:is>
          <x:t>Negada</x:t>
        </x:is>
      </x:c>
      <x:c r="G500" s="3" t="inlineStr">
        <x:is>
          <x:t/>
        </x:is>
      </x:c>
      <x:c r="H500" s="3" t="inlineStr">
        <x:is>
          <x:t> GOMAN GROUP SAS, CALLE 16 H 96 A 50 APT 202 INT 5 PORTAL VALPARAISO VILLEMAR FONTIBON, BOGOTÁ, D.C. 110921, CO</x:t>
        </x:is>
      </x:c>
      <x:c r="I500" s="3" t="inlineStr">
        <x:is>
          <x:t>3, 25, 44</x:t>
        </x:is>
      </x:c>
      <x:c r="J500" s="3" t="inlineStr">
        <x:is>
          <x:t>11</x:t>
        </x:is>
      </x:c>
      <x:c r="K500" s="3" t="inlineStr">
        <x:is>
          <x:t>3. Lociones para la barba; aceites faciales.
25. Camisetas; chaquetas; gorras; botas y zapatos.
44. Tratamientos cosméticos para el cabello; tratamientos de belleza.
</x:t>
        </x:is>
      </x:c>
      <x:c r="L500" s="3" t="inlineStr">
        <x:is>
          <x:t>No</x:t>
        </x:is>
      </x:c>
      <x:c r="M500" s="3" t="inlineStr">
        <x:is>
          <x:t>WILLIAM ORLANDO  QUIROGA, Carrera 13 No. 32-93. Torre 3, Oficina 708. Parque Central Baviera., BOGOTA, CUNDINAMARCA, CO</x:t>
        </x:is>
      </x:c>
      <x:c r="N500" s="3" t="inlineStr">
        <x:is>
          <x:t/>
        </x:is>
      </x:c>
      <x:c r="O500" s="3" t="inlineStr">
        <x:is>
          <x:t>11 oct. 2022</x:t>
        </x:is>
      </x:c>
      <x:c r="P500" s="3" t="inlineStr">
        <x:is>
          <x:t/>
        </x:is>
      </x:c>
      <x:c r="Q500" s="3" t="inlineStr">
        <x:is>
          <x:t/>
        </x:is>
      </x:c>
    </x:row>
    <x:row r="501">
      <x:c r="A501" s="10" t="inlineStr">
        <x:f xml:space="preserve">HYPERLINK("http://sipi.sic.gov.co/sipi/View.ashx?4389687","SD2022/0101268")</x:f>
      </x:c>
      <x:c r="B501" s="3" t="inlineStr">
        <x:is>
          <x:t>TORY BURCH MYSTIC GERANIUM</x:t>
        </x:is>
      </x:c>
      <x:c r="C501" s="3" t="inlineStr">
        <x:is>
          <x:t/>
        </x:is>
      </x:c>
      <x:c r="D501" s="3" t="inlineStr">
        <x:is>
          <x:t>03 oct. 2022</x:t>
        </x:is>
      </x:c>
      <x:c r="E501" s="3" t="inlineStr">
        <x:is>
          <x:t/>
        </x:is>
      </x:c>
      <x:c r="F501" s="3" t="inlineStr">
        <x:is>
          <x:t>Negada</x:t>
        </x:is>
      </x:c>
      <x:c r="G501" s="3" t="inlineStr">
        <x:is>
          <x:t>105720/1 TORY BURCH MYSTIC GERANIUM</x:t>
        </x:is>
      </x:c>
      <x:c r="H501" s="3" t="inlineStr">
        <x:is>
          <x:t> River Light V, L.P., 11 West 19th Street, 7th Floor New York NY 10011, US</x:t>
        </x:is>
      </x:c>
      <x:c r="I501" s="3" t="inlineStr">
        <x:is>
          <x:t>3</x:t>
        </x:is>
      </x:c>
      <x:c r="J501" s="3" t="inlineStr">
        <x:is>
          <x:t>11</x:t>
        </x:is>
      </x:c>
      <x:c r="K501" s="3" t="inlineStr">
        <x:is>
          <x:t>3. Fragancias para uso personal; preparaciones para el cuidado de la piel no medicadas.
</x:t>
        </x:is>
      </x:c>
      <x:c r="L501" s="3" t="inlineStr">
        <x:is>
          <x:t>No</x:t>
        </x:is>
      </x:c>
      <x:c r="M501" s="3" t="inlineStr">
        <x:is>
          <x:t>MAURICIO PATIÑO BONNET, CARRERA 9 No. 74-08 OFICINA 305, BOGOTÁ, D.C., CO</x:t>
        </x:is>
      </x:c>
      <x:c r="N501" s="3" t="inlineStr">
        <x:is>
          <x:t/>
        </x:is>
      </x:c>
      <x:c r="O501" s="3" t="inlineStr">
        <x:is>
          <x:t>18 nov. 2022</x:t>
        </x:is>
      </x:c>
      <x:c r="P501" s="3" t="inlineStr">
        <x:is>
          <x:t/>
        </x:is>
      </x:c>
      <x:c r="Q501" s="3" t="inlineStr">
        <x:is>
          <x:t/>
        </x:is>
      </x:c>
    </x:row>
    <x:row r="502">
      <x:c r="A502" s="10" t="inlineStr">
        <x:f xml:space="preserve">HYPERLINK("http://sipi.sic.gov.co/sipi/View.ashx?4389902","SD2022/0101342")</x:f>
      </x:c>
      <x:c r="B502" s="3" t="inlineStr">
        <x:is>
          <x:t>ESPORAS</x:t>
        </x:is>
      </x:c>
      <x:c r="C502" s="9" t="inlineStr">
        <x:is>
          <x:t/>
        </x:is>
      </x:c>
      <x:c r="D502" s="3" t="inlineStr">
        <x:is>
          <x:t>03 oct. 2022</x:t>
        </x:is>
      </x:c>
      <x:c r="E502" s="3" t="inlineStr">
        <x:is>
          <x:t/>
        </x:is>
      </x:c>
      <x:c r="F502" s="3" t="inlineStr">
        <x:is>
          <x:t>Negada</x:t>
        </x:is>
      </x:c>
      <x:c r="G502" s="3" t="inlineStr">
        <x:is>
          <x:t>ESPORAS</x:t>
        </x:is>
      </x:c>
      <x:c r="H502" s="3" t="inlineStr">
        <x:is>
          <x:t>DANIELA ALEJANDRA ROJAS RANGEL, Calle 40 sur 72l 40 in 2 ap 103, BOGOTÁ, D.C., CO</x:t>
        </x:is>
      </x:c>
      <x:c r="I502" s="3" t="inlineStr">
        <x:is>
          <x:t>3</x:t>
        </x:is>
      </x:c>
      <x:c r="J502" s="3" t="inlineStr">
        <x:is>
          <x:t>11</x:t>
        </x:is>
      </x:c>
      <x:c r="K502" s="3" t="inlineStr">
        <x:is>
          <x:t>3. Aceites de perfumería; aceites para perfumes y fragancias; agua de perfume; colonias, perfumes y productos cosméticos; desodorantes corporales [perfumería]; desodorantes corporales [productos de perfumería]; desodorantes para uso personal [perfumería]; difusores de perfumes de ambiente con varillas; eau de parfum [agua de perfume]; espráis utilizados como desodorantes y perfumes corporales; fragancias y productos de perfumería; mezclas de perfumería; perfumería para cosméticos; perfumería y fragancias; perfumes; perfumes líquidos; perfumes y colonias; perfumes, aguas de colonia y productos para después del afeitado; preparaciones ambientadoras (perfumes); productos de perfumería;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inciensos y fragancias.
</x:t>
        </x:is>
      </x:c>
      <x:c r="L502" s="3" t="inlineStr">
        <x:is>
          <x:t>No</x:t>
        </x:is>
      </x:c>
      <x:c r="M502" s="3" t="inlineStr">
        <x:is>
          <x:t/>
        </x:is>
      </x:c>
      <x:c r="N502" s="3" t="inlineStr">
        <x:is>
          <x:t/>
        </x:is>
      </x:c>
      <x:c r="O502" s="3" t="inlineStr">
        <x:is>
          <x:t>18 nov. 2022</x:t>
        </x:is>
      </x:c>
      <x:c r="P502" s="3" t="inlineStr">
        <x:is>
          <x:t/>
        </x:is>
      </x:c>
      <x:c r="Q502" s="3" t="inlineStr">
        <x:is>
          <x:t/>
        </x:is>
      </x:c>
    </x:row>
    <x:row r="503">
      <x:c r="A503" s="10" t="inlineStr">
        <x:f xml:space="preserve">HYPERLINK("http://sipi.sic.gov.co/sipi/View.ashx?4390716","SD2022/0101497")</x:f>
      </x:c>
      <x:c r="B503" s="3" t="inlineStr">
        <x:is>
          <x:t>iuluz</x:t>
        </x:is>
      </x:c>
      <x:c r="C503" s="9" t="inlineStr">
        <x:is>
          <x:t/>
        </x:is>
      </x:c>
      <x:c r="D503" s="3" t="inlineStr">
        <x:is>
          <x:t>04 oct. 2022</x:t>
        </x:is>
      </x:c>
      <x:c r="E503" s="3" t="inlineStr">
        <x:is>
          <x:t/>
        </x:is>
      </x:c>
      <x:c r="F503" s="3" t="inlineStr">
        <x:is>
          <x:t>Negada</x:t>
        </x:is>
      </x:c>
      <x:c r="G503" s="3" t="inlineStr">
        <x:is>
          <x:t>REGISTRO IULUZ</x:t>
        </x:is>
      </x:c>
      <x:c r="H503" s="3" t="inlineStr">
        <x:is>
          <x:t> COMERCIALIZADORA BILU SAS, Carrera 6 No. 18-58 Oficina 601-604 , CALI, VALLE DEL CAUCA, CO</x:t>
        </x:is>
      </x:c>
      <x:c r="I503" s="3" t="inlineStr">
        <x:is>
          <x:t>3, 21</x:t>
        </x:is>
      </x:c>
      <x:c r="J503" s="3" t="inlineStr">
        <x:is>
          <x:t>11</x:t>
        </x:is>
      </x:c>
      <x:c r="K503" s="3" t="inlineStr">
        <x:is>
          <x:t>3. Aceites para uso cosmético, cosméticos, lociones, cremas cosméticas, toallitas desmaquilladoras, lápices para uso cosmético; uñas postizas; adhesivos para fijar uñas postizas; uñas postizas de metales preciosos; uñas postizas para los dedos de los pies, neceseres vacíos para cosméticos; kits de maquillaje que consisten principalmente en bases de maquillaje, rímeles, coloretes, brillos de labios y lápices de labios [sin incluir pinceles ni esponjas]; lociones capilares*;lociones de baño; lociones de belleza; lociones desmaquillantes, lociones faciales; lociones hidratantes; lociones para el cabello; lociones para el cuerpo; lociones para el peinado; lociones para la piel; lociones para las manos; lociones para los ojos; lociones para uso cosmético; lociones para la piel [productos cosméticos]; cremas, aceites, lociones, aerosoles, lápices y bálsamos para uso cosmético; maquillaje [cosméticos]; mascarillas cosméticas; neceseres de cosmética; estuches de manicura; estuches de pedicura; bálsamos [cremas] para disimular las imperfecciones de la piel; bálsamos de belleza (cremas); bálsamos labiales; bases de maquillaje; bases de maquillaje cremosas; bases de maquillaje en crema; bases de maquillaje líquidas; bases de maquillaje para la piel; esmaltes de uñas para uso cosmético; exfoliantes corporales para uso cosmético; fragancias para uso personal; mascarillas faciales para uso cosmético; tintes y decolorantes para el cabello.
21. Brochas y pinceles de maquillaje, cepillo de uñas, cepillos de pestaña, cepillos para las cejas; cepillos para el cabello, cepillos y peines para pestañas, y separadores de pestañas , espátulas para uso de cosmético, esponja para aplicar cosmético, peines, utensilios para cosméticos, utensilios de tocador; peines para cardar el cabello; peines para el cabello; pinceles para labios; esponjas para uso cosmético; esponjas para desmaquillar; esponjas limpiadoras faciales; esponjas para aplicar maquillaje; aplicadores de maquillaje; aplicadores de maquillaje para ojos; bastoncillos aplicadores de maquillaje; brochas y pinceles de maquillaje; esponjitas faciales para aplicar maquillaje.
</x:t>
        </x:is>
      </x:c>
      <x:c r="L503" s="3" t="inlineStr">
        <x:is>
          <x:t>No</x:t>
        </x:is>
      </x:c>
      <x:c r="M503" s="3" t="inlineStr">
        <x:is>
          <x:t>MARIA VICTORIA HENAO HERNANDEZ, CALLE 23 NORTE No. 3-33 OFC 602 EDIFICIO PEÑAS BLANCAS, CALI, VALLE DEL CAUCA, CO</x:t>
        </x:is>
      </x:c>
      <x:c r="N503" s="3" t="inlineStr">
        <x:is>
          <x:t/>
        </x:is>
      </x:c>
      <x:c r="O503" s="3" t="inlineStr">
        <x:is>
          <x:t>20 dic. 2022</x:t>
        </x:is>
      </x:c>
      <x:c r="P503" s="3" t="inlineStr">
        <x:is>
          <x:t/>
        </x:is>
      </x:c>
      <x:c r="Q503" s="3" t="inlineStr">
        <x:is>
          <x:t/>
        </x:is>
      </x:c>
    </x:row>
    <x:row r="504">
      <x:c r="A504" s="10" t="inlineStr">
        <x:f xml:space="preserve">HYPERLINK("http://sipi.sic.gov.co/sipi/View.ashx?4390974","SD2022/0102063")</x:f>
      </x:c>
      <x:c r="B504" s="3" t="inlineStr">
        <x:is>
          <x:t>VASAM</x:t>
        </x:is>
      </x:c>
      <x:c r="C504" s="9" t="inlineStr">
        <x:is>
          <x:t/>
        </x:is>
      </x:c>
      <x:c r="D504" s="3" t="inlineStr">
        <x:is>
          <x:t>05 oct. 2022</x:t>
        </x:is>
      </x:c>
      <x:c r="E504" s="3" t="inlineStr">
        <x:is>
          <x:t/>
        </x:is>
      </x:c>
      <x:c r="F504" s="3" t="inlineStr">
        <x:is>
          <x:t>Negada</x:t>
        </x:is>
      </x:c>
      <x:c r="G504" s="3" t="inlineStr">
        <x:is>
          <x:t/>
        </x:is>
      </x:c>
      <x:c r="H504" s="3" t="inlineStr">
        <x:is>
          <x:t>ERICK  LINARES KANARSKAYA, cra 18 No 9-67, ARMENIA, QUINDIO 600001, CO</x:t>
        </x:is>
      </x:c>
      <x:c r="I504" s="3" t="inlineStr">
        <x:is>
          <x:t>3</x:t>
        </x:is>
      </x:c>
      <x:c r="J504" s="3" t="inlineStr">
        <x:is>
          <x:t>11</x:t>
        </x:is>
      </x:c>
      <x:c r="K504" s="3" t="inlineStr">
        <x:is>
          <x:t>3. Cosméticos de belleza; cosméticos para tratamiento de belleza cosméticos para el cuidado de belleza.
</x:t>
        </x:is>
      </x:c>
      <x:c r="L504" s="3" t="inlineStr">
        <x:is>
          <x:t>No</x:t>
        </x:is>
      </x:c>
      <x:c r="M504" s="3" t="inlineStr">
        <x:is>
          <x:t>Mauricio Castro Orjuela, Avenida Carrera 19 # 95 - 20, BOGOTA, CUNDINAMARCA 00000, CO</x:t>
        </x:is>
      </x:c>
      <x:c r="N504" s="3" t="inlineStr">
        <x:is>
          <x:t/>
        </x:is>
      </x:c>
      <x:c r="O504" s="3" t="inlineStr">
        <x:is>
          <x:t>25 ene. 2024</x:t>
        </x:is>
      </x:c>
      <x:c r="P504" s="3" t="inlineStr">
        <x:is>
          <x:t/>
        </x:is>
      </x:c>
      <x:c r="Q504" s="3" t="inlineStr">
        <x:is>
          <x:t/>
        </x:is>
      </x:c>
    </x:row>
    <x:row r="505">
      <x:c r="A505" s="10" t="inlineStr">
        <x:f xml:space="preserve">HYPERLINK("http://sipi.sic.gov.co/sipi/View.ashx?4391351","SD2022/0101638")</x:f>
      </x:c>
      <x:c r="B505" s="3" t="inlineStr">
        <x:is>
          <x:t>DERMACOL</x:t>
        </x:is>
      </x:c>
      <x:c r="C505" s="3" t="inlineStr">
        <x:is>
          <x:t/>
        </x:is>
      </x:c>
      <x:c r="D505" s="3" t="inlineStr">
        <x:is>
          <x:t>04 oct. 2022</x:t>
        </x:is>
      </x:c>
      <x:c r="E505" s="3" t="inlineStr">
        <x:is>
          <x:t/>
        </x:is>
      </x:c>
      <x:c r="F505" s="3" t="inlineStr">
        <x:is>
          <x:t>Negada</x:t>
        </x:is>
      </x:c>
      <x:c r="G505" s="3" t="inlineStr">
        <x:is>
          <x:t/>
        </x:is>
      </x:c>
      <x:c r="H505" s="3" t="inlineStr">
        <x:is>
          <x:t>GUSTAVO ANTONIO ESPAÑA ARENAS, FINCA LA LAGUNA RUITOQUE BAJO, VEREDA QUEBRADA SECA, GIRON, GIRON, SANTANDER, CO</x:t>
        </x:is>
      </x:c>
      <x:c r="I505" s="3" t="inlineStr">
        <x:is>
          <x:t>3</x:t>
        </x:is>
      </x:c>
      <x:c r="J505" s="3" t="inlineStr">
        <x:is>
          <x:t>11</x:t>
        </x:is>
      </x:c>
      <x:c r="K505" s="3" t="inlineStr">
        <x:is>
          <x:t>3. Champúes para el cabello; cosméticos y preparaciones cosméticas; crema corporal; crema corporal para uso cosmético; crema lavamanos; crema no medicinal contra la dermatitis del pañal; crema para aclarar la piel; crema para las manos; cremas contra las pecas; cremas corporales; cremas cosméticas para el cuidado de la piel; cremas cosméticas para el rostro; cremas cosméticas para la piel; cremas cosméticas para las manos; cremas faciales; cremas faciales para uso cosmético; cremas para el rostro; cremas para el rostro de uso cosmético; cremas para el rostro y el cuerpo; cremas para el rostro y el cuerpo de uso cosmético; cremas para la cara [cosméticos]; cremas para la piel; cremas para la piel de uso cosmético; emolientes para la piel; emolientes para la piel de uso cosmético; emulsiones faciales; emulsiones para el cuerpo; emulsiones para el cuerpo de uso cosmético; emulsiones, geles y lociones para el cuidado de la piel; talco; aceite de masaje, no medicinal; preparaciones cosméticas no medicinales para tratamientos capilares.
</x:t>
        </x:is>
      </x:c>
      <x:c r="L505" s="3" t="inlineStr">
        <x:is>
          <x:t>Sí</x:t>
        </x:is>
      </x:c>
      <x:c r="M505" s="3" t="inlineStr">
        <x:is>
          <x:t>SOAD HELENE ASSAF CARRASCAL, SIN ESTABLECER, BOGOTÁ, D.C., CO</x:t>
        </x:is>
      </x:c>
      <x:c r="N505" s="3" t="inlineStr">
        <x:is>
          <x:t/>
        </x:is>
      </x:c>
      <x:c r="O505" s="3" t="inlineStr">
        <x:is>
          <x:t>11 oct. 2022</x:t>
        </x:is>
      </x:c>
      <x:c r="P505" s="3" t="inlineStr">
        <x:is>
          <x:t/>
        </x:is>
      </x:c>
      <x:c r="Q505" s="3" t="inlineStr">
        <x:is>
          <x:t/>
        </x:is>
      </x:c>
    </x:row>
    <x:row r="506">
      <x:c r="A506" s="10" t="inlineStr">
        <x:f xml:space="preserve">HYPERLINK("http://sipi.sic.gov.co/sipi/View.ashx?4395150","SD2022/0104416")</x:f>
      </x:c>
      <x:c r="B506" s="3" t="inlineStr">
        <x:is>
          <x:t>HUNTER MEN CARE </x:t>
        </x:is>
      </x:c>
      <x:c r="C506" s="9" t="inlineStr">
        <x:is>
          <x:t/>
        </x:is>
      </x:c>
      <x:c r="D506" s="3" t="inlineStr">
        <x:is>
          <x:t>11 oct. 2022</x:t>
        </x:is>
      </x:c>
      <x:c r="E506" s="3" t="inlineStr">
        <x:is>
          <x:t/>
        </x:is>
      </x:c>
      <x:c r="F506" s="3" t="inlineStr">
        <x:is>
          <x:t>Negada</x:t>
        </x:is>
      </x:c>
      <x:c r="G506" s="3" t="inlineStr">
        <x:is>
          <x:t/>
        </x:is>
      </x:c>
      <x:c r="H506" s="3" t="inlineStr">
        <x:is>
          <x:t> HNTR S.A.S, Calle 15 No. 79 250, MEDELLIN, ANTIOQUIA, CO</x:t>
        </x:is>
      </x:c>
      <x:c r="I506" s="3" t="inlineStr">
        <x:is>
          <x:t>3</x:t>
        </x:is>
      </x:c>
      <x:c r="J506" s="3" t="inlineStr">
        <x:is>
          <x:t>11</x:t>
        </x:is>
      </x:c>
      <x:c r="K506" s="3" t="inlineStr">
        <x:is>
          <x:t>3. Champúes para el cabello; champús 3 en 1; champús acondicionadores; champús anticaspa; champús capilares; champús corporales; champús de ph neutro; champús en barritas sólidas; champús en seco*; champús equilibrados de ph; champús no medicinales; champús no medicinales contra la caspa; champús no medicinales para animales de compañía; champús para el cabello; champús para el cabello humano; champús para el cabello y el cuerpo; champús para el cuerpo; champús y acondicionadores; champús y acondicionadores para el cabello; champús*; productos de enjuague para el cabello [champús acondicionadores]; acondicionadores para el cabello; acondicionadores para la piel; acondicionadores para uso en el cabello; bálsamo acondicionador; desodorantes antitranspirantes; desodorantes corporales; desodorantes corporales [perfumería]; desodorantes corporales [productos de perfumería]; desodorantes de alumbre; espráis desodorantes para los pies; jabones desodorantes; aceites esenciales de limón; aceites esenciales de pino; aceites esenciales naturales; aceites esenciales para uso cosmético; aceites esenciales para uso personal;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cosméticos; jabones de baño.
</x:t>
        </x:is>
      </x:c>
      <x:c r="L506" s="3" t="inlineStr">
        <x:is>
          <x:t>No</x:t>
        </x:is>
      </x:c>
      <x:c r="M506" s="3" t="inlineStr">
        <x:is>
          <x:t>Maria Camila  Londoño Valero, calle 4 sur No. 43 A 195, of 107, MEDELLIN, ANTIOQUIA, CO</x:t>
        </x:is>
      </x:c>
      <x:c r="N506" s="3" t="inlineStr">
        <x:is>
          <x:t/>
        </x:is>
      </x:c>
      <x:c r="O506" s="3" t="inlineStr">
        <x:is>
          <x:t>09 dic. 2022</x:t>
        </x:is>
      </x:c>
      <x:c r="P506" s="3" t="inlineStr">
        <x:is>
          <x:t/>
        </x:is>
      </x:c>
      <x:c r="Q506" s="3" t="inlineStr">
        <x:is>
          <x:t/>
        </x:is>
      </x:c>
    </x:row>
    <x:row r="507">
      <x:c r="A507" s="10" t="inlineStr">
        <x:f xml:space="preserve">HYPERLINK("http://sipi.sic.gov.co/sipi/View.ashx?4395799","SD2022/0102959")</x:f>
      </x:c>
      <x:c r="B507" s="3" t="inlineStr">
        <x:is>
          <x:t>EUCEDOX</x:t>
        </x:is>
      </x:c>
      <x:c r="C507" s="3" t="inlineStr">
        <x:is>
          <x:t/>
        </x:is>
      </x:c>
      <x:c r="D507" s="3" t="inlineStr">
        <x:is>
          <x:t>06 oct. 2022</x:t>
        </x:is>
      </x:c>
      <x:c r="E507" s="3" t="inlineStr">
        <x:is>
          <x:t/>
        </x:is>
      </x:c>
      <x:c r="F507" s="3" t="inlineStr">
        <x:is>
          <x:t>Negada</x:t>
        </x:is>
      </x:c>
      <x:c r="G507" s="3" t="inlineStr">
        <x:is>
          <x:t/>
        </x:is>
      </x:c>
      <x:c r="H507" s="3" t="inlineStr">
        <x:is>
          <x:t> TRIDEX FARMACEUTICA S.A.S., CARRERA 46 NO. 12 - 30, BOGOTÁ, D.C., CO</x:t>
        </x:is>
      </x:c>
      <x:c r="I507" s="3" t="inlineStr">
        <x:is>
          <x:t>3</x:t>
        </x:is>
      </x:c>
      <x:c r="J507" s="3" t="inlineStr">
        <x:is>
          <x:t>11</x:t>
        </x:is>
      </x:c>
      <x:c r="K50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07" s="3" t="inlineStr">
        <x:is>
          <x:t>No</x:t>
        </x:is>
      </x:c>
      <x:c r="M507" s="3" t="inlineStr">
        <x:is>
          <x:t>CHAYANNE ELENA GARCES LEZAMA, CARRERA 46 # 12 30 , BOGOTÁ, D.C., CO</x:t>
        </x:is>
      </x:c>
      <x:c r="N507" s="3" t="inlineStr">
        <x:is>
          <x:t/>
        </x:is>
      </x:c>
      <x:c r="O507" s="3" t="inlineStr">
        <x:is>
          <x:t>26 ene. 2023</x:t>
        </x:is>
      </x:c>
      <x:c r="P507" s="3" t="inlineStr">
        <x:is>
          <x:t/>
        </x:is>
      </x:c>
      <x:c r="Q507" s="3" t="inlineStr">
        <x:is>
          <x:t/>
        </x:is>
      </x:c>
    </x:row>
    <x:row r="508">
      <x:c r="A508" s="10" t="inlineStr">
        <x:f xml:space="preserve">HYPERLINK("http://sipi.sic.gov.co/sipi/View.ashx?4395871","SD2022/0102990")</x:f>
      </x:c>
      <x:c r="B508" s="3" t="inlineStr">
        <x:is>
          <x:t>PASCAL MORABITO</x:t>
        </x:is>
      </x:c>
      <x:c r="C508" s="3" t="inlineStr">
        <x:is>
          <x:t/>
        </x:is>
      </x:c>
      <x:c r="D508" s="3" t="inlineStr">
        <x:is>
          <x:t>06 oct. 2022</x:t>
        </x:is>
      </x:c>
      <x:c r="E508" s="3" t="inlineStr">
        <x:is>
          <x:t/>
        </x:is>
      </x:c>
      <x:c r="F508" s="3" t="inlineStr">
        <x:is>
          <x:t>Negada</x:t>
        </x:is>
      </x:c>
      <x:c r="G508" s="3" t="inlineStr">
        <x:is>
          <x:t>M19832</x:t>
        </x:is>
      </x:c>
      <x:c r="H508" s="3" t="inlineStr">
        <x:is>
          <x:t>PASCAL MORABITO, BOLARE JL PANTAI BERAWA CANGSU UTARA , KUTA, BALI, ID</x:t>
        </x:is>
      </x:c>
      <x:c r="I508" s="3" t="inlineStr">
        <x:is>
          <x:t>3</x:t>
        </x:is>
      </x:c>
      <x:c r="J508" s="3" t="inlineStr">
        <x:is>
          <x:t>11</x:t>
        </x:is>
      </x:c>
      <x:c r="K508" s="3" t="inlineStr">
        <x:is>
          <x:t>3. Jabones; perfumes; aceites esenciales; cosméticos; lociones capilares; depilatorios; maquillajes y desmaquilladores; mascarillas de belleza; productos de afeitar; barras de labios; productos sanitarios para el baño; desodorantes; lociones para el cuerpo; gel para el cabello y el cuerpo; gel para las manos; acondicionador; champú .
</x:t>
        </x:is>
      </x:c>
      <x:c r="L508" s="3" t="inlineStr">
        <x:is>
          <x:t>No</x:t>
        </x:is>
      </x:c>
      <x:c r="M508" s="3" t="inlineStr">
        <x:is>
          <x:t>XIMENA CASTELLANOS ABONDANO, Calle 117 No. 5A - 35 piso 3, BOGOTÁ, D.C., CO</x:t>
        </x:is>
      </x:c>
      <x:c r="N508" s="3" t="inlineStr">
        <x:is>
          <x:t/>
        </x:is>
      </x:c>
      <x:c r="O508" s="3" t="inlineStr">
        <x:is>
          <x:t>09 dic. 2022</x:t>
        </x:is>
      </x:c>
      <x:c r="P508" s="3" t="inlineStr">
        <x:is>
          <x:t/>
        </x:is>
      </x:c>
      <x:c r="Q508" s="3" t="inlineStr">
        <x:is>
          <x:t/>
        </x:is>
      </x:c>
    </x:row>
    <x:row r="509">
      <x:c r="A509" s="10" t="inlineStr">
        <x:f xml:space="preserve">HYPERLINK("http://sipi.sic.gov.co/sipi/View.ashx?4396279","SD2022/0103083")</x:f>
      </x:c>
      <x:c r="B509" s="3" t="inlineStr">
        <x:is>
          <x:t>BYE BYE RULES </x:t>
        </x:is>
      </x:c>
      <x:c r="C509" s="9" t="inlineStr">
        <x:is>
          <x:t/>
        </x:is>
      </x:c>
      <x:c r="D509" s="3" t="inlineStr">
        <x:is>
          <x:t>06 oct. 2022</x:t>
        </x:is>
      </x:c>
      <x:c r="E509" s="3" t="inlineStr">
        <x:is>
          <x:t/>
        </x:is>
      </x:c>
      <x:c r="F509" s="3" t="inlineStr">
        <x:is>
          <x:t>Negada</x:t>
        </x:is>
      </x:c>
      <x:c r="G509" s="3" t="inlineStr">
        <x:is>
          <x:t>BYE BYE RULES </x:t>
        </x:is>
      </x:c>
      <x:c r="H509" s="3" t="inlineStr">
        <x:is>
          <x:t>ANA SOFIA  GOMEZ GARCIA, carrera 22 #16-04, MEDELLIN, ANTIOQUIA, CO</x:t>
        </x:is>
      </x:c>
      <x:c r="I509" s="3" t="inlineStr">
        <x:is>
          <x:t>3</x:t>
        </x:is>
      </x:c>
      <x:c r="J509" s="3" t="inlineStr">
        <x:is>
          <x:t>11</x:t>
        </x:is>
      </x:c>
      <x:c r="K509" s="3" t="inlineStr">
        <x:is>
          <x:t>3. Cosméticos.
</x:t>
        </x:is>
      </x:c>
      <x:c r="L509" s="3" t="inlineStr">
        <x:is>
          <x:t>No</x:t>
        </x:is>
      </x:c>
      <x:c r="M509" s="3" t="inlineStr">
        <x:is>
          <x:t>BLANCA MERY VELASQUEZ GALLO, CRA 81B No. 7A-40 URB. VILLAVERDE 1 CASA 13, MEDELLIN, ANTIOQUIA, CO</x:t>
        </x:is>
      </x:c>
      <x:c r="N509" s="3" t="inlineStr">
        <x:is>
          <x:t/>
        </x:is>
      </x:c>
      <x:c r="O509" s="3" t="inlineStr">
        <x:is>
          <x:t>20 dic. 2022</x:t>
        </x:is>
      </x:c>
      <x:c r="P509" s="3" t="inlineStr">
        <x:is>
          <x:t/>
        </x:is>
      </x:c>
      <x:c r="Q509" s="3" t="inlineStr">
        <x:is>
          <x:t/>
        </x:is>
      </x:c>
    </x:row>
    <x:row r="510">
      <x:c r="A510" s="10" t="inlineStr">
        <x:f xml:space="preserve">HYPERLINK("http://sipi.sic.gov.co/sipi/View.ashx?4396478","SD2022/0103239")</x:f>
      </x:c>
      <x:c r="B510" s="3" t="inlineStr">
        <x:is>
          <x:t>AIVIC SKIN</x:t>
        </x:is>
      </x:c>
      <x:c r="C510" s="3" t="inlineStr">
        <x:is>
          <x:t/>
        </x:is>
      </x:c>
      <x:c r="D510" s="3" t="inlineStr">
        <x:is>
          <x:t>07 oct. 2022</x:t>
        </x:is>
      </x:c>
      <x:c r="E510" s="3" t="inlineStr">
        <x:is>
          <x:t/>
        </x:is>
      </x:c>
      <x:c r="F510" s="3" t="inlineStr">
        <x:is>
          <x:t>Negada</x:t>
        </x:is>
      </x:c>
      <x:c r="G510" s="3" t="inlineStr">
        <x:is>
          <x:t/>
        </x:is>
      </x:c>
      <x:c r="H510" s="3" t="inlineStr">
        <x:is>
          <x:t>AIDA VICTORIA  MERLANO MANZANEDA, Calle 117 # 42b 74 torre 4 apto 102, BARRANQUILLA, ATLÁNTICO, CO</x:t>
        </x:is>
      </x:c>
      <x:c r="I510" s="3" t="inlineStr">
        <x:is>
          <x:t>3, 5</x:t>
        </x:is>
      </x:c>
      <x:c r="J510" s="3" t="inlineStr">
        <x:is>
          <x:t>11</x:t>
        </x:is>
      </x:c>
      <x:c r="K510"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510" s="3" t="inlineStr">
        <x:is>
          <x:t>No</x:t>
        </x:is>
      </x:c>
      <x:c r="M510" s="3" t="inlineStr">
        <x:is>
          <x:t>EDWARD ANDRES  GUZMAN BARCELO, Calle 57 32-44, BARRANQUILLA, ATLÁNTICO, CO</x:t>
        </x:is>
      </x:c>
      <x:c r="N510" s="3" t="inlineStr">
        <x:is>
          <x:t/>
        </x:is>
      </x:c>
      <x:c r="O510" s="3" t="inlineStr">
        <x:is>
          <x:t>26 ene. 2023</x:t>
        </x:is>
      </x:c>
      <x:c r="P510" s="3" t="inlineStr">
        <x:is>
          <x:t/>
        </x:is>
      </x:c>
      <x:c r="Q510" s="3" t="inlineStr">
        <x:is>
          <x:t/>
        </x:is>
      </x:c>
    </x:row>
    <x:row r="511">
      <x:c r="A511" s="10" t="inlineStr">
        <x:f xml:space="preserve">HYPERLINK("http://sipi.sic.gov.co/sipi/View.ashx?4398815","SD2022/0103658")</x:f>
      </x:c>
      <x:c r="B511" s="3" t="inlineStr">
        <x:is>
          <x:t>BRO </x:t>
        </x:is>
      </x:c>
      <x:c r="C511" s="9" t="inlineStr">
        <x:is>
          <x:t/>
        </x:is>
      </x:c>
      <x:c r="D511" s="3" t="inlineStr">
        <x:is>
          <x:t>09 oct. 2022</x:t>
        </x:is>
      </x:c>
      <x:c r="E511" s="3" t="inlineStr">
        <x:is>
          <x:t/>
        </x:is>
      </x:c>
      <x:c r="F511" s="3" t="inlineStr">
        <x:is>
          <x:t>Negada</x:t>
        </x:is>
      </x:c>
      <x:c r="G511" s="3" t="inlineStr">
        <x:is>
          <x:t>Registro BRO</x:t>
        </x:is>
      </x:c>
      <x:c r="H511" s="3" t="inlineStr">
        <x:is>
          <x:t>Carlos Andres  Ramirez Serna, Vereda Santa Barbara Finca 185 Casa2, RIONEGRO, ANTIOQUIA, CO</x:t>
        </x:is>
      </x:c>
      <x:c r="I511" s="3" t="inlineStr">
        <x:is>
          <x:t>3</x:t>
        </x:is>
      </x:c>
      <x:c r="J511" s="3" t="inlineStr">
        <x:is>
          <x:t>11</x:t>
        </x:is>
      </x:c>
      <x:c r="K511" s="3" t="inlineStr">
        <x:is>
          <x:t>3. Aceite de coco para uso cosmético; aceite de masaje, no medicinal; aceite de neem para uso cosmético; aceite de ricino para uso cosmético; aceite fijador para el cabello; aceites aromáticos; aceites aromáticos para el baño; aceites brillantes para el cuerpo; aceites bronceadores; aceites bronceadores [cosméticos]; aceites bronceadores de uso cosmético; aceites cosméticos; aceites cosméticos para la piel; aceites de aromaterapia; aceites de baño para uso cosmético; aceites de cáñamo a base de cbd para uso cosmético; aceites de ducha a base de cáñamo; aceites de masaje, no medicinales; aceites de perfumería; aceites de protección solar; aceites esenciales a base de cáñamo; aceites esenciales naturales; aceites de tocador; aguas de tocador; espumas para el cabello [productos de tocador]; jabones de tocador; jabones de tocador no medicinales; leches limpiadoras de tocador; preparaciones de higiene en cuanto productos de tocador; preparaciones de tocador no medicinales.
</x:t>
        </x:is>
      </x:c>
      <x:c r="L511" s="3" t="inlineStr">
        <x:is>
          <x:t>No</x:t>
        </x:is>
      </x:c>
      <x:c r="M511" s="3" t="inlineStr">
        <x:is>
          <x:t/>
        </x:is>
      </x:c>
      <x:c r="N511" s="3" t="inlineStr">
        <x:is>
          <x:t/>
        </x:is>
      </x:c>
      <x:c r="O511" s="3" t="inlineStr">
        <x:is>
          <x:t>08 may. 2023</x:t>
        </x:is>
      </x:c>
      <x:c r="P511" s="3" t="inlineStr">
        <x:is>
          <x:t/>
        </x:is>
      </x:c>
      <x:c r="Q511" s="3" t="inlineStr">
        <x:is>
          <x:t/>
        </x:is>
      </x:c>
    </x:row>
    <x:row r="512">
      <x:c r="A512" s="10" t="inlineStr">
        <x:f xml:space="preserve">HYPERLINK("http://sipi.sic.gov.co/sipi/View.ashx?4398902","SD2022/0106275")</x:f>
      </x:c>
      <x:c r="B512" s="3" t="inlineStr">
        <x:is>
          <x:t>BIOMA</x:t>
        </x:is>
      </x:c>
      <x:c r="C512" s="9" t="inlineStr">
        <x:is>
          <x:t/>
        </x:is>
      </x:c>
      <x:c r="D512" s="3" t="inlineStr">
        <x:is>
          <x:t>16 oct. 2022</x:t>
        </x:is>
      </x:c>
      <x:c r="E512" s="3" t="inlineStr">
        <x:is>
          <x:t/>
        </x:is>
      </x:c>
      <x:c r="F512" s="3" t="inlineStr">
        <x:is>
          <x:t>Negada</x:t>
        </x:is>
      </x:c>
      <x:c r="G512" s="3" t="inlineStr">
        <x:is>
          <x:t>BIOMA</x:t>
        </x:is>
      </x:c>
      <x:c r="H512" s="3" t="inlineStr">
        <x:is>
          <x:t>LUIS FELIPE AMEZQUITA VEGA, Cl 117d # 57-96 ap 810, BOGOTÁ, D.C. 111111, CO</x:t>
        </x:is>
      </x:c>
      <x:c r="I512" s="3" t="inlineStr">
        <x:is>
          <x:t>3</x:t>
        </x:is>
      </x:c>
      <x:c r="J512" s="3" t="inlineStr">
        <x:is>
          <x:t>11</x:t>
        </x:is>
      </x:c>
      <x:c r="K512" s="3" t="inlineStr">
        <x:is>
          <x:t>3. Aceites hidratantes intensivos; cremas hidratantes; cremas hidratantes para la piel [cosméticos]; cremas, aceites, lociones y preparaciones limpiadoras e hidratantes; cremas, lociones y geles hidratantes; hidratante para la piel; hidratantes; hidratantes [cosméticos]; hidratantes para la piel.
</x:t>
        </x:is>
      </x:c>
      <x:c r="L512" s="3" t="inlineStr">
        <x:is>
          <x:t>No</x:t>
        </x:is>
      </x:c>
      <x:c r="M512" s="3" t="inlineStr">
        <x:is>
          <x:t>Oscar Alejandro Delgado Díaz, Carrera 10 No. 4-64, CHIA, CUNDINAMARCA 250001, CO</x:t>
        </x:is>
      </x:c>
      <x:c r="N512" s="3" t="inlineStr">
        <x:is>
          <x:t/>
        </x:is>
      </x:c>
      <x:c r="O512" s="3" t="inlineStr">
        <x:is>
          <x:t>31 oct. 2022</x:t>
        </x:is>
      </x:c>
      <x:c r="P512" s="3" t="inlineStr">
        <x:is>
          <x:t/>
        </x:is>
      </x:c>
      <x:c r="Q512" s="3" t="inlineStr">
        <x:is>
          <x:t/>
        </x:is>
      </x:c>
    </x:row>
    <x:row r="513">
      <x:c r="A513" s="10" t="inlineStr">
        <x:f xml:space="preserve">HYPERLINK("http://sipi.sic.gov.co/sipi/View.ashx?4401985","SD2022/0104378")</x:f>
      </x:c>
      <x:c r="B513" s="3" t="inlineStr">
        <x:is>
          <x:t>ESTELIN</x:t>
        </x:is>
      </x:c>
      <x:c r="C513" s="3" t="inlineStr">
        <x:is>
          <x:t/>
        </x:is>
      </x:c>
      <x:c r="D513" s="3" t="inlineStr">
        <x:is>
          <x:t>11 oct. 2022</x:t>
        </x:is>
      </x:c>
      <x:c r="E513" s="3" t="inlineStr">
        <x:is>
          <x:t/>
        </x:is>
      </x:c>
      <x:c r="F513" s="3" t="inlineStr">
        <x:is>
          <x:t>Negada</x:t>
        </x:is>
      </x:c>
      <x:c r="G513" s="3" t="inlineStr">
        <x:is>
          <x:t>BE-IP</x:t>
        </x:is>
      </x:c>
      <x:c r="H513" s="3" t="inlineStr">
        <x:is>
          <x:t> YIWU RASHEL TRADING CO., LTD, Room 3110, 3111 &amp; 3112, 31st Floor Global Building, No. 168 Finance 6th Street, Financial Commerce District, Futian Street, YIWU CITY, ZHEJIANG, CN</x:t>
        </x:is>
      </x:c>
      <x:c r="I513" s="3" t="inlineStr">
        <x:is>
          <x:t>3</x:t>
        </x:is>
      </x:c>
      <x:c r="J513" s="3" t="inlineStr">
        <x:is>
          <x:t>11</x:t>
        </x:is>
      </x:c>
      <x:c r="K513" s="3" t="inlineStr">
        <x:is>
          <x:t>3. Leche de lavado facial; Esencia limpiadora; Laca para la chaqueta de cuero; Lápices de labios [pintalabios]; cosméticos; perfumes; colonias, perfumes y productos cosméticos; dentífricos; maderas aromáticas; cosméticos para animales.
</x:t>
        </x:is>
      </x:c>
      <x:c r="L513" s="3" t="inlineStr">
        <x:is>
          <x:t>No</x:t>
        </x:is>
      </x:c>
      <x:c r="M513" s="3" t="inlineStr">
        <x:is>
          <x:t>CLEMENCIA DELGADO VILLEGAS, Avenida Carrera  24 # 37-31 Oficina 202, BOGOTÁ, D.C., CO</x:t>
        </x:is>
      </x:c>
      <x:c r="N513" s="3" t="inlineStr">
        <x:is>
          <x:t/>
        </x:is>
      </x:c>
      <x:c r="O513" s="3" t="inlineStr">
        <x:is>
          <x:t>30 dic. 2022</x:t>
        </x:is>
      </x:c>
      <x:c r="P513" s="3" t="inlineStr">
        <x:is>
          <x:t/>
        </x:is>
      </x:c>
      <x:c r="Q513" s="3" t="inlineStr">
        <x:is>
          <x:t/>
        </x:is>
      </x:c>
    </x:row>
    <x:row r="514">
      <x:c r="A514" s="10" t="inlineStr">
        <x:f xml:space="preserve">HYPERLINK("http://sipi.sic.gov.co/sipi/View.ashx?4402059","SD2022/0104431")</x:f>
      </x:c>
      <x:c r="B514" s="3" t="inlineStr">
        <x:is>
          <x:t>DOTERRA</x:t>
        </x:is>
      </x:c>
      <x:c r="C514" s="9" t="inlineStr">
        <x:is>
          <x:t/>
        </x:is>
      </x:c>
      <x:c r="D514" s="3" t="inlineStr">
        <x:is>
          <x:t>11 oct. 2022</x:t>
        </x:is>
      </x:c>
      <x:c r="E514" s="3" t="inlineStr">
        <x:is>
          <x:t/>
        </x:is>
      </x:c>
      <x:c r="F514" s="3" t="inlineStr">
        <x:is>
          <x:t>Negada</x:t>
        </x:is>
      </x:c>
      <x:c r="G514" s="3" t="inlineStr">
        <x:is>
          <x:t>DOTERRA</x:t>
        </x:is>
      </x:c>
      <x:c r="H514" s="3" t="inlineStr">
        <x:is>
          <x:t> DHAKHAN S.A.S., Calle 5B # 141 156, CALI, VALLE DEL CAUCA 00000, CO</x:t>
        </x:is>
      </x:c>
      <x:c r="I514" s="3" t="inlineStr">
        <x:is>
          <x:t>3, 5</x:t>
        </x:is>
      </x:c>
      <x:c r="J514" s="3" t="inlineStr">
        <x:is>
          <x:t>11</x:t>
        </x:is>
      </x:c>
      <x:c r="K51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514" s="3" t="inlineStr">
        <x:is>
          <x:t>Sí</x:t>
        </x:is>
      </x:c>
      <x:c r="M514" s="3" t="inlineStr">
        <x:is>
          <x:t>LUIS FERNANDO  PATRON FUENTES, Carrera 17 No. 150 - 52, Oficina 303, BOGOTÁ, D.C., CO</x:t>
        </x:is>
      </x:c>
      <x:c r="N514" s="3" t="inlineStr">
        <x:is>
          <x:t/>
        </x:is>
      </x:c>
      <x:c r="O514" s="3" t="inlineStr">
        <x:is>
          <x:t>15 ene. 2024</x:t>
        </x:is>
      </x:c>
      <x:c r="P514" s="3" t="inlineStr">
        <x:is>
          <x:t/>
        </x:is>
      </x:c>
      <x:c r="Q514" s="3" t="inlineStr">
        <x:is>
          <x:t/>
        </x:is>
      </x:c>
    </x:row>
    <x:row r="515">
      <x:c r="A515" s="10" t="inlineStr">
        <x:f xml:space="preserve">HYPERLINK("http://sipi.sic.gov.co/sipi/View.ashx?4402164","SD2022/0104464")</x:f>
      </x:c>
      <x:c r="B515" s="3" t="inlineStr">
        <x:is>
          <x:t/>
        </x:is>
      </x:c>
      <x:c r="C515" s="9" t="inlineStr">
        <x:is>
          <x:t/>
        </x:is>
      </x:c>
      <x:c r="D515" s="3" t="inlineStr">
        <x:is>
          <x:t>11 oct. 2022</x:t>
        </x:is>
      </x:c>
      <x:c r="E515" s="3" t="inlineStr">
        <x:is>
          <x:t/>
        </x:is>
      </x:c>
      <x:c r="F515" s="3" t="inlineStr">
        <x:is>
          <x:t>Negada</x:t>
        </x:is>
      </x:c>
      <x:c r="G515" s="3" t="inlineStr">
        <x:is>
          <x:t>Marca TRIDIMENSIONAL BOTELLA </x:t>
        </x:is>
      </x:c>
      <x:c r="H515" s="3" t="inlineStr">
        <x:is>
          <x:t>RUBEN DARIO URIBE FRANCO, CARRERA 45  No. 48 - 7 APTO 403, MEDELLIN, ANTIOQUIA, CO</x:t>
        </x:is>
      </x:c>
      <x:c r="I515" s="3" t="inlineStr">
        <x:is>
          <x:t>3</x:t>
        </x:is>
      </x:c>
      <x:c r="J515" s="3" t="inlineStr">
        <x:is>
          <x:t>11</x:t>
        </x:is>
      </x:c>
      <x:c r="K51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15" s="3" t="inlineStr">
        <x:is>
          <x:t>No</x:t>
        </x:is>
      </x:c>
      <x:c r="M515" s="3" t="inlineStr">
        <x:is>
          <x:t>NATALIA ANDREA PIEDRAHITA RAMIREZ, CALLE 2 SUR #20-185 INT 1802, MEDELLIN, ANTIOQUIA 050022, CO</x:t>
        </x:is>
      </x:c>
      <x:c r="N515" s="3" t="inlineStr">
        <x:is>
          <x:t/>
        </x:is>
      </x:c>
      <x:c r="O515" s="3" t="inlineStr">
        <x:is>
          <x:t>20 nov. 2023</x:t>
        </x:is>
      </x:c>
      <x:c r="P515" s="3" t="inlineStr">
        <x:is>
          <x:t/>
        </x:is>
      </x:c>
      <x:c r="Q515" s="3" t="inlineStr">
        <x:is>
          <x:t/>
        </x:is>
      </x:c>
    </x:row>
    <x:row r="516">
      <x:c r="A516" s="10" t="inlineStr">
        <x:f xml:space="preserve">HYPERLINK("http://sipi.sic.gov.co/sipi/View.ashx?4402182","SD2022/0105402")</x:f>
      </x:c>
      <x:c r="B516" s="3" t="inlineStr">
        <x:is>
          <x:t>Tallos &amp; Tallos</x:t>
        </x:is>
      </x:c>
      <x:c r="C516" s="9" t="inlineStr">
        <x:is>
          <x:t/>
        </x:is>
      </x:c>
      <x:c r="D516" s="3" t="inlineStr">
        <x:is>
          <x:t>13 oct. 2022</x:t>
        </x:is>
      </x:c>
      <x:c r="E516" s="3" t="inlineStr">
        <x:is>
          <x:t/>
        </x:is>
      </x:c>
      <x:c r="F516" s="3" t="inlineStr">
        <x:is>
          <x:t>Negada</x:t>
        </x:is>
      </x:c>
      <x:c r="G516" s="3" t="inlineStr">
        <x:is>
          <x:t/>
        </x:is>
      </x:c>
      <x:c r="H516" s="3" t="inlineStr">
        <x:is>
          <x:t>RONAL FERNANDO  LEZAMA MAYORGA, Cr 33 No. 1 D - 80, BOGOTÁ, D.C., CO</x:t>
        </x:is>
      </x:c>
      <x:c r="I516" s="3" t="inlineStr">
        <x:is>
          <x:t>3</x:t>
        </x:is>
      </x:c>
      <x:c r="J516" s="3" t="inlineStr">
        <x:is>
          <x:t>11</x:t>
        </x:is>
      </x:c>
      <x:c r="K51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16" s="3" t="inlineStr">
        <x:is>
          <x:t>Sí</x:t>
        </x:is>
      </x:c>
      <x:c r="M516" s="3" t="inlineStr">
        <x:is>
          <x:t/>
        </x:is>
      </x:c>
      <x:c r="N516" s="3" t="inlineStr">
        <x:is>
          <x:t/>
        </x:is>
      </x:c>
      <x:c r="O516" s="3" t="inlineStr">
        <x:is>
          <x:t>09 dic. 2022</x:t>
        </x:is>
      </x:c>
      <x:c r="P516" s="3" t="inlineStr">
        <x:is>
          <x:t/>
        </x:is>
      </x:c>
      <x:c r="Q516" s="3" t="inlineStr">
        <x:is>
          <x:t/>
        </x:is>
      </x:c>
    </x:row>
    <x:row r="517">
      <x:c r="A517" s="10" t="inlineStr">
        <x:f xml:space="preserve">HYPERLINK("http://sipi.sic.gov.co/sipi/View.ashx?4402566","SD2022/0104681")</x:f>
      </x:c>
      <x:c r="B517" s="3" t="inlineStr">
        <x:is>
          <x:t>NEREY</x:t>
        </x:is>
      </x:c>
      <x:c r="C517" s="3" t="inlineStr">
        <x:is>
          <x:t/>
        </x:is>
      </x:c>
      <x:c r="D517" s="3" t="inlineStr">
        <x:is>
          <x:t>12 oct. 2022</x:t>
        </x:is>
      </x:c>
      <x:c r="E517" s="3" t="inlineStr">
        <x:is>
          <x:t/>
        </x:is>
      </x:c>
      <x:c r="F517" s="3" t="inlineStr">
        <x:is>
          <x:t>Negada</x:t>
        </x:is>
      </x:c>
      <x:c r="G517" s="3" t="inlineStr">
        <x:is>
          <x:t/>
        </x:is>
      </x:c>
      <x:c r="H517" s="3" t="inlineStr">
        <x:is>
          <x:t>Sami El Badaoui, Ruby Rose Building, 6th Floor, Tripoli City, Lebanon, TRIPOLI, LIBANO-NORTE, LB</x:t>
        </x:is>
      </x:c>
      <x:c r="I517" s="3" t="inlineStr">
        <x:is>
          <x:t>3</x:t>
        </x:is>
      </x:c>
      <x:c r="J517" s="3" t="inlineStr">
        <x:is>
          <x:t>11</x:t>
        </x:is>
      </x:c>
      <x:c r="K517" s="3" t="inlineStr">
        <x:is>
          <x:t>3. Productos: leche limpiadora para el baño, esmalte de uñas, Perfumes, preparaciones de limpieza, aceites esenciales, Cosméticos, Barras de labios, mascarillas de belleza, brillos de labios, preparaciones cosméticas para baños, algodón para uso cosmético, lápices cosméticos, Máscara, preparaciones cosméticas para el cuidado de la piel, Champús, Pasta de dientes, cosméticos para animales, preparaciones de fragancias de aire, uñas postizas, brillo corporal.
</x:t>
        </x:is>
      </x:c>
      <x:c r="L517" s="3" t="inlineStr">
        <x:is>
          <x:t>No</x:t>
        </x:is>
      </x:c>
      <x:c r="M517" s="3" t="inlineStr">
        <x:is>
          <x:t>LIZA MARÍA ERAZO MUÑOZ, Carrera 19 número 131-04 apto 503, BOGOTÁ, D.C., CO</x:t>
        </x:is>
      </x:c>
      <x:c r="N517" s="3" t="inlineStr">
        <x:is>
          <x:t/>
        </x:is>
      </x:c>
      <x:c r="O517" s="3" t="inlineStr">
        <x:is>
          <x:t>09 dic. 2022</x:t>
        </x:is>
      </x:c>
      <x:c r="P517" s="3" t="inlineStr">
        <x:is>
          <x:t/>
        </x:is>
      </x:c>
      <x:c r="Q517" s="3" t="inlineStr">
        <x:is>
          <x:t/>
        </x:is>
      </x:c>
    </x:row>
    <x:row r="518">
      <x:c r="A518" s="10" t="inlineStr">
        <x:f xml:space="preserve">HYPERLINK("http://sipi.sic.gov.co/sipi/View.ashx?4402570","SD2022/0104678")</x:f>
      </x:c>
      <x:c r="B518" s="3" t="inlineStr">
        <x:is>
          <x:t>ILY</x:t>
        </x:is>
      </x:c>
      <x:c r="C518" s="3" t="inlineStr">
        <x:is>
          <x:t/>
        </x:is>
      </x:c>
      <x:c r="D518" s="3" t="inlineStr">
        <x:is>
          <x:t>12 oct. 2022</x:t>
        </x:is>
      </x:c>
      <x:c r="E518" s="3" t="inlineStr">
        <x:is>
          <x:t/>
        </x:is>
      </x:c>
      <x:c r="F518" s="3" t="inlineStr">
        <x:is>
          <x:t>Negada</x:t>
        </x:is>
      </x:c>
      <x:c r="G518" s="3" t="inlineStr">
        <x:is>
          <x:t/>
        </x:is>
      </x:c>
      <x:c r="H518" s="3" t="inlineStr">
        <x:is>
          <x:t>Sami El Badaoui, Ruby Rose Building, 6th Floor, Tripoli City, Lebanon, TRIPOLI, LIBANO-NORTE, LB</x:t>
        </x:is>
      </x:c>
      <x:c r="I518" s="3" t="inlineStr">
        <x:is>
          <x:t>3</x:t>
        </x:is>
      </x:c>
      <x:c r="J518" s="3" t="inlineStr">
        <x:is>
          <x:t>11</x:t>
        </x:is>
      </x:c>
      <x:c r="K518" s="3" t="inlineStr">
        <x:is>
          <x:t>3. Leche limpiadora para el baño, esmalte de uñas, Perfumes, preparaciones de limpieza, aceites esenciales, Cosméticos, Barras de labios, mascarillas de belleza, brillos de labios, preparaciones cosméticas para baños, algodón para uso cosmético, lápices cosméticos, Máscara, preparaciones cosméticas para el cuidado de la piel, Champús, Pasta de dientes, cosméticos para animales, preparaciones de fragancias de aire, uñas postizas, brillo corporal.
</x:t>
        </x:is>
      </x:c>
      <x:c r="L518" s="3" t="inlineStr">
        <x:is>
          <x:t>No</x:t>
        </x:is>
      </x:c>
      <x:c r="M518" s="3" t="inlineStr">
        <x:is>
          <x:t>LIZA MARÍA ERAZO MUÑOZ, Carrera 19 número 131-04 apto 503, BOGOTÁ, D.C., CO</x:t>
        </x:is>
      </x:c>
      <x:c r="N518" s="3" t="inlineStr">
        <x:is>
          <x:t/>
        </x:is>
      </x:c>
      <x:c r="O518" s="3" t="inlineStr">
        <x:is>
          <x:t>09 dic. 2022</x:t>
        </x:is>
      </x:c>
      <x:c r="P518" s="3" t="inlineStr">
        <x:is>
          <x:t/>
        </x:is>
      </x:c>
      <x:c r="Q518" s="3" t="inlineStr">
        <x:is>
          <x:t/>
        </x:is>
      </x:c>
    </x:row>
    <x:row r="519">
      <x:c r="A519" s="10" t="inlineStr">
        <x:f xml:space="preserve">HYPERLINK("http://sipi.sic.gov.co/sipi/View.ashx?4402713","SD2022/0104621")</x:f>
      </x:c>
      <x:c r="B519" s="3" t="inlineStr">
        <x:is>
          <x:t>luana beauty brand</x:t>
        </x:is>
      </x:c>
      <x:c r="C519" s="9" t="inlineStr">
        <x:is>
          <x:t/>
        </x:is>
      </x:c>
      <x:c r="D519" s="3" t="inlineStr">
        <x:is>
          <x:t>11 oct. 2022</x:t>
        </x:is>
      </x:c>
      <x:c r="E519" s="3" t="inlineStr">
        <x:is>
          <x:t/>
        </x:is>
      </x:c>
      <x:c r="F519" s="3" t="inlineStr">
        <x:is>
          <x:t>Negada</x:t>
        </x:is>
      </x:c>
      <x:c r="G519" s="3" t="inlineStr">
        <x:is>
          <x:t>1152448531</x:t>
        </x:is>
      </x:c>
      <x:c r="H519" s="3" t="inlineStr">
        <x:is>
          <x:t>judith cecilia diaz bertel, transversal 39a #70-11, MEDELLIN, ANTIOQUIA 050031, CO</x:t>
        </x:is>
      </x:c>
      <x:c r="I519" s="3" t="inlineStr">
        <x:is>
          <x:t>3</x:t>
        </x:is>
      </x:c>
      <x:c r="J519" s="3" t="inlineStr">
        <x:is>
          <x:t>11</x:t>
        </x:is>
      </x:c>
      <x:c r="K51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19" s="3" t="inlineStr">
        <x:is>
          <x:t>No</x:t>
        </x:is>
      </x:c>
      <x:c r="M519" s="3" t="inlineStr">
        <x:is>
          <x:t/>
        </x:is>
      </x:c>
      <x:c r="N519" s="3" t="inlineStr">
        <x:is>
          <x:t/>
        </x:is>
      </x:c>
      <x:c r="O519" s="3" t="inlineStr">
        <x:is>
          <x:t>21 oct. 2022</x:t>
        </x:is>
      </x:c>
      <x:c r="P519" s="3" t="inlineStr">
        <x:is>
          <x:t/>
        </x:is>
      </x:c>
      <x:c r="Q519" s="3" t="inlineStr">
        <x:is>
          <x:t/>
        </x:is>
      </x:c>
    </x:row>
    <x:row r="520">
      <x:c r="A520" s="10" t="inlineStr">
        <x:f xml:space="preserve">HYPERLINK("http://sipi.sic.gov.co/sipi/View.ashx?4404189","SD2022/0105068")</x:f>
      </x:c>
      <x:c r="B520" s="3" t="inlineStr">
        <x:is>
          <x:t>KANÚK COSECHA TU PIEL</x:t>
        </x:is>
      </x:c>
      <x:c r="C520" s="9" t="inlineStr">
        <x:is>
          <x:t/>
        </x:is>
      </x:c>
      <x:c r="D520" s="3" t="inlineStr">
        <x:is>
          <x:t>13 oct. 2022</x:t>
        </x:is>
      </x:c>
      <x:c r="E520" s="3" t="inlineStr">
        <x:is>
          <x:t/>
        </x:is>
      </x:c>
      <x:c r="F520" s="3" t="inlineStr">
        <x:is>
          <x:t>Negada</x:t>
        </x:is>
      </x:c>
      <x:c r="G520" s="3" t="inlineStr">
        <x:is>
          <x:t/>
        </x:is>
      </x:c>
      <x:c r="H520" s="3" t="inlineStr">
        <x:is>
          <x:t>YENCY XIOMARA  SALAMANCA ROMERO , CARRERA 18 N° 10-47, SAN JOSE DEL GUAVIARE, GUAVIARE, CO</x:t>
        </x:is>
      </x:c>
      <x:c r="I520" s="3" t="inlineStr">
        <x:is>
          <x:t>3</x:t>
        </x:is>
      </x:c>
      <x:c r="J520" s="3" t="inlineStr">
        <x:is>
          <x:t>11</x:t>
        </x:is>
      </x:c>
      <x:c r="K520"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20" s="3" t="inlineStr">
        <x:is>
          <x:t>No</x:t>
        </x:is>
      </x:c>
      <x:c r="M520" s="3" t="inlineStr">
        <x:is>
          <x:t>Mauricio Castro Orjuela, Avenida Carrera 19 # 95 - 20, BOGOTA, CUNDINAMARCA 00000, CO</x:t>
        </x:is>
      </x:c>
      <x:c r="N520" s="3" t="inlineStr">
        <x:is>
          <x:t/>
        </x:is>
      </x:c>
      <x:c r="O520" s="3" t="inlineStr">
        <x:is>
          <x:t>19 may. 2023</x:t>
        </x:is>
      </x:c>
      <x:c r="P520" s="3" t="inlineStr">
        <x:is>
          <x:t/>
        </x:is>
      </x:c>
      <x:c r="Q520" s="3" t="inlineStr">
        <x:is>
          <x:t/>
        </x:is>
      </x:c>
    </x:row>
    <x:row r="521">
      <x:c r="A521" s="10" t="inlineStr">
        <x:f xml:space="preserve">HYPERLINK("http://sipi.sic.gov.co/sipi/View.ashx?4404789","SD2022/0105302")</x:f>
      </x:c>
      <x:c r="B521" s="3" t="inlineStr">
        <x:is>
          <x:t>Kaylin Cosmetics</x:t>
        </x:is>
      </x:c>
      <x:c r="C521" s="9" t="inlineStr">
        <x:is>
          <x:t/>
        </x:is>
      </x:c>
      <x:c r="D521" s="3" t="inlineStr">
        <x:is>
          <x:t>12 oct. 2022</x:t>
        </x:is>
      </x:c>
      <x:c r="E521" s="3" t="inlineStr">
        <x:is>
          <x:t/>
        </x:is>
      </x:c>
      <x:c r="F521" s="3" t="inlineStr">
        <x:is>
          <x:t>Negada</x:t>
        </x:is>
      </x:c>
      <x:c r="G521" s="3" t="inlineStr">
        <x:is>
          <x:t>Kaylin Cosmetics</x:t>
        </x:is>
      </x:c>
      <x:c r="H521" s="3" t="inlineStr">
        <x:is>
          <x:t>JAVIER ALEJANDRO ROJAS RUIZ, calle 68 #36A-01, MEDELLIN, ANTIOQUIA, CO</x:t>
        </x:is>
      </x:c>
      <x:c r="I521" s="3" t="inlineStr">
        <x:is>
          <x:t>3</x:t>
        </x:is>
      </x:c>
      <x:c r="J521" s="3" t="inlineStr">
        <x:is>
          <x:t>11</x:t>
        </x:is>
      </x:c>
      <x:c r="K521"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21" s="3" t="inlineStr">
        <x:is>
          <x:t>No</x:t>
        </x:is>
      </x:c>
      <x:c r="M521" s="3" t="inlineStr">
        <x:is>
          <x:t/>
        </x:is>
      </x:c>
      <x:c r="N521" s="3" t="inlineStr">
        <x:is>
          <x:t/>
        </x:is>
      </x:c>
      <x:c r="O521" s="3" t="inlineStr">
        <x:is>
          <x:t>09 dic. 2022</x:t>
        </x:is>
      </x:c>
      <x:c r="P521" s="3" t="inlineStr">
        <x:is>
          <x:t/>
        </x:is>
      </x:c>
      <x:c r="Q521" s="3" t="inlineStr">
        <x:is>
          <x:t/>
        </x:is>
      </x:c>
    </x:row>
    <x:row r="522">
      <x:c r="A522" s="10" t="inlineStr">
        <x:f xml:space="preserve">HYPERLINK("http://sipi.sic.gov.co/sipi/View.ashx?4405729","SD2022/0106285")</x:f>
      </x:c>
      <x:c r="B522" s="3" t="inlineStr">
        <x:is>
          <x:t>DERMALY</x:t>
        </x:is>
      </x:c>
      <x:c r="C522" s="9" t="inlineStr">
        <x:is>
          <x:t/>
        </x:is>
      </x:c>
      <x:c r="D522" s="3" t="inlineStr">
        <x:is>
          <x:t>17 oct. 2022</x:t>
        </x:is>
      </x:c>
      <x:c r="E522" s="3" t="inlineStr">
        <x:is>
          <x:t/>
        </x:is>
      </x:c>
      <x:c r="F522" s="3" t="inlineStr">
        <x:is>
          <x:t>Negada</x:t>
        </x:is>
      </x:c>
      <x:c r="G522" s="3" t="inlineStr">
        <x:is>
          <x:t>MA 1086-1 DERMALY</x:t>
        </x:is>
      </x:c>
      <x:c r="H522" s="3" t="inlineStr">
        <x:is>
          <x:t> DERMALY LABORATORIO S.A.S., Cra 15 # 85-23, BOGOTÁ, D.C., CO</x:t>
        </x:is>
      </x:c>
      <x:c r="I522" s="3" t="inlineStr">
        <x:is>
          <x:t>3, 35</x:t>
        </x:is>
      </x:c>
      <x:c r="J522" s="3" t="inlineStr">
        <x:is>
          <x:t>11</x:t>
        </x:is>
      </x:c>
      <x:c r="K522" s="3" t="inlineStr">
        <x:is>
          <x:t>3. Productos para el cuidado de la piel [cosméticos]; productos cosméticos en forma de cremas; productos cosméticos en forma de polvos; productos cosméticos para el baño; productos cosméticos para el cuidado corporal; productos cosméticos para el cuidado de la piel; productos cosméticos para la piel; productos cosméticos para uso personal; productos cosméticos y de belleza.
35. Gestión de negocios comerciales; administración comercial; comercialización; comercialización de productos; comercialización por Internet; merchandising [comercialización]; servicios de comercialización; servicios de distribución comercial al por mayor de productos cosméticos; servicios de venta minorista en línea en relación con productos cosméticos; servicios de venta minorista o mayorista de productos cosméticos; servicios de venta minorista y mayorista de productos cosméticos.
</x:t>
        </x:is>
      </x:c>
      <x:c r="L522" s="3" t="inlineStr">
        <x:is>
          <x:t>No</x:t>
        </x:is>
      </x:c>
      <x:c r="M522" s="3" t="inlineStr">
        <x:is>
          <x:t>NIDIA JAZMIN OSORIO LÓPEZ, Carrera 9 Nº 80-15 Oficina 301, BOGOTÁ, D.C., CO</x:t>
        </x:is>
      </x:c>
      <x:c r="N522" s="3" t="inlineStr">
        <x:is>
          <x:t/>
        </x:is>
      </x:c>
      <x:c r="O522" s="3" t="inlineStr">
        <x:is>
          <x:t>18 nov. 2022</x:t>
        </x:is>
      </x:c>
      <x:c r="P522" s="3" t="inlineStr">
        <x:is>
          <x:t/>
        </x:is>
      </x:c>
      <x:c r="Q522" s="3" t="inlineStr">
        <x:is>
          <x:t/>
        </x:is>
      </x:c>
    </x:row>
    <x:row r="523">
      <x:c r="A523" s="10" t="inlineStr">
        <x:f xml:space="preserve">HYPERLINK("http://sipi.sic.gov.co/sipi/View.ashx?4406620","SD2022/0105708")</x:f>
      </x:c>
      <x:c r="B523" s="3" t="inlineStr">
        <x:is>
          <x:t>Lady Bella</x:t>
        </x:is>
      </x:c>
      <x:c r="C523" s="3" t="inlineStr">
        <x:is>
          <x:t/>
        </x:is>
      </x:c>
      <x:c r="D523" s="3" t="inlineStr">
        <x:is>
          <x:t>14 oct. 2022</x:t>
        </x:is>
      </x:c>
      <x:c r="E523" s="3" t="inlineStr">
        <x:is>
          <x:t/>
        </x:is>
      </x:c>
      <x:c r="F523" s="3" t="inlineStr">
        <x:is>
          <x:t>Negada</x:t>
        </x:is>
      </x:c>
      <x:c r="G523" s="3" t="inlineStr">
        <x:is>
          <x:t>Proceso de Registro de Marca LADY BELLA</x:t>
        </x:is>
      </x:c>
      <x:c r="H523" s="3" t="inlineStr">
        <x:is>
          <x:t>DUVAN ALEXANDER GIRALDO GÓMEZ, CARRERA 53 # 45-50 PISO 11. BODEGA 1109, MEDELLIN, ANTIOQUIA, CO</x:t>
        </x:is>
      </x:c>
      <x:c r="I523" s="3" t="inlineStr">
        <x:is>
          <x:t>3</x:t>
        </x:is>
      </x:c>
      <x:c r="J523" s="3" t="inlineStr">
        <x:is>
          <x:t>11</x:t>
        </x:is>
      </x:c>
      <x:c r="K523" s="3" t="inlineStr">
        <x:is>
          <x:t>3. Cosméticos; maquillaje; maquillaje [cosméticos]; bases de maquillaje; bases de maquillaje cremosas; bases de maquillaje en crema; bases de maquillaje líquidas; bases de maquillaje para la piel; cola de maquillaje para uso cosmético; kits de maquillaje; kits de maquillaje que consisten principalmente en bases de maquillaje, rímeles, coloretes, brillos de labios y lápices de labios [sin incluir pinceles ni esponjas]; lápices de maquillaje; maquillaje para el cuerpo; maquillaje para el rostro; maquillaje para el rostro y el cuerpo; maquillaje para la cara; maquillaje para la piel; maquillajes de base; maquillajes de base en crema; maquillajes de ojos; maquillajes faciales; polvos de maquillaje; preparaciones de maquillaje para el rostro y el cuerpo; productos cosméticos y de maquillaje; barras de labios con protección solar [cosméticos]; barras de labios en stick con protección solar [cosméticos]; bases neutralizantes para labios; brillos de labios; colorantes para los labios [productos cosméticos]; cosméticos para los labios; cremas para los labios; cremas para los labios de uso cosmético; estuches para lápices de labios; estuches para pintalabios; exfoliantes para labios; lápices de labios [pintalabios]; neutralizadores de color para labios; perfiladores de labios; pintalabios; pomadas para los labios; preparaciones no medicinales para el cuidado de los labios; preparaciones para el cuidado de los labios; protectores solares para los labios; protectores solares para los labios [productos cosméticos]; tintes de labios [cosméticos]; cremas para los ojos; cremas para los ojos de uso cosmético; geles para los ojos; geles para los ojos de uso cosmético; lociones para los ojos; lociones para los ojos de uso cosmético; lápices de ojos; lápices de ojos para uso cosmético; lápices perfiladores de ojos; máscaras calentadoras en gel para los ojos; máscaras refrigerantes en gel para los ojos; máscaras refrigerantes para los ojos; perfiladores de ojos; sombras de ojos; sombras de ojos en polvo o en lápiz; adhesivos para fijar uñas y pestañas postizas; adhesivos para pestañas postizas; adhesivos para pestañas, cabello y uñas postizos; cosméticos para pestañas; máscara de pestañas; pestañas artificiales magnéticas; pestañas postizas; pestañas postizas magnéticas; preparaciones cosméticas para pestañas; tintes de pestañas; preparaciones cosméticas; rubores para las mejillas; sombras de párpados; cosméticos para las cejas; geles para el peinado de las cejas; geles para el teñido de las cejas; lápices de cejas.
</x:t>
        </x:is>
      </x:c>
      <x:c r="L523" s="3" t="inlineStr">
        <x:is>
          <x:t>No</x:t>
        </x:is>
      </x:c>
      <x:c r="M523" s="3" t="inlineStr">
        <x:is>
          <x:t>RODRIGO  VANEGAS GAVIRIA, CALLE 52 # 47-28 OF.329, MEDELLIN, ANTIOQUIA 050001, CO</x:t>
        </x:is>
      </x:c>
      <x:c r="N523" s="3" t="inlineStr">
        <x:is>
          <x:t/>
        </x:is>
      </x:c>
      <x:c r="O523" s="3" t="inlineStr">
        <x:is>
          <x:t>20 dic. 2022</x:t>
        </x:is>
      </x:c>
      <x:c r="P523" s="3" t="inlineStr">
        <x:is>
          <x:t/>
        </x:is>
      </x:c>
      <x:c r="Q523" s="3" t="inlineStr">
        <x:is>
          <x:t/>
        </x:is>
      </x:c>
    </x:row>
    <x:row r="524">
      <x:c r="A524" s="10" t="inlineStr">
        <x:f xml:space="preserve">HYPERLINK("http://sipi.sic.gov.co/sipi/View.ashx?4408122","SD2022/0106264")</x:f>
      </x:c>
      <x:c r="B524" s="3" t="inlineStr">
        <x:is>
          <x:t>MAJIX</x:t>
        </x:is>
      </x:c>
      <x:c r="C524" s="3" t="inlineStr">
        <x:is>
          <x:t/>
        </x:is>
      </x:c>
      <x:c r="D524" s="3" t="inlineStr">
        <x:is>
          <x:t>15 oct. 2022</x:t>
        </x:is>
      </x:c>
      <x:c r="E524" s="3" t="inlineStr">
        <x:is>
          <x:t/>
        </x:is>
      </x:c>
      <x:c r="F524" s="3" t="inlineStr">
        <x:is>
          <x:t>Negada</x:t>
        </x:is>
      </x:c>
      <x:c r="G524" s="3" t="inlineStr">
        <x:is>
          <x:t>Proceso de Registro de Marca Majix</x:t>
        </x:is>
      </x:c>
      <x:c r="H524" s="3" t="inlineStr">
        <x:is>
          <x:t>DUVAN ALEXANDER GIRALDO GÓMEZ, CARRERA 53 # 45-50 PISO 11. BODEGA 1109, MEDELLIN, ANTIOQUIA, CO</x:t>
        </x:is>
      </x:c>
      <x:c r="I524" s="3" t="inlineStr">
        <x:is>
          <x:t>3</x:t>
        </x:is>
      </x:c>
      <x:c r="J524" s="3" t="inlineStr">
        <x:is>
          <x:t>11</x:t>
        </x:is>
      </x:c>
      <x:c r="K524" s="3" t="inlineStr">
        <x:is>
          <x:t>3. Cosméticos; preparaciones cosméticas, maquillaje, lociones para la barba; champús para el cabello; champús y acondicionadores para el cabello; crema para peinar el cabello; cremas para el cabello; enjuagues para el cabello; enjuagues para el cabello de uso cosmético; espumas para el cabello; espumas y geles para peinar el cabello; geles, aerosoles, espumas y bálsamos para peinar y cuidar el cabello; geles para el cabello; lacas para el cabello; lociones para el cabello; preparaciones cosméticas para el cuidado del cabello; preparaciones para el cuidado del cabello; cera para el bigote; cremas no medicinales para el tratamiento del cuero cabelludo; preparaciones cosméticas para el cuidado y el tratamiento de la piel; preparaciones cosméticas no medicinales para tratamientos capilares; preparaciones para tratamientos capilares.
</x:t>
        </x:is>
      </x:c>
      <x:c r="L524" s="3" t="inlineStr">
        <x:is>
          <x:t>No</x:t>
        </x:is>
      </x:c>
      <x:c r="M524" s="3" t="inlineStr">
        <x:is>
          <x:t>RODRIGO  VANEGAS GAVIRIA, CALLE 52 # 47-28 OF.329, MEDELLIN, ANTIOQUIA 050001, CO</x:t>
        </x:is>
      </x:c>
      <x:c r="N524" s="3" t="inlineStr">
        <x:is>
          <x:t/>
        </x:is>
      </x:c>
      <x:c r="O524" s="3" t="inlineStr">
        <x:is>
          <x:t>08 nov. 2022</x:t>
        </x:is>
      </x:c>
      <x:c r="P524" s="3" t="inlineStr">
        <x:is>
          <x:t/>
        </x:is>
      </x:c>
      <x:c r="Q524" s="3" t="inlineStr">
        <x:is>
          <x:t/>
        </x:is>
      </x:c>
    </x:row>
    <x:row r="525">
      <x:c r="A525" s="10" t="inlineStr">
        <x:f xml:space="preserve">HYPERLINK("http://sipi.sic.gov.co/sipi/View.ashx?4408376","SD2022/0106143")</x:f>
      </x:c>
      <x:c r="B525" s="3" t="inlineStr">
        <x:is>
          <x:t>SIVIDI premium CBD</x:t>
        </x:is>
      </x:c>
      <x:c r="C525" s="9" t="inlineStr">
        <x:is>
          <x:t/>
        </x:is>
      </x:c>
      <x:c r="D525" s="3" t="inlineStr">
        <x:is>
          <x:t>14 oct. 2022</x:t>
        </x:is>
      </x:c>
      <x:c r="E525" s="3" t="inlineStr">
        <x:is>
          <x:t/>
        </x:is>
      </x:c>
      <x:c r="F525" s="3" t="inlineStr">
        <x:is>
          <x:t>Negada</x:t>
        </x:is>
      </x:c>
      <x:c r="G525" s="3" t="inlineStr">
        <x:is>
          <x:t>SIVIDI PREMIUM CBD</x:t>
        </x:is>
      </x:c>
      <x:c r="H525" s="3" t="inlineStr">
        <x:is>
          <x:t>David Alejandro  Romero Tunjano , Calle 33 #6 -09  Apto 501, BOGOTÁ, D.C. 110911, CO</x:t>
        </x:is>
      </x:c>
      <x:c r="I525" s="3" t="inlineStr">
        <x:is>
          <x:t>3</x:t>
        </x:is>
      </x:c>
      <x:c r="J525" s="3" t="inlineStr">
        <x:is>
          <x:t>11</x:t>
        </x:is>
      </x:c>
      <x:c r="K525" s="3" t="inlineStr">
        <x:is>
          <x:t>3. Cosméticos a base de cannabis.
</x:t>
        </x:is>
      </x:c>
      <x:c r="L525" s="3" t="inlineStr">
        <x:is>
          <x:t>Sí</x:t>
        </x:is>
      </x:c>
      <x:c r="M525" s="3" t="inlineStr">
        <x:is>
          <x:t/>
        </x:is>
      </x:c>
      <x:c r="N525" s="3" t="inlineStr">
        <x:is>
          <x:t/>
        </x:is>
      </x:c>
      <x:c r="O525" s="3" t="inlineStr">
        <x:is>
          <x:t>21 oct. 2022</x:t>
        </x:is>
      </x:c>
      <x:c r="P525" s="3" t="inlineStr">
        <x:is>
          <x:t/>
        </x:is>
      </x:c>
      <x:c r="Q525" s="3" t="inlineStr">
        <x:is>
          <x:t/>
        </x:is>
      </x:c>
    </x:row>
    <x:row r="526">
      <x:c r="A526" s="10" t="inlineStr">
        <x:f xml:space="preserve">HYPERLINK("http://sipi.sic.gov.co/sipi/View.ashx?4409829","SD2022/0106380")</x:f>
      </x:c>
      <x:c r="B526" s="3" t="inlineStr">
        <x:is>
          <x:t>IMAN NOTE</x:t>
        </x:is>
      </x:c>
      <x:c r="C526" s="3" t="inlineStr">
        <x:is>
          <x:t/>
        </x:is>
      </x:c>
      <x:c r="D526" s="3" t="inlineStr">
        <x:is>
          <x:t>18 oct. 2022</x:t>
        </x:is>
      </x:c>
      <x:c r="E526" s="3" t="inlineStr">
        <x:is>
          <x:t/>
        </x:is>
      </x:c>
      <x:c r="F526" s="3" t="inlineStr">
        <x:is>
          <x:t>Negada</x:t>
        </x:is>
      </x:c>
      <x:c r="G526" s="3" t="inlineStr">
        <x:is>
          <x:t>IMAN NOTE</x:t>
        </x:is>
      </x:c>
      <x:c r="H526" s="3" t="inlineStr">
        <x:is>
          <x:t>JUAN CARLOS DUQUE ECHEVERRI, CL 34 17 25, BUCARAMANGA, SANTANDER, CO</x:t>
        </x:is>
      </x:c>
      <x:c r="I526" s="3" t="inlineStr">
        <x:is>
          <x:t>3</x:t>
        </x:is>
      </x:c>
      <x:c r="J526" s="3" t="inlineStr">
        <x:is>
          <x:t>11</x:t>
        </x:is>
      </x:c>
      <x:c r="K526" s="3" t="inlineStr">
        <x:is>
          <x:t>3. Aceite de almendras; aceite de amla para uso cosmético; aceite de coco para uso cosmético; aceites bronceadores; aceites cosméticos; aceites de tocador; aceites faciales; aceites solares de uso cosmético; acondicionadores labiales; adhesivos para falsas pestañas; adhesivos para fijar cejas postizas; adhesivos para fijar postizos; adhesivos para fijar uñas postizas; adhesivos para pestañas postizas; aerosoles perfumados para el cuerpo; agua de colonia; agua de azahar para uso cosmético; agua de perfume; agua micelar; agua micelar de limpieza; aguas de tocador; aguas de tocador perfumadas; almohadillas de algodón para desmaquillar; almohadillas de algodón para uso cosmético; almohadillas de limpieza impregnadas con cosméticos; almohadillas de limpieza impregnadas con productos cosméticos; almohadillas de limpieza impregnadas de cosméticos; almohadillas de limpieza prehumedecidas; almohadillas de limpieza preimpregnadas; almohadillas limpiadoras impregnadas de preparaciones de tocador; almohadillas limpiadoras impregnadas de productos cosméticos; almohadillas para uso cosmético; almohadillas, toallitas o pañitos de limpieza prehumedecidos o impregnados; antifaces de gel; barras de labios; barras de labios con protección solar [cosméticos]; barras de labios en stick con protección solar [cosméticos]; barras de labios hidratantes; bases de maquillaje; bases de maquillaje cremosas; bases de maquillaje en crema; bases de maquillaje líquidas; bases de maquillaje para la piel; bases neutralizantes para labios; bases para esmaltes de uñas; bases para perfumes de flores; basma [tinte para uso cosmético]; basma en cuanto tinte para uso cosmético; basma para uso cosmético; bastoncillos de algodón impregnados de preparaciones desmaquillantes; bastoncillos de algodón impregnados de preparados desmaquilladores; bolas de algodón impregnadas de preparaciones desmaquillantes; bolas de algodón impregnadas de preparados desmaquilladores; bolas de algodón para uso cosmético; brillantina; brillantina corporal; brillos corporales; brillos de labios; brillos de uñas para aplicar sobre el esmalte; brillos faciales; brillos faciales y corporales; brillos para uso cosmético; bronceadores para la piel; bálsamos labiales; bálsamos labiales a base de cáñamo; bálsamos labiales no medicinales; calcomanías decorativas para uso cosmético; calcomanías decorativas para uñas; calcomanías para las uñas; cejas postizas; cejas postizas autoadhesivas; champús*; colonia; colorantes de labios; colorantes de labios [cosméticos]; colorantes de tocador; colorantes labiales; colorantes labiales [cosméticos]; colorantes labiales [productos cosméticos]; colorete; colorete en lápiz; colorete líquido; coloretes; coloretes en crema; corrector facial; correctores antiojeras; correctores de imperfecciones [productos cosméticos]; correctores de líneas y arrugas faciales; correctores de ojeras; correctores de ojos; correctores para disimular manchas e imperfecciones de la piel; cosméticos; cosméticos de belleza; cosméticos en forma de cremas; cosméticos en forma de polvos; cosméticos funcionales en cuanto preparaciones para blanquear la piel; cosméticos para las cejas; cosméticos para los labios; cosméticos para pestañas; cosméticos para polveras; cosméticos y preparaciones cosméticas; cosméticos y preparaciones de cuidado personal; crema corporal; crema para las manos; cremas antiarrugas; cremas antiarrugas para uso cosmético; cremas antienvejecimiento; cremas antienvejecimiento para uso cosmético; cremas autobronceadoras; cremas bronceadoras; cremas bálsamos de belleza; cremas corporales; cremas cosméticas; cremas cosméticas para el rostro; cremas cosméticas para la piel; cremas cosméticas para las manos; cremas de belleza; cremas de día; cremas de noche; cremas desmaquillantes; cremas exfoliantes; cremas faciales; cremas hidratantes; cremas limpiadoras; cremas para el rostro; cremas para la piel; cremas para los labios; cremas para los labios de uso cosmético; cremas para los ojos; cremas para los ojos de uso cosmético; cremas tonificantes [cosméticos];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desmaquilladores; desmaquilladores de ojos; desmaquillantes de ojos; hidratantes; jabones cosméticos; jabones en crema; jabones faciales; jabones*;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kits para el cuidado de las uñas que comprenden esmaltes de uñas y quitaesmaltes; leches de belleza; limpiadores cosméticos faciales; limpiadores cosméticos para la piel; limpiadores cutáneos [cosméticos]; limpiadores de la piel [cosméticos]; limpiadores faciales; limpiadores faciales [cosméticos]; limpiadores faciales [productos cosméticos]; limpiadores para pinceles cosméticos; lociones corporales; lociones cosméticas para la cara; lociones cosméticas para la piel; lociones de belleza; lociones desmaquillantes; lociones faciales; lociones faciales [cosméticos]; lápices de cejas; lápices de labios; lápices de labios [pintalabios]; lápices de labios [pintalabios] hidratantes; lápices de labios hidratantes; lápices de maquillaje; lápices de ojos; lápices de ojos para uso cosmético; lápices de párpados; lápices labiales; lápices labiales hidratantes; lápices para aplicar el esmalte de uñas; lápices para uso cosmético; lápices perfiladores de ojos; lápices quitaesmaltes; manteca corporal; maquillaje; maquillaje [cosméticos]; maquillaje para el cuerpo; maquillaje para el rostro; maquillaje para el rostro y el cuerpo; maquillaje para la cara; maquillaje para la cara y el cuerpo; maquillaje para la piel; maquillaje para los ojos; maquillaje para polveras; maquillaje vendido en polveras; maquillajes de base; maquillajes de base en crema; maquillajes de ojos; maquillajes faciales; mascarillas corporales; mascarillas corporales en forma de cremas; mascarillas corporales en forma de cremas para uso cosmético; mascarillas corporales en forma de lociones; mascarillas corporales en forma de lociones para uso cosmético; mascarillas corporales en polvo; mascarillas corporales en polvo para uso cosmético; mascarillas corporales para uso cosmético; mascarillas cosméticas; mascarillas cosméticas para el cutis; mascarillas de belleza; mascarillas de belleza para el contorno de los ojos; mascarillas de belleza para las manos;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hidratantes para la piel; mascarillas limpiadoras; mascarillas limpiadoras para corporales; mascarillas limpiadoras para faciales; mascarillas oculares para uso cosmético; mascarillas para eliminar los puntos negros; mascarillas para hidratar la piel; mascarillas para la cara; mascarillas para la piel; mascarillas para la piel [cosméticos]; mascarillas para la piel de uso cosmético; mascarillas para pieles grasas; máscara de pestañas; máscara para pestañas largas; máscaras cosméticas de barro; máscaras para el cabello; máscaras para pestañas largas; máscaras refrigerantes en gel para los ojos; máscaras refrigerantes para los ojos;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papel secante anti-brillo para uso cosmético; papel secante facial para uso cosmético; parches de gel para los ojos con fines cosméticos; parches de gel para los ojos de uso cosmético; pañitos cosméticos prehumedecidos; pañitos de limpieza impregnados con preparaciones de tocador; pañitos de limpieza prehumedecidos; pañitos de limpieza preimpregnados; pañitos para bebés; pañitos para bebés para uso cosmético; paños de limpieza húmedos; paños de limpieza impregnados con detergente; paños desechables impregnados de compuestos limpiadores para uso facial; paños húmedos para bebés; paños húmedos para bebés de uso cosmético; pegatinas decorativas para el cuerpo; perfiladores de labios; perfiladores de ojos; perfumes; pintalabios; pintalabios hidratantes; polveras rellenas; polvo de cejas; polvos compactos para polveras; polvos compactos para polveras [cosméticos]; polvos compactos para polveras cosméticas; polvos cosméticos; polvos de baño para uso cosmético; polvos de brillo para uso cosmético; polvos de maquillaje; polvos faciales; polvos faciales [cosméticos]; polvos faciales blancos para uso cosmético; polvos faciales compactos; polvos faciales cosméticos; polvos faciales cosméticos de color blanco; polvos faciales en crema; polvos faciales en papel; polvos faciales para uso cosmético; polvos faciales sueltos; polvos faciales, a saber, papel revestido con polvo facial; productos cosméticos decorativos; productos cosméticos en aerosol para el cuidado de la piel; productos cosméticos en forma de cremas; productos cosméticos en forma de polvos; productos cosméticos para el cuidado corporal; productos cosméticos para el cuidado de la piel; productos cosméticos para la piel; productos cosméticos para uso personal; productos cosméticos y de belleza; productos cosméticos y de maquillaje; productos cosméticos y de tocador; productos cosméticos, a saber, leches, lociones y emulsiones; productos cosméticos, a saber, lociones; productos de maquillaje; productos de perfumería; protectores labiales no medicinales; protectores solares en barra; protectores solares en stick; protectores solares para los labios; protectores solares para los labios [productos cosméticos]; serum calmante para la piel; serum de corrección para el contorno de los ojos; serum para calmar la piel [cosmético]; serum para el contorno de ojos; sombras de ojos; sombras de ojos en polvo o en lápiz; sombras de párpados; sprays de agua mineral para uso cosmético; sprays para fijar el maquillaje; sueros de belleza; sueros faciales; sueros faciales para uso cosmético; sueros no medicados para la piel de la cara; sueros no medicinales para la piel; sueros para el contorno de los ojos; sueros para uso cosmético; tintes cosméticos; tintes de cejas; tintes de labios; tintes de labios [cosméticos]; tintes de labios para uso cosmético; tintes de pestañas; tintes labiales; tintes labiales [cosméticos]; tintes labiales [productos cosméticos]; tintes labiales para uso cosmético; tintes para cejas; tintes para los labios; tintes para los labios [productos cosméticos]; tintes para pestañas; tiza para maquillaje; tiza para uso cosmético; toallitas cosméticas prehumedecidas; toallitas húmedas para uso higiénico y cosmético; toallitas impregnadas con sustancias cosméticas; toallitas impregnadas con un limpiador de la piel; toallitas impregnadas de aceites esenciales, para uso cosmético; toallitas impregnadas de lociones cosméticas; toallitas impregnadas de preparaciones desmaquillantes; toallitas impregnadas de productos cosméticos; toallitas impregnadas de productos limpiadores para la piel; toallitas limpiadoras para el rostro; toallitas o paños impregnados de productos limpiadores para la piel; toallitas para bebés; toallitas para bebés impregnadas de preparaciones de limpieza; toallitas para el rostro; tónicos clarificadores faciales; tónicos cosméticos; tónicos cosméticos para el rostro; tónicos cosméticos para la cara; tónicos faciales; tónicos faciales [cosméticos]; tónicos faciales clarificantes; tónicos faciales revitalizantes; tónicos no medicinales para la piel; tónicos para la piel para uso cosmético; tónicos para uso cosmético; tónicos revitalizantes faciales.
</x:t>
        </x:is>
      </x:c>
      <x:c r="L526" s="3" t="inlineStr">
        <x:is>
          <x:t>No</x:t>
        </x:is>
      </x:c>
      <x:c r="M526" s="3" t="inlineStr">
        <x:is>
          <x:t/>
        </x:is>
      </x:c>
      <x:c r="N526" s="3" t="inlineStr">
        <x:is>
          <x:t/>
        </x:is>
      </x:c>
      <x:c r="O526" s="3" t="inlineStr">
        <x:is>
          <x:t>21 oct. 2022</x:t>
        </x:is>
      </x:c>
      <x:c r="P526" s="3" t="inlineStr">
        <x:is>
          <x:t/>
        </x:is>
      </x:c>
      <x:c r="Q526" s="3" t="inlineStr">
        <x:is>
          <x:t/>
        </x:is>
      </x:c>
    </x:row>
    <x:row r="527">
      <x:c r="A527" s="10" t="inlineStr">
        <x:f xml:space="preserve">HYPERLINK("http://sipi.sic.gov.co/sipi/View.ashx?4409928","SD2022/0106402")</x:f>
      </x:c>
      <x:c r="B527" s="3" t="inlineStr">
        <x:is>
          <x:t>NOW CLEANY</x:t>
        </x:is>
      </x:c>
      <x:c r="C527" s="9" t="inlineStr">
        <x:is>
          <x:t/>
        </x:is>
      </x:c>
      <x:c r="D527" s="3" t="inlineStr">
        <x:is>
          <x:t>18 oct. 2022</x:t>
        </x:is>
      </x:c>
      <x:c r="E527" s="3" t="inlineStr">
        <x:is>
          <x:t/>
        </x:is>
      </x:c>
      <x:c r="F527" s="3" t="inlineStr">
        <x:is>
          <x:t>Negada</x:t>
        </x:is>
      </x:c>
      <x:c r="G527" s="3" t="inlineStr">
        <x:is>
          <x:t>NOW CLEANY</x:t>
        </x:is>
      </x:c>
      <x:c r="H527" s="3" t="inlineStr">
        <x:is>
          <x:t> ECCOCLEAN SAS, Calle 43 No 4w 44, MONTERIA, CORDOBA, CO</x:t>
        </x:is>
      </x:c>
      <x:c r="I527" s="3" t="inlineStr">
        <x:is>
          <x:t>3, 21</x:t>
        </x:is>
      </x:c>
      <x:c r="J527" s="3" t="inlineStr">
        <x:is>
          <x:t>11</x:t>
        </x:is>
      </x:c>
      <x:c r="K527" s="3" t="inlineStr">
        <x:is>
          <x:t>3. Colorantes para blanquear la ropa; colorantes para lavar y blanquear la ropa; cosméticos funcionales en cuanto preparaciones para blanquear la piel; cremas no medicinales para blanquear la piel; goma de mascar para blanquear los dientes; pastas para blanquear los dientes; preparaciones para blanquear; preparaciones para blanquear la piel; preparaciones para blanquear la piel [cosméticos]; preparaciones para blanquear los dientes; preparaciones para blanquear y otras sustancias para lavar la ropa; preparaciones para blanquear y preparaciones de lavandería; preparaciones para lavar y blanquear; productos para blanquear los dientes; soda para blanquear; sosa para blanquear; aire comprimido enlatado para limpiar y quitar el polvo; arena para limpiar con chorro de arena; cenizas volcánicas para limpiar; cremas para limpiar la piel [no medicinales]; estropajos de acero húmedos para limpiar; líquidos para limpiar anteojos; líquidos para limpiar gafas; líquidos y polvos de uso general para limpiar, lustrar y raspar; mascarillas faciales para limpiar los poros; paños húmedos para limpiar, desempolvar o lustrar; paños impregnados con preparaciones de pulido para limpiar; paños impregnados de detergente para limpiar gafas; paños impregnados de preparaciones abrillantadoras para limpiar; polímeros impermeabilizantes para limpiar, lustrar y proteger las superficies exteriores de automóviles; preparaciones líquidas no medicinales para limpiar las manos; preparaciones para limpiar alfombras; preparaciones para limpiar automóviles; preparaciones para limpiar carburadores y estárteres; preparaciones para limpiar cristales; preparaciones para limpiar dentaduras postizas; preparaciones para limpiar desagües; preparaciones para limpiar las hojas de las plantas; preparaciones para limpiar pisos; preparaciones para limpiar prótesis dentales; preparaciones para limpiar y hacer brillar las hojas de las plantas;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fregar y raspar; preparaciones para limpiar, lavar y pulir; preparaciones para limpiar, lustrar y fregar; preparaciones para limpiar, proteger y conservar las superficies de los vehículos; preparaciones para limpiar, pulir, desengrasar y raspar; preparaciones para limpiar, pulir, fregar y raspar; preparaciones para limpiar, teñir, colorear, decolorar, marcar y peinar el cabello; preparaciones para limpiarse las manos; preparaciones y sustancias para limpiar y lavar; preparaciones y sustancias para limpiar, fregar y pulir; productos para limpiar papel pintado; productos para limpiar papel tapiz; soda [cenizas] para limpiar; soluciones para limpiar lentes de anteojos; soluciones para limpiar lentes de gafas; sosa [cenizas] para limpiar; tiza para limpiar; toallitas de papel húmedas para limpiar la vajilla; detergentes para coches; detergentes para el cuero; detergentes para el hogar; detergentes para el lavado de coches y camiones; detergentes para inodoros; detergentes para la colada; detergentes para la limpieza de la ropa para uso doméstico; detergentes para la limpieza que no sean para procesos de fabricación; detergentes para las manos; detergentes para lavado manual de la vajilla; detergentes para lavar la vajilla; detergentes para lavar los platos; detergentes para lavavajillas; detergentes para lavavajillas en forma de gel; detergentes para retretes; detergentes para uso doméstico; detergentes para uso doméstico con propiedades desinfectantes; detergentes que no sean para procesos de fabricación ni para uso médico; jabones detergentes; jabones y detergentes; paños impregnados de detergentes para la limpieza de objetivos de cámaras; aceites suavizantes para el cabello; limpiador cutáneo con propiedades suavizantes [cosmético]; limpiadores cutáneos con propiedades suavizantes [cosméticos]; suavizantes de telas; suavizantes de textiles; suavizantes para el cabello; suavizantes para el cabello de uso cosmético; suavizantes para la ropa; toallitas para la colada impregnadas con suavizante; jabones para alfombras; jabones para avivar los colores de materias textiles; jabones para el cuerpo; jabones para el cuidado del cuerpo; jabones para guarnicionería; jabones para la colada; jabones para la ducha; jabones para la piel; jabones para las manos; jabones para lavar la ropa; jabones para silla de montar; jabones para uso doméstico; jabones para uso personal; jabones perfumados; jabones vegetales; jabones*; esponjas impregnadas con jabones; esponjas impregnadas con jabones para uso doméstico; jabones antitranspirantes; jabones antitranspirantes para los pies; jabones corporales no medicados; jabones cosméticos; jabones de baño; jabones de baño en forma líquida, sólida o de gel; jabones de ducha; jabones de lufa; jabones de papel para uso personal; jabones de tocador; jabones de tocador no medicinales; jabones de tocador perfumados; jabones desodorantes; jabones desodorantes a base de cáñamo; jabones desodorizantes; jabones en crema; jabones en crema para el cuerpo; jabones en forma líquida; jabones en polvo no medicinales;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lociones capilares cosméticas; lociones capilares no medicinales; lociones capilares reparadoras no medicamentosas; lociones capilares reparadoras no medicinales; lociones capilares*; productos de perfumería, aceites esenciales, cosméticos no medicinales, lociones capilares no medicinales; productos de perfumería, aceites esenciales, cosméticos, lociones capilares; agentes de aclarado para lavar la ropa; agentes de enjuague para lavar la ropa; almidón para lavar la ropa; colorantes para lavar la ropa; corteza de quillay para lavar; crema para lavarse las manos; jabón en polvo para lavar; jabón líquido para lavar la loza; jabón líquido para lavar la ropa; jabón líquido para lavar la vajilla; líquidos para lavar la vajilla; líquidos para lavar los platos; líquidos para lavarse las manos no medicinales a base de jabón; polvos para lavar el cabello; preparaciones no medicinales para el aseo de animales que no sean productos para lavarlos; preparaciones para lavar el cabello; preparaciones para lavar frutas y hortalizas; preparaciones para lavar la cara; preparaciones para lavar la ropa; preparaciones para lavar la vajilla; preparaciones para lavar los platos; productos blanqueadores para lavar la ropa; productos de glaseado para lavar la ropa; productos no medicinales para lavarse las manos; productos no medicinales para lavarse y enjuagarse la boca; productos para lavar perros [champús]; productos para lavar platos; sustancias para lavar; toallitas pre-humedecidas impregnadas con líquido para lavar platos; aceites esenciales para uso doméstico; agentes de limpieza para uso doméstico; aromas para uso doméstico; desincrustantes para uso doméstico; detergentes a base de petróleo [para uso doméstico]; detergentes de espuma para uso doméstico; detergentes jabonosos para uso doméstico; fragancias para uso doméstico; lejía para uso doméstico; limpiadores para uso doméstico; preparaciones blanqueadoras [decolorantes] para uso doméstico; preparaciones de limpieza para uso doméstico; preparaciones desengrasantes para uso doméstico; preparaciones para el lavado para uso doméstico; preparaciones químicas de limpieza para uso doméstico; productos antiestáticos para uso doméstico; productos aromáticos para uso doméstico; productos blanqueadores para uso doméstico; productos de limpieza en aerosoles para uso doméstico; productos de limpieza en sprays para uso doméstico; productos de limpieza para uso doméstico; productos químicos de uso doméstico para avivar los colores [lavandería]; sustancias de limpieza para uso doméstico; toallitas húmedas con preparaciones de limpieza para uso doméstico.
21. Bayetas para lavar la vajilla; bayetas para lavar platos; bolas para lavar la ropa [utensilios domésticos]; cepillos de lavado resistentes a los ácidos utilizados para aplicar ácido a los vehículos con fin de lavarlos; cepillos para lavar la vajilla; escobillas para lavar botellas; esponjas abrasivas para lavar los platos; guantes para lavar coches; paños de cocina para lavar platos; tablas de lavar; material de limpieza; cepillos; cepillos para encerar esquís; cepillos para encerar esquís y tablas de snowboard; cepillos para espolvorear; cabezales de recambio para cepillos de dientes eléctricos; cabezales para cepillos de dientes eléctricos; cepillos barrenderos; cepillos de aire caliente eléctricos; cepillos de aire caliente para el cabello; cepillos de alambre para caballos; cepillos de baño; cepillos de dientes; cepillos de dientes eléctricos; cepillos de dientes en forma de dediles para bebés; cepillos de dientes manuales; cepillos de dientes no eléctricos; cepillos de dientes para animales; cepillos de dientes para bebés; cepillos de dientes para niños; cepillos de dientes, eléctricos o no; cepillos de lavado; cepillos de limpieza; cepillos de limpieza facial; cepillos de limpieza para biberones; cepillos de limpieza para equipos de deporte; cepillos de limpieza para lentes de cámaras; cepillos de limpieza para tetinas de biberones; cepillos de limpieza para uso doméstico; cepillos de uñas; cepillos dentales de dedo para bebés; cepillos dentales, no eléctricos; cepillos electrotérmicos para el cabello; cepillos eléctricos para animales de compañía; cepillos eléctricos, excepto partes de máquinas; cepillos exfoliantes; cepillos exfoliantes eléctricos; cepillos exfoliantes que funcionan con baterías; cepillos giratorios eléctricos para el cabello; cepillos interdentales para la limpieza de los dientes; cepillos linguales; cepillos metálicos, excepto partes de máquinas; cepillos metálicos, que no sean partes de máquinas; cepillos para animales de compañía; cepillos para animales domésticos; cepillos para biberones; cepillos para caballos; cepillos para chimeneas; cepillos para el piso; cepillos para el suelo; cepillos para espolvorear las persianas; cepillos para fregar platos con dispensador de jabón; cepillos para fregar platos con dosificador de jabón; cepillos para hortalizas; cubos con escurridor para trapeadores; cubos para trapeadores; exprimidores de trapeadores; trapeadores, jabones de acero inoxidable*.
</x:t>
        </x:is>
      </x:c>
      <x:c r="L527" s="3" t="inlineStr">
        <x:is>
          <x:t>Sí</x:t>
        </x:is>
      </x:c>
      <x:c r="M527" s="3" t="inlineStr">
        <x:is>
          <x:t>SAMUEL  GARCIA MARQUEZ, CALLE 43 No 4W 44, MONTERIA, CORDOBA, CO</x:t>
        </x:is>
      </x:c>
      <x:c r="N527" s="3" t="inlineStr">
        <x:is>
          <x:t/>
        </x:is>
      </x:c>
      <x:c r="O527" s="3" t="inlineStr">
        <x:is>
          <x:t>21 oct. 2022</x:t>
        </x:is>
      </x:c>
      <x:c r="P527" s="3" t="inlineStr">
        <x:is>
          <x:t/>
        </x:is>
      </x:c>
      <x:c r="Q527" s="3" t="inlineStr">
        <x:is>
          <x:t/>
        </x:is>
      </x:c>
    </x:row>
    <x:row r="528">
      <x:c r="A528" s="10" t="inlineStr">
        <x:f xml:space="preserve">HYPERLINK("http://sipi.sic.gov.co/sipi/View.ashx?4410357","SD2022/0106498")</x:f>
      </x:c>
      <x:c r="B528" s="3" t="inlineStr">
        <x:is>
          <x:t>INTIFEM NF</x:t>
        </x:is>
      </x:c>
      <x:c r="C528" s="3" t="inlineStr">
        <x:is>
          <x:t/>
        </x:is>
      </x:c>
      <x:c r="D528" s="3" t="inlineStr">
        <x:is>
          <x:t>18 oct. 2022</x:t>
        </x:is>
      </x:c>
      <x:c r="E528" s="3" t="inlineStr">
        <x:is>
          <x:t/>
        </x:is>
      </x:c>
      <x:c r="F528" s="3" t="inlineStr">
        <x:is>
          <x:t>Negada</x:t>
        </x:is>
      </x:c>
      <x:c r="G528" s="3" t="inlineStr">
        <x:is>
          <x:t/>
        </x:is>
      </x:c>
      <x:c r="H528" s="3" t="inlineStr">
        <x:is>
          <x:t> FARMET DISTRIBUCIONES S.A.S, cra 73b bis 3 52Calle 124 57 45 Apartamento 206 Torre 3 BOGOTÁ D.C. , BOGOTA, CUNDINAMARCA 111171, CO</x:t>
        </x:is>
      </x:c>
      <x:c r="I528" s="3" t="inlineStr">
        <x:is>
          <x:t>3</x:t>
        </x:is>
      </x:c>
      <x:c r="J528" s="3" t="inlineStr">
        <x:is>
          <x:t>11</x:t>
        </x:is>
      </x:c>
      <x:c r="K52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28" s="3" t="inlineStr">
        <x:is>
          <x:t>Sí</x:t>
        </x:is>
      </x:c>
      <x:c r="M528" s="3" t="inlineStr">
        <x:is>
          <x:t>JOAQUÍN GARCÍA MONROY, Calle 124 57 45 Apartamento 206  Torre 3 , BOGOTÁ, D.C. 111171, CO</x:t>
        </x:is>
      </x:c>
      <x:c r="N528" s="3" t="inlineStr">
        <x:is>
          <x:t/>
        </x:is>
      </x:c>
      <x:c r="O528" s="3" t="inlineStr">
        <x:is>
          <x:t>31 oct. 2022</x:t>
        </x:is>
      </x:c>
      <x:c r="P528" s="3" t="inlineStr">
        <x:is>
          <x:t/>
        </x:is>
      </x:c>
      <x:c r="Q528" s="3" t="inlineStr">
        <x:is>
          <x:t/>
        </x:is>
      </x:c>
    </x:row>
    <x:row r="529">
      <x:c r="A529" s="10" t="inlineStr">
        <x:f xml:space="preserve">HYPERLINK("http://sipi.sic.gov.co/sipi/View.ashx?4411244","SD2022/0107849")</x:f>
      </x:c>
      <x:c r="B529" s="3" t="inlineStr">
        <x:is>
          <x:t>GREEN DOCTOR</x:t>
        </x:is>
      </x:c>
      <x:c r="C529" s="9" t="inlineStr">
        <x:is>
          <x:t/>
        </x:is>
      </x:c>
      <x:c r="D529" s="3" t="inlineStr">
        <x:is>
          <x:t>20 oct. 2022</x:t>
        </x:is>
      </x:c>
      <x:c r="E529" s="3" t="inlineStr">
        <x:is>
          <x:t/>
        </x:is>
      </x:c>
      <x:c r="F529" s="3" t="inlineStr">
        <x:is>
          <x:t>Negada</x:t>
        </x:is>
      </x:c>
      <x:c r="G529" s="3" t="inlineStr">
        <x:is>
          <x:t>IM28854- GREEN DOCTOR</x:t>
        </x:is>
      </x:c>
      <x:c r="H529" s="3" t="inlineStr">
        <x:is>
          <x:t> GRUPO ZARPAT S.A. DE CV, Río Volga 89, piso 6 TS, Colonia Cuauhtémoc, Alcaldía Cuauhtémoc, C.P. 06500, Ciudad de México, CUAUHTEMOC, CIUDAD DE MEXICO, MX</x:t>
        </x:is>
      </x:c>
      <x:c r="I529" s="3" t="inlineStr">
        <x:is>
          <x:t>3</x:t>
        </x:is>
      </x:c>
      <x:c r="J529" s="3" t="inlineStr">
        <x:is>
          <x:t>11</x:t>
        </x:is>
      </x:c>
      <x:c r="K529" s="3" t="inlineStr">
        <x:is>
          <x:t>3. Productos cosméticos y preparaciones de tocador no medicinales; productos de perfumería, pastas de dientes, dentífricos y enjuagues bucales, desodorantes para el cuidado corporal, desodorantes, antitranspirantes, jabón de ducha, jabón en polvo, jabón para el cuidado del cuerpo, pastillas de jabón en polvo, jabón para el cuidado del cuerpo, pastillas de jabón para el cuerpo, jabón en crema corporal, crema corporal, exfoliante corporal, exfoliante facial, preparaciones de aromaterapia, aceites esenciales, preparaciones para el cuidado del cabello, champú acondicionador, sueros faciales de uso cosmético, mascarillas limpiadoras, mascarillas faciales, cremas desmaquillantes, lociones desmaquillantes, espumas para afeitar, cremas para afeitar, productos de afeitar, detergentes, detergentes para lavar los platos, detergentes biológicos para la ropa, jabones, detergentes, productos para el cuidado de la piel, productos de cuidado personal, cosméticas para proteger la piel de los efectos del sol; toallitas impregnadas con soluciones de limpieza jabones; perfumería, cosméticos, lociones y productos para el cabello; dentífricos. preparaciones para blanquear y otras sustancias para la colada; preparaciones para limpiar, pulir, desengrasar y raspar (preparaciones abrasivas); desodorante natural bergamota - desodorante natural lavanda - desodorante natural orange blossom - jabón botánico antibacterial - pasta dental natural organic care - enjuague bucal natural organic fresh.
</x:t>
        </x:is>
      </x:c>
      <x:c r="L529" s="3" t="inlineStr">
        <x:is>
          <x:t>Sí</x:t>
        </x:is>
      </x:c>
      <x:c r="M529" s="3" t="inlineStr">
        <x:is>
          <x:t>GUILLERMO ANDRES NAVARRO ROMERO, CALLE 79B No. 5-81, BOGOTÁ, D.C. 110221, CO</x:t>
        </x:is>
      </x:c>
      <x:c r="N529" s="3" t="inlineStr">
        <x:is>
          <x:t/>
        </x:is>
      </x:c>
      <x:c r="O529" s="3" t="inlineStr">
        <x:is>
          <x:t>18 nov. 2022</x:t>
        </x:is>
      </x:c>
      <x:c r="P529" s="3" t="inlineStr">
        <x:is>
          <x:t/>
        </x:is>
      </x:c>
      <x:c r="Q529" s="3" t="inlineStr">
        <x:is>
          <x:t/>
        </x:is>
      </x:c>
    </x:row>
    <x:row r="530">
      <x:c r="A530" s="10" t="inlineStr">
        <x:f xml:space="preserve">HYPERLINK("http://sipi.sic.gov.co/sipi/View.ashx?4411427","SD2022/0106783")</x:f>
      </x:c>
      <x:c r="B530" s="3" t="inlineStr">
        <x:is>
          <x:t>BIOREFILL</x:t>
        </x:is>
      </x:c>
      <x:c r="C530" s="9" t="inlineStr">
        <x:is>
          <x:t/>
        </x:is>
      </x:c>
      <x:c r="D530" s="3" t="inlineStr">
        <x:is>
          <x:t>19 oct. 2022</x:t>
        </x:is>
      </x:c>
      <x:c r="E530" s="3" t="inlineStr">
        <x:is>
          <x:t/>
        </x:is>
      </x:c>
      <x:c r="F530" s="3" t="inlineStr">
        <x:is>
          <x:t>Negada</x:t>
        </x:is>
      </x:c>
      <x:c r="G530" s="3" t="inlineStr">
        <x:is>
          <x:t>BIOREFILL</x:t>
        </x:is>
      </x:c>
      <x:c r="H530" s="3" t="inlineStr">
        <x:is>
          <x:t>ERIKA TATIANA ROJAS RODRIGUEZ, cra 0 #3-44, TUNJA, BOYACA, CO</x:t>
        </x:is>
      </x:c>
      <x:c r="I530" s="3" t="inlineStr">
        <x:is>
          <x:t>3</x:t>
        </x:is>
      </x:c>
      <x:c r="J530" s="3" t="inlineStr">
        <x:is>
          <x:t>11</x:t>
        </x:is>
      </x:c>
      <x:c r="K530" s="3" t="inlineStr">
        <x:is>
          <x:t>3. Detergente líquido; desengrasantes con base solvente; preparaciones desengrasantes para uso doméstico; productos desengrasantes que no sean para procesos de fabricación; suavizantes de telas; suavizantes de textiles; suavizantes para la ropa; aceites esenciales para ambientadores de interior; aceites esenciales para aparatos ambientadores de interior; ambientadores de interior [preparaciones perfumadas]; ambientadores de interior [productos para perfumar el aire]; ambientadores de interior [productos para perfumar el ambiente]; ambientadores de interior en cuanto productos para perfumar el aire; ambientadores de interior en cuanto productos para perfumar el ambiente; ambientadores perfumados en aerosol; cera antideslizante para suelos; cera para auto; cera para carro; cera para coche; ceras para automóviles; ceras para pisos; ceras para suelos; preparaciones blanqueadoras; productos blanqueadores para lavar la ropa; productos blanqueadores para uso doméstico; sustancias blanqueadoras para uso en la limpieza doméstica; jabón de baño; jabón en polvo; jabón líquido para el cuerpo; jabón líquido para lavar la loza; jabón líquido para lavar la ropa; jabón líquido para lavar la vajilla; pastillas de jabón; productos de jabón.
</x:t>
        </x:is>
      </x:c>
      <x:c r="L530" s="3" t="inlineStr">
        <x:is>
          <x:t>No</x:t>
        </x:is>
      </x:c>
      <x:c r="M530" s="3" t="inlineStr">
        <x:is>
          <x:t/>
        </x:is>
      </x:c>
      <x:c r="N530" s="3" t="inlineStr">
        <x:is>
          <x:t/>
        </x:is>
      </x:c>
      <x:c r="O530" s="3" t="inlineStr">
        <x:is>
          <x:t>26 ene. 2023</x:t>
        </x:is>
      </x:c>
      <x:c r="P530" s="3" t="inlineStr">
        <x:is>
          <x:t/>
        </x:is>
      </x:c>
      <x:c r="Q530" s="3" t="inlineStr">
        <x:is>
          <x:t/>
        </x:is>
      </x:c>
    </x:row>
    <x:row r="531">
      <x:c r="A531" s="10" t="inlineStr">
        <x:f xml:space="preserve">HYPERLINK("http://sipi.sic.gov.co/sipi/View.ashx?4411542","SD2022/0106823")</x:f>
      </x:c>
      <x:c r="B531" s="3" t="inlineStr">
        <x:is>
          <x:t>Mila Colors</x:t>
        </x:is>
      </x:c>
      <x:c r="C531" s="9" t="inlineStr">
        <x:is>
          <x:t/>
        </x:is>
      </x:c>
      <x:c r="D531" s="3" t="inlineStr">
        <x:is>
          <x:t>18 oct. 2022</x:t>
        </x:is>
      </x:c>
      <x:c r="E531" s="3" t="inlineStr">
        <x:is>
          <x:t/>
        </x:is>
      </x:c>
      <x:c r="F531" s="3" t="inlineStr">
        <x:is>
          <x:t>Negada</x:t>
        </x:is>
      </x:c>
      <x:c r="G531" s="3" t="inlineStr">
        <x:is>
          <x:t/>
        </x:is>
      </x:c>
      <x:c r="H531" s="3" t="inlineStr">
        <x:is>
          <x:t> INVERSIONES GENERALES ASOCIADAS INGEA S.A.S., Calle 77B No. 57 - 103 Oficina 1402 - 1403, BARRANQUILLA, ATLÁNTICO, CO</x:t>
        </x:is>
      </x:c>
      <x:c r="I531" s="3" t="inlineStr">
        <x:is>
          <x:t>3</x:t>
        </x:is>
      </x:c>
      <x:c r="J531" s="3" t="inlineStr">
        <x:is>
          <x:t>11</x:t>
        </x:is>
      </x:c>
      <x:c r="K531" s="3" t="inlineStr">
        <x:is>
          <x:t>3. Bases de maquillaje; bases de maquillaje cremosas; bases de maquillaje en crema; bases de maquillaje líquidas; bases de maquillaje para la piel; cola de maquillaje para uso cosmético; fondo de maquillaje; fundación de maquillaje;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maquillaje [cosméticos]; maquillaje para el cuerpo; maquillaje para el rostro; maquillaje para el rostro y el cuerpo; maquillaje para la cara; maquillaje para la cara y el cuerpo; maquillaje para la piel; maquillaje para los ojos; maquillaje vendido en polveras; maquillajes de base; maquillajes de ojos; maquillajes faciales; neceseres de cosmética que contienen principalmente máscara de pestañas, lápices de labios, lápices de cejas, maquillaje, fundación de maquillaje y brillos de labios; polvos de maquillaje; preparaciones de maquillaje para el rostro y el cuerpo; preparaciones de maquillaje para la cara y el cuerpo; productos cosméticos y de maquillaje; productos de maquillaje.
</x:t>
        </x:is>
      </x:c>
      <x:c r="L531" s="3" t="inlineStr">
        <x:is>
          <x:t>Sí</x:t>
        </x:is>
      </x:c>
      <x:c r="M531" s="3" t="inlineStr">
        <x:is>
          <x:t>MARÍA CONSUELO PAREJA SIERRA, CARRERA 14 NO. 93B -15, BOGOTÁ, D.C., CO</x:t>
        </x:is>
      </x:c>
      <x:c r="N531" s="3" t="inlineStr">
        <x:is>
          <x:t/>
        </x:is>
      </x:c>
      <x:c r="O531" s="3" t="inlineStr">
        <x:is>
          <x:t>21 oct. 2022</x:t>
        </x:is>
      </x:c>
      <x:c r="P531" s="3" t="inlineStr">
        <x:is>
          <x:t/>
        </x:is>
      </x:c>
      <x:c r="Q531" s="3" t="inlineStr">
        <x:is>
          <x:t/>
        </x:is>
      </x:c>
    </x:row>
    <x:row r="532">
      <x:c r="A532" s="10" t="inlineStr">
        <x:f xml:space="preserve">HYPERLINK("http://sipi.sic.gov.co/sipi/View.ashx?4412294","SD2022/0106995")</x:f>
      </x:c>
      <x:c r="B532" s="3" t="inlineStr">
        <x:is>
          <x:t>YG YG COMERCIALIZADORA </x:t>
        </x:is>
      </x:c>
      <x:c r="C532" s="9" t="inlineStr">
        <x:is>
          <x:t/>
        </x:is>
      </x:c>
      <x:c r="D532" s="3" t="inlineStr">
        <x:is>
          <x:t>19 oct. 2022</x:t>
        </x:is>
      </x:c>
      <x:c r="E532" s="3" t="inlineStr">
        <x:is>
          <x:t/>
        </x:is>
      </x:c>
      <x:c r="F532" s="3" t="inlineStr">
        <x:is>
          <x:t>Negada</x:t>
        </x:is>
      </x:c>
      <x:c r="G532" s="3" t="inlineStr">
        <x:is>
          <x:t/>
        </x:is>
      </x:c>
      <x:c r="H532" s="3" t="inlineStr">
        <x:is>
          <x:t>LIDA JULIETH  GIRALDO OROZCO, CARRERA 56 B No. 49 A - 29 BOD 504, MEDELLIN, ANTIOQUIA, CO</x:t>
        </x:is>
      </x:c>
      <x:c r="I532" s="3" t="inlineStr">
        <x:is>
          <x:t>3, 14</x:t>
        </x:is>
      </x:c>
      <x:c r="J532" s="3" t="inlineStr">
        <x:is>
          <x:t>11</x:t>
        </x:is>
      </x:c>
      <x:c r="K532" s="3" t="inlineStr">
        <x:is>
          <x:t>3. Cosméticos.
14. Accesorios y bisutería.
</x:t>
        </x:is>
      </x:c>
      <x:c r="L532" s="3" t="inlineStr">
        <x:is>
          <x:t>No</x:t>
        </x:is>
      </x:c>
      <x:c r="M532" s="3" t="inlineStr">
        <x:is>
          <x:t>FERNANDO ANDRÉS  VALDERRAMA GRIJALBA , CL. 97 No. 23-60, OFICINA 603, BOGOTÁ, D.C., CO</x:t>
        </x:is>
      </x:c>
      <x:c r="N532" s="3" t="inlineStr">
        <x:is>
          <x:t/>
        </x:is>
      </x:c>
      <x:c r="O532" s="3" t="inlineStr">
        <x:is>
          <x:t>17 abr. 2023</x:t>
        </x:is>
      </x:c>
      <x:c r="P532" s="3" t="inlineStr">
        <x:is>
          <x:t/>
        </x:is>
      </x:c>
      <x:c r="Q532" s="3" t="inlineStr">
        <x:is>
          <x:t/>
        </x:is>
      </x:c>
    </x:row>
    <x:row r="533">
      <x:c r="A533" s="10" t="inlineStr">
        <x:f xml:space="preserve">HYPERLINK("http://sipi.sic.gov.co/sipi/View.ashx?4412433","SD2022/0115021")</x:f>
      </x:c>
      <x:c r="B533" s="3" t="inlineStr">
        <x:is>
          <x:t>Suika SUMMER</x:t>
        </x:is>
      </x:c>
      <x:c r="C533" s="9" t="inlineStr">
        <x:is>
          <x:t/>
        </x:is>
      </x:c>
      <x:c r="D533" s="3" t="inlineStr">
        <x:is>
          <x:t>08 nov. 2022</x:t>
        </x:is>
      </x:c>
      <x:c r="E533" s="3" t="inlineStr">
        <x:is>
          <x:t/>
        </x:is>
      </x:c>
      <x:c r="F533" s="3" t="inlineStr">
        <x:is>
          <x:t>Negada</x:t>
        </x:is>
      </x:c>
      <x:c r="G533" s="3" t="inlineStr">
        <x:is>
          <x:t>Suika Summer</x:t>
        </x:is>
      </x:c>
      <x:c r="H533" s="3" t="inlineStr">
        <x:is>
          <x:t>Manuela  Carmona Mondragon, calle 49N # 6-96, CALI, VALLE DEL CAUCA, CO</x:t>
        </x:is>
      </x:c>
      <x:c r="I533" s="3" t="inlineStr">
        <x:is>
          <x:t>3, 5, 14, 25</x:t>
        </x:is>
      </x:c>
      <x:c r="J533" s="3" t="inlineStr">
        <x:is>
          <x:t>11</x:t>
        </x:is>
      </x:c>
      <x:c r="K533" s="3" t="inlineStr">
        <x:is>
          <x:t>3. Tintes para los labios [productos cosméticos]; tiras blanqueadoras de dientes impregnadas con preparaciones blanqueadoras [cosméticos]; toallas de papel para las manos impregnadas de cosméticos; toallas de papel para las manos impregnadas de productos cosméticos; toallitas desechables impregnadas con preparados cosméticos para bebés; toallitas impregnadas con preparados cosméticos; toallitas impregnadas de productos cosméticos; tónicos cosméticos; tónicos cosméticos para el rostro; tónicos cosméticos para la cara; tónicos faciales [cosméticos]; veneno de abeja con fines cosméticos; hidrocremas intensiva; jabones en crema; jabones en crema para el cuerpo; leches, geles, lociones y cremas desmaquillantes;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maquillajes de base en crema; mascarillas corporales en forma de cremas; mascarillas corporales en forma de cremas para uso cosmético; polvos faciales en crema; productos cosméticos en forma de cremas.
5. Desodorantes para prendas de vestir; desodorantes para prendas de vestir y materias textiles; preparaciones neutralizadoras de olores para prendas de vestir y materias textiles; aerosoles y cremas de hierbas medicinales de uso externo; botiquines de primeros auxilios que comprenden principalmente esparadrapos, cremas o pastillas antihistamínicas, apósitos de gasa esterilizados y cremas o sprays antisépticos; botiquines de primeros auxilios que contienen principalmente esparadrapos, cremas o pastillas antihistamínicas, apósitos de gasa esterilizados y cremas o sprays antisépticos; cremas a base de hierbas para uso médico; cremas analgésicas para uso tópico; cremas analgésicas tópicas; cremas antibióticas; cremas antihistamínicas; cremas antimicóticas para uso médico; cremas antiprurito; cremas antisépticas; cremas de caléndula para erupciones cutáneas; cremas de hidrocortisona; cremas de hidrocortisona para erupciones cutáneas; cremas de masaje para uso médico; cremas de uso dermatológico; cremas dermatológicas a base de cortisona; cremas herbarias para uso médico; cremas labiales medicamentosas; cremas labiales medicinales; cremas medicamentosas; cremas medicamentosas para hidratar la piel; cremas medicamentosas para la hidratación de la piel; cremas medicamentosas para la piel; cremas medicamentosas para la protección de la piel; cremas medicamentosas protectoras;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callosidades y durezas; cremas para el cuidado de la piel, medicinales; cremas para la piel con hidrocortisona para uso dermatológico; cremas para uso dermatológico; espráis y cremas de hierbas medicinales de uso externo; gasas impregnadas de cremas medicamentosas; gasas impregnadas de cremas medicinales; geles, cremas y soluciones para uso dermatológico; kiits de primeros auxilios que contienen principalmente esparadrapos, cremas o pastillas antihistamínicas, apósitos de gasa esterilizados y cremas o sprays antisépticos; kits de primeros auxilios que comprenden principalmente esparadrapos, cremas o pastillas antihistamínicas, apósitos de gasa esterilizados y cremas o sprays antisépticos; lociones y cremas medicamentosas para el cuerpo, piel, cara y manos; lociones y cremas medicamentosas para el cuerpo, piel, rostro y manos; lociones y cremas medicinales para el cuerpo, piel, cara y manos; toallitas impregnadas de cremas medicamentosas; toallitas impregnadas de cremas medicinales; toallitas o gasas impregnadas de cremas medicamentosas; toallitas o gasas impregnadas de cremas medicinales; toallitas y pañitos impregnados de lociones y cremas farmacéuticas.
14. Alfileres [imitación de bisutería]; artículos de bisutería; artículos de bisutería de plástico; artículos de joyería, bisutería, piedras preciosas; bisutería [joyería]; bisutería de fantasía; bisutería de imitación; camafeos [artículos de bisutería]; camafeos [bisutería]; estrás [bisutería de fantasía]; pins [imitación de bisutería].
25. Trajes de baño; trajes de baño [bañadores]; trajes de baño con almohadilla absorbente incorporada; trajes de baño de una pieza; trajes de baño en forma de cola de sirena; trajes de baño para caballero; trajes de baño para niños; trajes de baño para señora; ajuares de bebé [prendas de vestir]; ajuares de prendas de vestir para bebés; babushkas [prendas de vestir]; balaclavas de esquí [prendas de vestir]; balaclavas de esquí en cuanto prendas de vestir; bandas abdominales para embarazadas [prendas de vestir]; bandas para la cabeza [prendas de vestir]; bermudas [prendas de vestir]; blusas [prendas de vestir]; bodys [prendas de vestir]; bolsillos de prendas de vestir; bragas para bebés [prendas de vestir]; calentadores [prendas de vestir]; calientamanos [mitones] en cuanto prendas de vestir; camperas rompeviento [prendas de vestir]; capuchas de esquí [prendas de vestir]; capuchas de esquí en cuanto prendas de vestir; casacas rompeviento [prendas de vestir]; chacabanas [prendas de vestir]; chalecos de punto [prendas de vestir]; chamarras rompeviento [prendas de vestir]; chaquetas en cuanto prendas de vestir; chaquetas rompeviento [prendas de vestir]; cinturones (prendas de vestir); cinturones [prendas de vestir]; cinturones billetero [prendas de vestir]; cinturones de materias textiles [prendas de vestir]; cinturones de tela [prendas de vestir]; cinturones monedero [prendas de vestir]; conjuntos para jugar [prendas de vestir]; cubrecaras de textiles en cuanto prendas de vestir; cuellos en cuanto prendas de vestir; delantales [prendas de vestir]; escudetes [partes de prendas de vestir]; escudetes para bañadores [partes de prendas de vestir]; escudetes para leotardos [partes de prendas de vestir]; escudetes para mallas de baño [partes de prendas de vestir]; escudetes para medias [partes de prendas de vestir]; escudetes para pantis [partes de prendas de vestir]; escudetes para ropa interior [partes de prendas de vestir]; forros confeccionados [partes de prendas de vestir]; fulares [prendas de vestir]; fulares en cuanto prendas de vestir; gabardinas [prendas de vestir]; gorros para fiestas [prendas de vestir]; guantes (prendas de vestir); guantes [prendas de vestir]; guantes en cuanto prendas de vestir militar; guardapolvos [prendas de vestir]; guayabanas [prendas de vestir]; guayaberas [prendas de vestir]; huípiles [prendas de vestir]; jerseys [prendas de vestir]; jorongos [prendas de vestir]; kitenges [prendas de vestir de colores vivos]; magoja [chaquetas exteriores coreanas para llevar sobre prendas de vestir básicas]; manguitos [prendas de vestir]; manguitos calentadores [prendas de vestir]; mascarillas de moda de tela [prendas de vestir]; mascarillas de moda de tela en cuanto prendas de vestir; mascarillas de tejido [prendas de vestir]; mascarillas de tela [prendas de vestir]; mascarillas faciales [prendas de vestir]; mascarillas faciales de punto en cuanto prendas de vestir; mitones en cuanto prendas de vestir; monos [prendas de vestir]; muñequeras en cuanto prendas de vestir; orejeras [prendas de vestir]; orejeras en cuanto prendas de vestir; paliacates [prendas de vestir]; pareos [prendas de vestir]; partes de prendas de vestir, a saber, escudetes de axila; partes de prendas de vestir, a saber, escudetes para axilas; pasamontañas de esquí [prendas de vestir]; pasamontañas de esquí en cuanto prendas de vestir; pañoletas [prendas de vestir]; pañuelos [prendas de vestir]; pañuelos de bolsillo [prendas de vestir]; pañuelos de bolsillo en cuanto prendas de vestir; pañuelos para la cabeza [prendas de vestir]; pieles [prendas de vestir]; pieles artificiales [prendas de vestir]; prendas de vestir biodegradables; prendas de vestir bordadas; prendas de vestir compostables; prendas de vestir cortaviento; prendas de vestir de cachemira; prendas de vestir de cuero; prendas de vestir de deporte; prendas de vestir de equitación, que no sean cascos de equitación; prendas de vestir de felpa; prendas de vestir de lana; prendas de vestir de lino; prendas de vestir de napa; prendas de vestir de peletería; prendas de vestir de piel artificial; prendas de vestir de plumas; prendas de vestir de plumón; prendas de vestir impermeables; prendas de vestir inteligentes con componentes digitales incorporados; prendas de vestir inteligentes con sensores de biochips; prendas de vestir inteligentes equipadas con dispositivos inalámbricos de comunicación de datos; prendas de vestir inteligentes equipadas con tecnología inalámbrica de comunicación de datos; prendas de vestir japonesas tradicionales; prendas de vestir para actividades al aire libre; prendas de vestir para bebés y niños pequeños; prendas de vestir para el cuello; prendas de vestir para hombres; prendas de vestir para la intemperie; prendas de vestir para mujeres; prendas de vestir para mujeres, hombres y niños; prendas de vestir para niños; prendas de vestir para niños pequeños; prendas de vestir para seres humanos; prendas de vestir que contienen sustancias adelgazantes; prendas de vestir resistentes al agua; prendas de vestir tejidas; prendas de vestir transformables en sudaderas con capucha; prendas de vestir transformables en vestidos; prendas de vestir térmicas; prendas de vestir*; prendas de vestir, calzado y artículos de sombrerería; prendas de vestir, calzado y artículos de sombrerería para bebés y niños pequeños; prendas de vestir, calzado y artículos de sombrerería para seres humanos; prendas de vestir, calzado, artículos de sombrerería; prendas de vestir, que no sean de protección, con elementos o materiales reflectantes o fluorescentes; pulseras en cuanto prendas de vestir; puños [prendas de vestir]; puños en cuanto prendas de vestir; rebozos [prendas de vestir]; sarapes [prendas de vestir]; shorts en cuanto prendas de vestir; sombreros de papel [prendas de vestir]; sombreros de papel en cuanto prendas de vestir; sombreros de papel utilizados como prendas de vestir; tiradores [prendas de vestir]; tirantes de ajustadores [partes de prendas de vestir]; tirantes de sostenes [partes de prendas de vestir]; tirantes de sujetadores [partes de prendas de vestir]; tirantes para sujetadores [partes de prendas de vestir]; tocas [prendas de vestir]; tops [prendas de vestir]; toquillas [prendas de vestir]; toquillas en cuanto prendas de vestir; trajes de tres piezas [prendas de vestir]; turbantes [prendas de vestir].
</x:t>
        </x:is>
      </x:c>
      <x:c r="L533" s="3" t="inlineStr">
        <x:is>
          <x:t>No</x:t>
        </x:is>
      </x:c>
      <x:c r="M533" s="3" t="inlineStr">
        <x:is>
          <x:t>Juan David Ortiz Betancur, Carrera 56B 49 51, MEDELLIN, ANTIOQUIA, CO</x:t>
        </x:is>
      </x:c>
      <x:c r="N533" s="3" t="inlineStr">
        <x:is>
          <x:t/>
        </x:is>
      </x:c>
      <x:c r="O533" s="3" t="inlineStr">
        <x:is>
          <x:t>06 feb. 2023</x:t>
        </x:is>
      </x:c>
      <x:c r="P533" s="3" t="inlineStr">
        <x:is>
          <x:t/>
        </x:is>
      </x:c>
      <x:c r="Q533" s="3" t="inlineStr">
        <x:is>
          <x:t/>
        </x:is>
      </x:c>
    </x:row>
    <x:row r="534">
      <x:c r="A534" s="10" t="inlineStr">
        <x:f xml:space="preserve">HYPERLINK("http://sipi.sic.gov.co/sipi/View.ashx?4412692","SD2022/0107160")</x:f>
      </x:c>
      <x:c r="B534" s="3" t="inlineStr">
        <x:is>
          <x:t>NEUTRALIZADOR DE OLORES SIN FRAGRANCIA </x:t>
        </x:is>
      </x:c>
      <x:c r="C534" s="9" t="inlineStr">
        <x:is>
          <x:t/>
        </x:is>
      </x:c>
      <x:c r="D534" s="3" t="inlineStr">
        <x:is>
          <x:t>19 oct. 2022</x:t>
        </x:is>
      </x:c>
      <x:c r="E534" s="3" t="inlineStr">
        <x:is>
          <x:t/>
        </x:is>
      </x:c>
      <x:c r="F534" s="3" t="inlineStr">
        <x:is>
          <x:t>Negada</x:t>
        </x:is>
      </x:c>
      <x:c r="G534" s="3" t="inlineStr">
        <x:is>
          <x:t/>
        </x:is>
      </x:c>
      <x:c r="H534" s="3" t="inlineStr">
        <x:is>
          <x:t> S.C. Johnson &amp; Son, Inc., 1525 Howe Street, RACINE, WISCONSIN WI 53403-2236, US</x:t>
        </x:is>
      </x:c>
      <x:c r="I534" s="3" t="inlineStr">
        <x:is>
          <x:t>3, 5</x:t>
        </x:is>
      </x:c>
      <x:c r="J534" s="3" t="inlineStr">
        <x:is>
          <x:t>11</x:t>
        </x:is>
      </x:c>
      <x:c r="K534" s="3" t="inlineStr">
        <x:is>
          <x:t>3. Producto de limpieza y/o desengrasado; preparaciones para perfumar el aire; preparaciones para perfumar el aire; limpiador de inodoros; paños de limpieza desechables; jabón de manos; jabón en barra.
5. Preparaciones para purificar el aire; preparaciones para desinfectar el aire; preparaciones para neutralizar los olores; desodorantes que no son de uso personal; desodorizantes para habitaciones o atmósferas; desodorizantes para alfombras; desodorizantes para textiles; preparaciones germicidas; desinfectantes líquidos y en aerosol; desinfectantes para superficies; desinfectantes para manos; jabones desinfectantes para manos.
</x:t>
        </x:is>
      </x:c>
      <x:c r="L534" s="3" t="inlineStr">
        <x:is>
          <x:t>No</x:t>
        </x:is>
      </x:c>
      <x:c r="M534" s="3" t="inlineStr">
        <x:is>
          <x:t>JUAN PABLO CONCHA DELGADO, AVENIDA 82 No. 10-62 PISO 5, BOGOTÁ, D.C., CO</x:t>
        </x:is>
      </x:c>
      <x:c r="N534" s="3" t="inlineStr">
        <x:is>
          <x:t/>
        </x:is>
      </x:c>
      <x:c r="O534" s="3" t="inlineStr">
        <x:is>
          <x:t>26 ene. 2023</x:t>
        </x:is>
      </x:c>
      <x:c r="P534" s="3" t="inlineStr">
        <x:is>
          <x:t/>
        </x:is>
      </x:c>
      <x:c r="Q534" s="3" t="inlineStr">
        <x:is>
          <x:t/>
        </x:is>
      </x:c>
    </x:row>
    <x:row r="535">
      <x:c r="A535" s="10" t="inlineStr">
        <x:f xml:space="preserve">HYPERLINK("http://sipi.sic.gov.co/sipi/View.ashx?4412884","SD2022/0109340")</x:f>
      </x:c>
      <x:c r="B535" s="3" t="inlineStr">
        <x:is>
          <x:t>PROVILIFE</x:t>
        </x:is>
      </x:c>
      <x:c r="C535" s="9" t="inlineStr">
        <x:is>
          <x:t/>
        </x:is>
      </x:c>
      <x:c r="D535" s="3" t="inlineStr">
        <x:is>
          <x:t>24 oct. 2022</x:t>
        </x:is>
      </x:c>
      <x:c r="E535" s="3" t="inlineStr">
        <x:is>
          <x:t/>
        </x:is>
      </x:c>
      <x:c r="F535" s="3" t="inlineStr">
        <x:is>
          <x:t>Negada</x:t>
        </x:is>
      </x:c>
      <x:c r="G535" s="3" t="inlineStr">
        <x:is>
          <x:t>provilife</x:t>
        </x:is>
      </x:c>
      <x:c r="H535" s="3" t="inlineStr">
        <x:is>
          <x:t> PROVITA S.A.S., CALLE 38 B SUR # 46 A - 08, ENVIGADO, ANTIOQUIA, CO</x:t>
        </x:is>
      </x:c>
      <x:c r="I535" s="3" t="inlineStr">
        <x:is>
          <x:t>3, 5</x:t>
        </x:is>
      </x:c>
      <x:c r="J535" s="3" t="inlineStr">
        <x:is>
          <x:t>11</x:t>
        </x:is>
      </x:c>
      <x:c r="K535" s="3" t="inlineStr">
        <x:is>
          <x:t>3. Productos cosméticos, aceites esenciales líneas de perfumería, Aceites de cáñamo a base de cbd para uso cosmético; preparaciones para el cuidado de la piel a base de cbd; preparados para el cuidado de la piel a base de cbd; productos cosméticos de cbd, artículos de aseo personal, productos de limpieza para el hogar, 	preparaciones de limpieza para el hogar, detergentes para el hogar.
5. Nutracéuticos para uso terapéutico, nutracéuticos utilizados como complementos dietéticos, parches transdérmicos que facilitan el suministro de nutracéuticos, productos farmacéuticos.
</x:t>
        </x:is>
      </x:c>
      <x:c r="L535" s="3" t="inlineStr">
        <x:is>
          <x:t>No</x:t>
        </x:is>
      </x:c>
      <x:c r="M535" s="3" t="inlineStr">
        <x:is>
          <x:t>ANDREA DONATO CASTILLO, Carrera 10 # 97 A- 13 oficina 202 torre B Edificio Bogotá Trade Center, BOGOTÁ, D.C., CO</x:t>
        </x:is>
      </x:c>
      <x:c r="N535" s="3" t="inlineStr">
        <x:is>
          <x:t/>
        </x:is>
      </x:c>
      <x:c r="O535" s="3" t="inlineStr">
        <x:is>
          <x:t>09 dic. 2022</x:t>
        </x:is>
      </x:c>
      <x:c r="P535" s="3" t="inlineStr">
        <x:is>
          <x:t/>
        </x:is>
      </x:c>
      <x:c r="Q535" s="3" t="inlineStr">
        <x:is>
          <x:t/>
        </x:is>
      </x:c>
    </x:row>
    <x:row r="536">
      <x:c r="A536" s="10" t="inlineStr">
        <x:f xml:space="preserve">HYPERLINK("http://sipi.sic.gov.co/sipi/View.ashx?4413559","SD2022/0108113")</x:f>
      </x:c>
      <x:c r="B536" s="3" t="inlineStr">
        <x:is>
          <x:t>Naturalven</x:t>
        </x:is>
      </x:c>
      <x:c r="C536" s="9" t="inlineStr">
        <x:is>
          <x:t/>
        </x:is>
      </x:c>
      <x:c r="D536" s="3" t="inlineStr">
        <x:is>
          <x:t>28 oct. 2022</x:t>
        </x:is>
      </x:c>
      <x:c r="E536" s="3" t="inlineStr">
        <x:is>
          <x:t/>
        </x:is>
      </x:c>
      <x:c r="F536" s="3" t="inlineStr">
        <x:is>
          <x:t>Negada</x:t>
        </x:is>
      </x:c>
      <x:c r="G536" s="3" t="inlineStr">
        <x:is>
          <x:t>Naturalven</x:t>
        </x:is>
      </x:c>
      <x:c r="H536" s="3" t="inlineStr">
        <x:is>
          <x:t> Naturíntegra SAS, Diagonal 54 sur 18  c 19, BOGOTÁ, D.C., CO</x:t>
        </x:is>
      </x:c>
      <x:c r="I536" s="3" t="inlineStr">
        <x:is>
          <x:t>3</x:t>
        </x:is>
      </x:c>
      <x:c r="J536" s="3" t="inlineStr">
        <x:is>
          <x:t>11</x:t>
        </x:is>
      </x:c>
      <x:c r="K536" s="3" t="inlineStr">
        <x:is>
          <x:t>3. Emolientes para la piel de uso cosmético; emulsiones para el cuerpo de uso cosmético.
</x:t>
        </x:is>
      </x:c>
      <x:c r="L536" s="3" t="inlineStr">
        <x:is>
          <x:t>No</x:t>
        </x:is>
      </x:c>
      <x:c r="M536" s="3" t="inlineStr">
        <x:is>
          <x:t>Luis Alfonso Moreno Vargas, Dg. 54 sur 18 c 19, BOGOTÁ, D.C., CO</x:t>
        </x:is>
      </x:c>
      <x:c r="N536" s="3" t="inlineStr">
        <x:is>
          <x:t/>
        </x:is>
      </x:c>
      <x:c r="O536" s="3" t="inlineStr">
        <x:is>
          <x:t>08 nov. 2022</x:t>
        </x:is>
      </x:c>
      <x:c r="P536" s="3" t="inlineStr">
        <x:is>
          <x:t/>
        </x:is>
      </x:c>
      <x:c r="Q536" s="3" t="inlineStr">
        <x:is>
          <x:t/>
        </x:is>
      </x:c>
    </x:row>
    <x:row r="537">
      <x:c r="A537" s="10" t="inlineStr">
        <x:f xml:space="preserve">HYPERLINK("http://sipi.sic.gov.co/sipi/View.ashx?4413694","SD2022/0107432")</x:f>
      </x:c>
      <x:c r="B537" s="3" t="inlineStr">
        <x:is>
          <x:t>Heme </x:t>
        </x:is>
      </x:c>
      <x:c r="C537" s="9" t="inlineStr">
        <x:is>
          <x:t/>
        </x:is>
      </x:c>
      <x:c r="D537" s="3" t="inlineStr">
        <x:is>
          <x:t>19 oct. 2022</x:t>
        </x:is>
      </x:c>
      <x:c r="E537" s="3" t="inlineStr">
        <x:is>
          <x:t/>
        </x:is>
      </x:c>
      <x:c r="F537" s="3" t="inlineStr">
        <x:is>
          <x:t>Negada</x:t>
        </x:is>
      </x:c>
      <x:c r="G537" s="3" t="inlineStr">
        <x:is>
          <x:t/>
        </x:is>
      </x:c>
      <x:c r="H537" s="3" t="inlineStr">
        <x:is>
          <x:t>OSCAR ANDRES  COLLAZOS CAÑON , calle 39a # 50a-87, BOGOTA, CUNDINAMARCA, CO</x:t>
        </x:is>
      </x:c>
      <x:c r="I537" s="3" t="inlineStr">
        <x:is>
          <x:t>3</x:t>
        </x:is>
      </x:c>
      <x:c r="J537" s="3" t="inlineStr">
        <x:is>
          <x:t>11</x:t>
        </x:is>
      </x:c>
      <x:c r="K537" s="3" t="inlineStr">
        <x:is>
          <x:t>3. Bálsamos labiales; bálsamos labiales no medicinales; colorantes labiales [cosméticos]; colorantes labiales [productos; cosméticos]; lápices labiales; lápices labiales hidratantes; paletas de brillos labiales; cremas, leches, lociones, geles y; polvos cosméticos para la cara, el cuerpo y las manos; polvos compactos para polveras; polvos compactos para polveras; [cosméticos]; polvos compactos para polveras cosméticas; cremas acondicionadoras para la piel, de uso cosmético; cremas; antiarrugas; cremas antiarrugas para uso cosmético; cremas antienvejecimiento; cremas autobronceadoras; cremas; bronceadoras; cremas bronceadoras para la piel; cremas bálsamos de belleza; cremas capilares; cremas con filtro solar; cremas con retinol para uso cosmético; cremas con vitamina a para uso cosmético; cremas contra las pecas; cremas; corporales; cremas corporales [cosméticos]; cremas cosmética para el cuerpo; cremas cosméticas para pieles secas; cremas; cosméticas para reafirmar la piel; cremas cosméticas reafirmantes para el contorno de ojos; cremas de afeitar; cremas de; belleza; cremas de belleza para el rostro y el cuerpo; cremas de hidratación intensiva; cremas de limpieza [cosméticos]; cremas de limpieza [productos cosméticos]; cremas depilatorias; cremas desmaquillantes; cremas exfoliantes para uso; cosmético; cremas faciales; cremas faciales para uso cosmético; cremas hidratantes para después del afeitado; cremas no; medicadas para aliviar la piel; cremas no medicadas para exfoliantes faciales; cremas no medicadas para la piel; cremas no; medicadas para la protección de la piel; cremas no medicinales para aclarar la piel; cremas no medicinales para después de; afeitar; cremas no medicinales para el cuidado de la piel; cremas para atenuar las manchas de la vejez; cremas para atenuar; las manchas de la vejez de uso cosmético; cremas para las manos de uso cosmético; acondicionadores de cabello; ceras; para el cuidado del cabello; champúes para el cabello; champús para el cabello humano; enjuagues para el cabello de uso; cosmético; hidratantes para el cabello; jabones líquidos para el cabello y el cuerpo;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máscaras para el cabello; máscaras para el; cabello y el cuero cabelludo; preparaciones cosméticas para el cabello y el cuero cabelludo; preparaciones para alisar el; cabello; tratamientos de alisado para el cabello; tratamientos de permanente del cabello; tratamientos de queratina para el; cabello; bases de maquillaje; bases de maquillaje en crema; bases de maquillaje líquidas; bases de maquillaje para la piel; kits de cosméticos que comprenden principalmente máscara de pestañas, lápices de labios, lápices de cejas, maquillaje,; fundación de maquillaje y brillos de labios; kits de maquillaje que consisten principalmente en bases de maquillaje, rímeles,; coloretes, brillos de labios y lápices de labios [sin incluir pinceles ni esponjas]; lápices de maquillaje; maquillaje; maquillaje; para el cuerpo; maquillaje para el rostro; maquillaje para la cara y el cuerpo; maquillaje para la piel; maquillaje para los ojos; maquillaje para polveras; maquillajes de base; maquillajes de base en crema; maquillajes de ojos; polvos de maquillaje; preparaciones de maquillaje para el rostro y el cuerpo; aclaradores de uñas; bases para esmaltes de uñas; brillantina para; las uñas; brillos de uñas para aplicar sobre el esmalte; esmaltes de base para las uñas [productos cosméticos]; esmaltes de; uñas; esmaltes de uñas para uso cosmético; esmaltes de uñas y quitaesmaltes; fortalecedores de uñas; kits para el cuidado; de las uñas que comprenden esmaltes de uñas, quitaesmaltes y uñas postizas; jabones antitranspirantes para los pies; jabones cosméticos; jabones de baño; jabones en forma líquida; jabones faciales; jabones líquidos no medicinales; jabones; para el cuidado del cuerpo; jabones para la piel; jabones para las manos; jabones para uso personal.
</x:t>
        </x:is>
      </x:c>
      <x:c r="L537" s="3" t="inlineStr">
        <x:is>
          <x:t>Sí</x:t>
        </x:is>
      </x:c>
      <x:c r="M537" s="3" t="inlineStr">
        <x:is>
          <x:t/>
        </x:is>
      </x:c>
      <x:c r="N537" s="3" t="inlineStr">
        <x:is>
          <x:t/>
        </x:is>
      </x:c>
      <x:c r="O537" s="3" t="inlineStr">
        <x:is>
          <x:t>31 jul. 2023</x:t>
        </x:is>
      </x:c>
      <x:c r="P537" s="3" t="inlineStr">
        <x:is>
          <x:t/>
        </x:is>
      </x:c>
      <x:c r="Q537" s="3" t="inlineStr">
        <x:is>
          <x:t/>
        </x:is>
      </x:c>
    </x:row>
    <x:row r="538">
      <x:c r="A538" s="10" t="inlineStr">
        <x:f xml:space="preserve">HYPERLINK("http://sipi.sic.gov.co/sipi/View.ashx?4413758","SD2022/0107437")</x:f>
      </x:c>
      <x:c r="B538" s="3" t="inlineStr">
        <x:is>
          <x:t>POCION BOREAL</x:t>
        </x:is>
      </x:c>
      <x:c r="C538" s="9" t="inlineStr">
        <x:is>
          <x:t/>
        </x:is>
      </x:c>
      <x:c r="D538" s="3" t="inlineStr">
        <x:is>
          <x:t>19 oct. 2022</x:t>
        </x:is>
      </x:c>
      <x:c r="E538" s="3" t="inlineStr">
        <x:is>
          <x:t/>
        </x:is>
      </x:c>
      <x:c r="F538" s="3" t="inlineStr">
        <x:is>
          <x:t>Negada</x:t>
        </x:is>
      </x:c>
      <x:c r="G538" s="3" t="inlineStr">
        <x:is>
          <x:t/>
        </x:is>
      </x:c>
      <x:c r="H538" s="3" t="inlineStr">
        <x:is>
          <x:t>HECTOR FABIO ARISTIZABAL GRISALES, CARRERA 10 N° 57 - 04, CALI, VALLE DEL CAUCA, CO</x:t>
        </x:is>
      </x:c>
      <x:c r="I538" s="3" t="inlineStr">
        <x:is>
          <x:t>3</x:t>
        </x:is>
      </x:c>
      <x:c r="J538" s="3" t="inlineStr">
        <x:is>
          <x:t>11</x:t>
        </x:is>
      </x:c>
      <x:c r="K538" s="3" t="inlineStr">
        <x:is>
          <x:t>3. Productos destinados para tratamientos de belleza de uso cosméticos tales como: geles, cremas, leches, lociones, gel y polvos para la cara y las manos; preparaciones para el bronceado y cuidado de la piel por el sol (productos cosméticos); agua de tocador; jabones de tocador; desodorantes para el cuerpo( de uso cosmético); preparaciones para maquillaje, aceites esenciales para uso personal, preparaciones cosméticas para el cuidado de las uñas, esmalte de uñas, removedores, dilusor de esmaltes, base fortalecedora de uñas, brillo secante, aceite humectante para uñas, barniz de uñas, removedores de barnices, lacas para el pintado, abrillantado, delineado, cuidado fortalecimiento y secado de las uñas; removedor de cutícula, gel antibacterial, jabón líquido, desodorantes, lápices para las cejas, labiales, maquillaje para uso cosmético, tónicos para la piel, tónicos cosméticos para la cara, toallitas para la higiene femenina no medicinal, toallitas o paños impregnados de productos limpiadores para la piel [de uso cosmético]; toallitas impregnadas de productos cosméticos; toallitas impregnadas de aceites esenciales, para uso cosmético; toallitas impregnadas con sustancias cosméticas; talco de tocador; sueros no medicinales para la piel de uso cosmético; sueros de belleza; sprays para el cuerpo [de uso cosmético]; sombras de ojos en polvo o en lápiz; sales de baño para uso cosmético; sales de baño no medicinales; revitalizantes cutáneos de uso cosmético; protectores labiales no medicinales; productos hidratantes antienvejecimiento; productos de tocador no medicinales; productos depilatorios; productos de perfumería, fragancias e incienso; aceites esenciales; productos de aromaterapia; preparaciones para baños de espuma [para uso cosmético]; preparaciones para antes y después del afeitado; preparaciones de afeitar y para antes y después de afeitar, incluidos geles, cremas y espumas; productos de tocador; aceites para el cabello, aceites para el cuerpo de uso cosmético aceites para masajes; aceites perfumados (de uso cosmético).
</x:t>
        </x:is>
      </x:c>
      <x:c r="L538" s="3" t="inlineStr">
        <x:is>
          <x:t>No</x:t>
        </x:is>
      </x:c>
      <x:c r="M538" s="3" t="inlineStr">
        <x:is>
          <x:t>AIDA LUCIA CERTUCHE CANDELO, CL 64N 5BN 145 OF 314A, CALI, VALLE DEL CAUCA, CO</x:t>
        </x:is>
      </x:c>
      <x:c r="N538" s="3" t="inlineStr">
        <x:is>
          <x:t/>
        </x:is>
      </x:c>
      <x:c r="O538" s="3" t="inlineStr">
        <x:is>
          <x:t>16 feb. 2023</x:t>
        </x:is>
      </x:c>
      <x:c r="P538" s="3" t="inlineStr">
        <x:is>
          <x:t/>
        </x:is>
      </x:c>
      <x:c r="Q538" s="3" t="inlineStr">
        <x:is>
          <x:t/>
        </x:is>
      </x:c>
    </x:row>
    <x:row r="539">
      <x:c r="A539" s="10" t="inlineStr">
        <x:f xml:space="preserve">HYPERLINK("http://sipi.sic.gov.co/sipi/View.ashx?4413885","SD2022/0108410")</x:f>
      </x:c>
      <x:c r="B539" s="3" t="inlineStr">
        <x:is>
          <x:t>Beetles Gel Polish </x:t>
        </x:is>
      </x:c>
      <x:c r="C539" s="3" t="inlineStr">
        <x:is>
          <x:t/>
        </x:is>
      </x:c>
      <x:c r="D539" s="3" t="inlineStr">
        <x:is>
          <x:t>21 oct. 2022</x:t>
        </x:is>
      </x:c>
      <x:c r="E539" s="3" t="inlineStr">
        <x:is>
          <x:t/>
        </x:is>
      </x:c>
      <x:c r="F539" s="3" t="inlineStr">
        <x:is>
          <x:t>Negada</x:t>
        </x:is>
      </x:c>
      <x:c r="G539" s="3" t="inlineStr">
        <x:is>
          <x:t>SUNNY</x:t>
        </x:is>
      </x:c>
      <x:c r="H539" s="3" t="inlineStr">
        <x:is>
          <x:t>GUANGXI LIU, Room 202, Unit 1, Building 33, No. 108 Qingyi Road, Fenyi Town, Fenyi County, Xinyu City, Jiangxi Province, China, XINYU, JIANGXI, CN</x:t>
        </x:is>
      </x:c>
      <x:c r="I539" s="3" t="inlineStr">
        <x:is>
          <x:t>3</x:t>
        </x:is>
      </x:c>
      <x:c r="J539" s="3" t="inlineStr">
        <x:is>
          <x:t>11</x:t>
        </x:is>
      </x:c>
      <x:c r="K539" s="3" t="inlineStr">
        <x:is>
          <x:t>3. Aceite de lavanda; esencia de menta en cuanto aceites esenciales; productos de perfumería, aceites esenciales; preparaciones para perfumar salas; preparaciones para retirar uñas de gel; disolventes para quitar adhesivos para uso cosmético; disolventes de pegamento para uso cosmético; quitaesmaltes; cosméticos; dentífricos; adhesivos para postizos capilares; adhesivos para uñas postizas; productos para perfumar el ambiente; aceites esenciales aromáticos; jabones de baño; agentes y preparaciones de limpieza; lápices para uso cosmético; Productos cosméticos para secar las uñas; cosméticos para animales; productos cosméticos para niños; uñas postizas; Inciensos fumigadores [Kunko]; aceites para el cabello; champús para el cabello; productos para quitar lacas; pegatinas decorativas para uñas; preparaciones para pulir las uñas; productos para el cuidado de las uñas; Gel para uñas; bases para esmaltes de uñas; lápices para aplicar el esmalte de uñas; esmaltes de uñas de acabado; Polvos para esmalte de uñas; endurecedores de uñas; esmaltes de uñas; aceites esenciales naturales; aceites para uso cosmético; cremas para pulir; preparaciones para lustrar, fregar y raspar; aerosoles perfumados para interiores; productos para quitar barnices; lápices quitaesmaltes; Adhesivos [pegamentos] para uso cosmético; Quitaesmaltes de uñas [cosméticos]; Lápices quitaesmaltes de uñas; Cremas para las uñas; Esmalte de uñas.
</x:t>
        </x:is>
      </x:c>
      <x:c r="L539" s="3" t="inlineStr">
        <x:is>
          <x:t>No</x:t>
        </x:is>
      </x:c>
      <x:c r="M539" s="3" t="inlineStr">
        <x:is>
          <x:t>CLEMENCIA DELGADO VILLEGAS, Avenida Carrera  24 # 37-31 Oficina 202, BOGOTÁ, D.C., CO</x:t>
        </x:is>
      </x:c>
      <x:c r="N539" s="3" t="inlineStr">
        <x:is>
          <x:t/>
        </x:is>
      </x:c>
      <x:c r="O539" s="3" t="inlineStr">
        <x:is>
          <x:t>26 ene. 2023</x:t>
        </x:is>
      </x:c>
      <x:c r="P539" s="3" t="inlineStr">
        <x:is>
          <x:t/>
        </x:is>
      </x:c>
      <x:c r="Q539" s="3" t="inlineStr">
        <x:is>
          <x:t/>
        </x:is>
      </x:c>
    </x:row>
    <x:row r="540">
      <x:c r="A540" s="10" t="inlineStr">
        <x:f xml:space="preserve">HYPERLINK("http://sipi.sic.gov.co/sipi/View.ashx?4414270","SD2022/0123279")</x:f>
      </x:c>
      <x:c r="B540" s="3" t="inlineStr">
        <x:is>
          <x:t>Feroz Laura Londoño</x:t>
        </x:is>
      </x:c>
      <x:c r="C540" s="9" t="inlineStr">
        <x:is>
          <x:t/>
        </x:is>
      </x:c>
      <x:c r="D540" s="3" t="inlineStr">
        <x:is>
          <x:t>29 nov. 2022</x:t>
        </x:is>
      </x:c>
      <x:c r="E540" s="3" t="inlineStr">
        <x:is>
          <x:t/>
        </x:is>
      </x:c>
      <x:c r="F540" s="3" t="inlineStr">
        <x:is>
          <x:t>Negada</x:t>
        </x:is>
      </x:c>
      <x:c r="G540" s="3" t="inlineStr">
        <x:is>
          <x:t>Feroz Laura Londoño</x:t>
        </x:is>
      </x:c>
      <x:c r="H540" s="3" t="inlineStr">
        <x:is>
          <x:t>Laura  Londoño tapia, Calle 80 #7-89, BOGOTÁ, D.C., CO;  ZEG SAS, CARRERA 15 NO. 88-64 OF 501, BOGOTÁ, D.C., CO</x:t>
        </x:is>
      </x:c>
      <x:c r="I540" s="3" t="inlineStr">
        <x:is>
          <x:t>3, 25, 35</x:t>
        </x:is>
      </x:c>
      <x:c r="J540" s="3" t="inlineStr">
        <x:is>
          <x:t>11</x:t>
        </x:is>
      </x:c>
      <x:c r="K540" s="3" t="inlineStr">
        <x:is>
          <x:t>3. Cosméticos; cosméticos de belleza; cosméticos en forma de cremas; cosméticos en forma de polvos; cosméticos y preparaciones cosméticas; perfumería y fragancias; perfumes; perfumes líquidos; perfumes y colonias.
25. Prendas de vestir para mujeres, hombres y niños; prendas de vestir para seres humanos.
35. Servicios de venta de tienda al por menor en línea de productos cosméticos y de belleza; servicios de venta de tienda al por menor en línea en relación con prendas de vestir; servicios de venta al por mayor en línea; servicios de venta al por mayor y al por menor.
</x:t>
        </x:is>
      </x:c>
      <x:c r="L540" s="3" t="inlineStr">
        <x:is>
          <x:t>No</x:t>
        </x:is>
      </x:c>
      <x:c r="M540" s="3" t="inlineStr">
        <x:is>
          <x:t>SAMIRA ASTRID ROSALES CEBALLOS , calle 125 # 70F-50, BOGOTÁ, D.C. 111121, CO</x:t>
        </x:is>
      </x:c>
      <x:c r="N540" s="3" t="inlineStr">
        <x:is>
          <x:t/>
        </x:is>
      </x:c>
      <x:c r="O540" s="3" t="inlineStr">
        <x:is>
          <x:t>20 dic. 2023</x:t>
        </x:is>
      </x:c>
      <x:c r="P540" s="3" t="inlineStr">
        <x:is>
          <x:t/>
        </x:is>
      </x:c>
      <x:c r="Q540" s="3" t="inlineStr">
        <x:is>
          <x:t/>
        </x:is>
      </x:c>
    </x:row>
    <x:row r="541">
      <x:c r="A541" s="10" t="inlineStr">
        <x:f xml:space="preserve">HYPERLINK("http://sipi.sic.gov.co/sipi/View.ashx?4415038","SD2022/0107898")</x:f>
      </x:c>
      <x:c r="B541" s="3" t="inlineStr">
        <x:is>
          <x:t>GUARANÁ CAFFEINE+ COMPLEX </x:t>
        </x:is>
      </x:c>
      <x:c r="C541" s="3" t="inlineStr">
        <x:is>
          <x:t/>
        </x:is>
      </x:c>
      <x:c r="D541" s="3" t="inlineStr">
        <x:is>
          <x:t>20 oct. 2022</x:t>
        </x:is>
      </x:c>
      <x:c r="E541" s="3" t="inlineStr">
        <x:is>
          <x:t/>
        </x:is>
      </x:c>
      <x:c r="F541" s="3" t="inlineStr">
        <x:is>
          <x:t>Negada</x:t>
        </x:is>
      </x:c>
      <x:c r="G541" s="3" t="inlineStr">
        <x:is>
          <x:t>M 2022/33114</x:t>
        </x:is>
      </x:c>
      <x:c r="H541" s="3" t="inlineStr">
        <x:is>
          <x:t> Sol de Janeiro IP, Inc., 60 E. 42nd Street, 19th Floor, New York, New York 10165, United States, NEW YORK, NEW YORK, US</x:t>
        </x:is>
      </x:c>
      <x:c r="I541" s="3" t="inlineStr">
        <x:is>
          <x:t>3</x:t>
        </x:is>
      </x:c>
      <x:c r="J541" s="3" t="inlineStr">
        <x:is>
          <x:t>11</x:t>
        </x:is>
      </x:c>
      <x:c r="K541" s="3" t="inlineStr">
        <x:is>
          <x:t>3. Cosméticos; preparaciones para el cuidado de la piel no medicinales.
</x:t>
        </x:is>
      </x:c>
      <x:c r="L541" s="3" t="inlineStr">
        <x:is>
          <x:t>No</x:t>
        </x:is>
      </x:c>
      <x:c r="M541" s="3" t="inlineStr">
        <x:is>
          <x:t>CAROLINA MERCEDES DAZA MONTALVO, CARRERA 11 No. 86 - 53 PISO 6, BOGOTÁ, D.C., CO</x:t>
        </x:is>
      </x:c>
      <x:c r="N541" s="3" t="inlineStr">
        <x:is>
          <x:t/>
        </x:is>
      </x:c>
      <x:c r="O541" s="3" t="inlineStr">
        <x:is>
          <x:t>20 dic. 2022</x:t>
        </x:is>
      </x:c>
      <x:c r="P541" s="3" t="inlineStr">
        <x:is>
          <x:t/>
        </x:is>
      </x:c>
      <x:c r="Q541" s="3" t="inlineStr">
        <x:is>
          <x:t/>
        </x:is>
      </x:c>
    </x:row>
    <x:row r="542">
      <x:c r="A542" s="10" t="inlineStr">
        <x:f xml:space="preserve">HYPERLINK("http://sipi.sic.gov.co/sipi/View.ashx?4415302","SD2022/0108044")</x:f>
      </x:c>
      <x:c r="B542" s="3" t="inlineStr">
        <x:is>
          <x:t>LUSIICA DESTACA TU IMAGEN</x:t>
        </x:is>
      </x:c>
      <x:c r="C542" s="9" t="inlineStr">
        <x:is>
          <x:t/>
        </x:is>
      </x:c>
      <x:c r="D542" s="3" t="inlineStr">
        <x:is>
          <x:t>20 oct. 2022</x:t>
        </x:is>
      </x:c>
      <x:c r="E542" s="3" t="inlineStr">
        <x:is>
          <x:t/>
        </x:is>
      </x:c>
      <x:c r="F542" s="3" t="inlineStr">
        <x:is>
          <x:t>Negada</x:t>
        </x:is>
      </x:c>
      <x:c r="G542" s="3" t="inlineStr">
        <x:is>
          <x:t/>
        </x:is>
      </x:c>
      <x:c r="H542" s="3" t="inlineStr">
        <x:is>
          <x:t>Luis Vicente  Pinillos Romero, Calle 41 #26-39, BOGOTÁ, D.C. 111311, CO</x:t>
        </x:is>
      </x:c>
      <x:c r="I542" s="3" t="inlineStr">
        <x:is>
          <x:t>3</x:t>
        </x:is>
      </x:c>
      <x:c r="J542" s="3" t="inlineStr">
        <x:is>
          <x:t>11</x:t>
        </x:is>
      </x:c>
      <x:c r="K542" s="3" t="inlineStr">
        <x:is>
          <x:t>3. Productos cosméticos, tónico capilar y barba.
</x:t>
        </x:is>
      </x:c>
      <x:c r="L542" s="3" t="inlineStr">
        <x:is>
          <x:t>No</x:t>
        </x:is>
      </x:c>
      <x:c r="M542" s="3" t="inlineStr">
        <x:is>
          <x:t/>
        </x:is>
      </x:c>
      <x:c r="N542" s="3" t="inlineStr">
        <x:is>
          <x:t/>
        </x:is>
      </x:c>
      <x:c r="O542" s="3" t="inlineStr">
        <x:is>
          <x:t>06 feb. 2023</x:t>
        </x:is>
      </x:c>
      <x:c r="P542" s="3" t="inlineStr">
        <x:is>
          <x:t/>
        </x:is>
      </x:c>
      <x:c r="Q542" s="3" t="inlineStr">
        <x:is>
          <x:t/>
        </x:is>
      </x:c>
    </x:row>
    <x:row r="543">
      <x:c r="A543" s="10" t="inlineStr">
        <x:f xml:space="preserve">HYPERLINK("http://sipi.sic.gov.co/sipi/View.ashx?4415751","SD2022/0108179")</x:f>
      </x:c>
      <x:c r="B543" s="3" t="inlineStr">
        <x:is>
          <x:t>PETAMOR</x:t>
        </x:is>
      </x:c>
      <x:c r="C543" s="9" t="inlineStr">
        <x:is>
          <x:t/>
        </x:is>
      </x:c>
      <x:c r="D543" s="3" t="inlineStr">
        <x:is>
          <x:t>20 oct. 2022</x:t>
        </x:is>
      </x:c>
      <x:c r="E543" s="3" t="inlineStr">
        <x:is>
          <x:t/>
        </x:is>
      </x:c>
      <x:c r="F543" s="3" t="inlineStr">
        <x:is>
          <x:t>Negada</x:t>
        </x:is>
      </x:c>
      <x:c r="G543" s="3" t="inlineStr">
        <x:is>
          <x:t>PETAMOR</x:t>
        </x:is>
      </x:c>
      <x:c r="H543" s="3" t="inlineStr">
        <x:is>
          <x:t> FLOW CHEM S.A.S., CRA. 51B NO. 12 SUR-62, MEDELLIN, ANTIOQUIA, CO</x:t>
        </x:is>
      </x:c>
      <x:c r="I543" s="3" t="inlineStr">
        <x:is>
          <x:t>3, 5, 31</x:t>
        </x:is>
      </x:c>
      <x:c r="J543" s="3" t="inlineStr">
        <x:is>
          <x:t>11</x:t>
        </x:is>
      </x:c>
      <x:c r="K543" s="3" t="inlineStr">
        <x:is>
          <x:t>3. Almohadillas, toallitas o pañitos de limpieza prehumedecidos o impregnados; almohadillas, toallitas o pañitos húmedos o impregnados de preparaciones limpiadoras; desodorantes para mascotas; desodorizantes para mascotas; toallitas impregnadas con preparaciones de limpieza para mascotas; productos cosméticos para el cuidado de la piel de los perros; productos para lavar perros [champús]; champús no medicinales para animales de compañía [preparaciones de aseo, que no sean para uso veterinario].
5. Collares antipulgas para mascotas; complementos vitamínicos y minerales para mascotas; envolturas sanitarias [pañales para mascotas]; kits de primeros auxilios para mascotas; preparaciones desodorantes de bandejas higiénicas para mascotas; preparaciones para neutralizar los olores dejados por las mascotas; detergentes para uso veterinario; enjuagues bucales para uso veterinario; desinfectantes para uso veterinario; lociones para perros para uso veterinario; marihuana para uso veterinario; preparaciones químicas para uso veterinario; toallitas antibacterianas para uso veterinario.
31. Alimentos para perros; bebidas para perros; comida para perros; lechos higiénicos para gatos.
</x:t>
        </x:is>
      </x:c>
      <x:c r="L543" s="3" t="inlineStr">
        <x:is>
          <x:t>Sí</x:t>
        </x:is>
      </x:c>
      <x:c r="M543" s="3" t="inlineStr">
        <x:is>
          <x:t>CARLOS ALBERTO CARVAJAL MONTOYA, Carrera 2 No 74-33 , BOGOTÁ, D.C., CO</x:t>
        </x:is>
      </x:c>
      <x:c r="N543" s="3" t="inlineStr">
        <x:is>
          <x:t/>
        </x:is>
      </x:c>
      <x:c r="O543" s="3" t="inlineStr">
        <x:is>
          <x:t>31 oct. 2022</x:t>
        </x:is>
      </x:c>
      <x:c r="P543" s="3" t="inlineStr">
        <x:is>
          <x:t/>
        </x:is>
      </x:c>
      <x:c r="Q543" s="3" t="inlineStr">
        <x:is>
          <x:t/>
        </x:is>
      </x:c>
    </x:row>
    <x:row r="544">
      <x:c r="A544" s="10" t="inlineStr">
        <x:f xml:space="preserve">HYPERLINK("http://sipi.sic.gov.co/sipi/View.ashx?4417072","SD2022/0110599")</x:f>
      </x:c>
      <x:c r="B544" s="3" t="inlineStr">
        <x:is>
          <x:t>SINCE 1979 MARCOPOLO PROFESSIONAL HAIR</x:t>
        </x:is>
      </x:c>
      <x:c r="C544" s="9" t="inlineStr">
        <x:is>
          <x:t/>
        </x:is>
      </x:c>
      <x:c r="D544" s="3" t="inlineStr">
        <x:is>
          <x:t>27 oct. 2022</x:t>
        </x:is>
      </x:c>
      <x:c r="E544" s="3" t="inlineStr">
        <x:is>
          <x:t/>
        </x:is>
      </x:c>
      <x:c r="F544" s="3" t="inlineStr">
        <x:is>
          <x:t>Negada</x:t>
        </x:is>
      </x:c>
      <x:c r="G544" s="3" t="inlineStr">
        <x:is>
          <x:t>marcopolo</x:t>
        </x:is>
      </x:c>
      <x:c r="H544" s="3" t="inlineStr">
        <x:is>
          <x:t>Maria Elena Iglesias Meza, Carrera 28 Calle 25  - 159, BARRANQUILLA, ATLÁNTICO, CO</x:t>
        </x:is>
      </x:c>
      <x:c r="I544" s="3" t="inlineStr">
        <x:is>
          <x:t>3, 44</x:t>
        </x:is>
      </x:c>
      <x:c r="J544" s="3" t="inlineStr">
        <x:is>
          <x:t>11</x:t>
        </x:is>
      </x:c>
      <x:c r="K544" s="3" t="inlineStr">
        <x:is>
          <x:t>3. Preparaciones cosméticas para el cabello y el cuero cabelludo; preparaciones cosméticas para el cuidado del cabello; preparaciones no medicadas para el cabello; preparaciones para el cuidado y la limpieza del cabello; preparaciones para limpiar, cuidar y arreglar el cabello; preparaciones para limpiar, teñir, colorear, decolorar, marcar y peinar el cabello; productos cosméticos para el cabello y el cuero cabelludo; productos y preparaciones para el cuidado del cabello.
44. Servicios de cuidados de belleza y peluquería; servicios de peluquería; servicios de peluquerías; servicios de peluquerías y salones de belleza; servicios de tratamientos de salud y de belleza prestados por saunas, salones de belleza, sanatorios, peluquerías y salones de masajes.
</x:t>
        </x:is>
      </x:c>
      <x:c r="L544" s="3" t="inlineStr">
        <x:is>
          <x:t>No</x:t>
        </x:is>
      </x:c>
      <x:c r="M544" s="3" t="inlineStr">
        <x:is>
          <x:t>Helena Novoa, Cra 86c 53c 41 Cerezos de Calasania Apto 723, MEDELLIN, ANTIOQUIA 0500, CO</x:t>
        </x:is>
      </x:c>
      <x:c r="N544" s="3" t="inlineStr">
        <x:is>
          <x:t/>
        </x:is>
      </x:c>
      <x:c r="O544" s="3" t="inlineStr">
        <x:is>
          <x:t>31 oct. 2022</x:t>
        </x:is>
      </x:c>
      <x:c r="P544" s="3" t="inlineStr">
        <x:is>
          <x:t/>
        </x:is>
      </x:c>
      <x:c r="Q544" s="3" t="inlineStr">
        <x:is>
          <x:t/>
        </x:is>
      </x:c>
    </x:row>
    <x:row r="545">
      <x:c r="A545" s="10" t="inlineStr">
        <x:f xml:space="preserve">HYPERLINK("http://sipi.sic.gov.co/sipi/View.ashx?4417202","SD2022/0110160")</x:f>
      </x:c>
      <x:c r="B545" s="3" t="inlineStr">
        <x:is>
          <x:t>ROUTINE BY JEFF SALAMANCA</x:t>
        </x:is>
      </x:c>
      <x:c r="C545" s="9" t="inlineStr">
        <x:is>
          <x:t/>
        </x:is>
      </x:c>
      <x:c r="D545" s="3" t="inlineStr">
        <x:is>
          <x:t>26 oct. 2022</x:t>
        </x:is>
      </x:c>
      <x:c r="E545" s="3" t="inlineStr">
        <x:is>
          <x:t/>
        </x:is>
      </x:c>
      <x:c r="F545" s="3" t="inlineStr">
        <x:is>
          <x:t>Negada</x:t>
        </x:is>
      </x:c>
      <x:c r="G545" s="3" t="inlineStr">
        <x:is>
          <x:t>ROUTINE JEFF</x:t>
        </x:is>
      </x:c>
      <x:c r="H545" s="3" t="inlineStr">
        <x:is>
          <x:t>JENNIFFER ALEXANDRA SALAMANCA SANCHEZ , AK 45 # 114-44, BOGOTÁ, D.C. 110011, CO</x:t>
        </x:is>
      </x:c>
      <x:c r="I545" s="3" t="inlineStr">
        <x:is>
          <x:t>3</x:t>
        </x:is>
      </x:c>
      <x:c r="J545" s="3" t="inlineStr">
        <x:is>
          <x:t>11</x:t>
        </x:is>
      </x:c>
      <x:c r="K545" s="3" t="inlineStr">
        <x:is>
          <x:t>3. Preparaciones de tocador no medicinales; productos de tocador; preparaciones para el cuidado de la piel; hidratantes para la piel; tónicos para la piel; preparaciones para cuidados corporales y de belleza; polvos, polvos cosméticos; cremas y lociones para la cara, las manos y el cuerpo; exfoliantes para uso cosmético; lociones y aceites de protección solar; jabones; preparaciones de baño y ducha; geles de baño, aceites de baño; mascarillas de belleza; talco; lacas de uñas; quitaesmaltes; productos cosméticos; cremas para los ojos; geles para los ojos; lociones para los ojos; desmaquillantes de ojos; sombras de ojos; perfiladores de ojos; cosméticos para las cejas; máscara de pestañas; barras de labios; perfiladores de labios; brillos de labios; bálsamos labiales; bases de maquillaje; antiojeras; colorete; toallitas impregnadas de lociones cosméticas; toallitas impregnadas de polvos cosméticos; bastoncillos de algodón para uso cosmético; algodón para uso cosmético; preparaciones para limpiar, hidratar, teñir y peinar el cabello; champús, acondicionadores, lacas y geles para el cabello; perfumes; fragancias; aguas de tocador; colonias; ambientadores; desodorantes personales; antitranspirantes para uso personal (productos de tocador); aceites esenciales (cosméticos); aceites de perfumería.
</x:t>
        </x:is>
      </x:c>
      <x:c r="L545" s="3" t="inlineStr">
        <x:is>
          <x:t>No</x:t>
        </x:is>
      </x:c>
      <x:c r="M545" s="3" t="inlineStr">
        <x:is>
          <x:t>ANDREA DONATO CASTILLO, Carrera 10 # 97 A- 13 oficina 202 torre B Edificio Bogotá Trade Center, BOGOTÁ, D.C., CO</x:t>
        </x:is>
      </x:c>
      <x:c r="N545" s="3" t="inlineStr">
        <x:is>
          <x:t/>
        </x:is>
      </x:c>
      <x:c r="O545" s="3" t="inlineStr">
        <x:is>
          <x:t>09 dic. 2022</x:t>
        </x:is>
      </x:c>
      <x:c r="P545" s="3" t="inlineStr">
        <x:is>
          <x:t/>
        </x:is>
      </x:c>
      <x:c r="Q545" s="3" t="inlineStr">
        <x:is>
          <x:t/>
        </x:is>
      </x:c>
    </x:row>
    <x:row r="546">
      <x:c r="A546" s="10" t="inlineStr">
        <x:f xml:space="preserve">HYPERLINK("http://sipi.sic.gov.co/sipi/View.ashx?4417378","SD2022/0108538")</x:f>
      </x:c>
      <x:c r="B546" s="3" t="inlineStr">
        <x:is>
          <x:t>ISAFER</x:t>
        </x:is>
      </x:c>
      <x:c r="C546" s="3" t="inlineStr">
        <x:is>
          <x:t/>
        </x:is>
      </x:c>
      <x:c r="D546" s="3" t="inlineStr">
        <x:is>
          <x:t>21 oct. 2022</x:t>
        </x:is>
      </x:c>
      <x:c r="E546" s="3" t="inlineStr">
        <x:is>
          <x:t/>
        </x:is>
      </x:c>
      <x:c r="F546" s="3" t="inlineStr">
        <x:is>
          <x:t>Negada</x:t>
        </x:is>
      </x:c>
      <x:c r="G546" s="3" t="inlineStr">
        <x:is>
          <x:t/>
        </x:is>
      </x:c>
      <x:c r="H546" s="3" t="inlineStr">
        <x:is>
          <x:t> FARMET DISTRIBUCIONES S.A.S, cra 73b bis 3 52Calle 124 57 45 Apartamento 206 Torre 3 BOGOTÁ D.C. , BOGOTA, CUNDINAMARCA 111171, CO</x:t>
        </x:is>
      </x:c>
      <x:c r="I546" s="3" t="inlineStr">
        <x:is>
          <x:t>3</x:t>
        </x:is>
      </x:c>
      <x:c r="J546" s="3" t="inlineStr">
        <x:is>
          <x:t>11</x:t>
        </x:is>
      </x:c>
      <x:c r="K54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46" s="3" t="inlineStr">
        <x:is>
          <x:t>No</x:t>
        </x:is>
      </x:c>
      <x:c r="M546" s="3" t="inlineStr">
        <x:is>
          <x:t>JOAQUÍN GARCÍA MONROY, Calle 124 57 45 Apartamento 206  Torre 3 , BOGOTÁ, D.C. 111171, CO</x:t>
        </x:is>
      </x:c>
      <x:c r="N546" s="3" t="inlineStr">
        <x:is>
          <x:t/>
        </x:is>
      </x:c>
      <x:c r="O546" s="3" t="inlineStr">
        <x:is>
          <x:t>26 ene. 2023</x:t>
        </x:is>
      </x:c>
      <x:c r="P546" s="3" t="inlineStr">
        <x:is>
          <x:t/>
        </x:is>
      </x:c>
      <x:c r="Q546" s="3" t="inlineStr">
        <x:is>
          <x:t/>
        </x:is>
      </x:c>
    </x:row>
    <x:row r="547">
      <x:c r="A547" s="10" t="inlineStr">
        <x:f xml:space="preserve">HYPERLINK("http://sipi.sic.gov.co/sipi/View.ashx?4417401","SD2022/0108544")</x:f>
      </x:c>
      <x:c r="B547" s="3" t="inlineStr">
        <x:is>
          <x:t>ESCAREX</x:t>
        </x:is>
      </x:c>
      <x:c r="C547" s="3" t="inlineStr">
        <x:is>
          <x:t/>
        </x:is>
      </x:c>
      <x:c r="D547" s="3" t="inlineStr">
        <x:is>
          <x:t>21 oct. 2022</x:t>
        </x:is>
      </x:c>
      <x:c r="E547" s="3" t="inlineStr">
        <x:is>
          <x:t/>
        </x:is>
      </x:c>
      <x:c r="F547" s="3" t="inlineStr">
        <x:is>
          <x:t>Negada</x:t>
        </x:is>
      </x:c>
      <x:c r="G547" s="3" t="inlineStr">
        <x:is>
          <x:t/>
        </x:is>
      </x:c>
      <x:c r="H547" s="3" t="inlineStr">
        <x:is>
          <x:t> FARMET DISTRIBUCIONES S.A.S, cra 73b bis 3 52Calle 124 57 45 Apartamento 206 Torre 3 BOGOTÁ D.C. , BOGOTA, CUNDINAMARCA 111171, CO</x:t>
        </x:is>
      </x:c>
      <x:c r="I547" s="3" t="inlineStr">
        <x:is>
          <x:t>3</x:t>
        </x:is>
      </x:c>
      <x:c r="J547" s="3" t="inlineStr">
        <x:is>
          <x:t>11</x:t>
        </x:is>
      </x:c>
      <x:c r="K54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47" s="3" t="inlineStr">
        <x:is>
          <x:t>No</x:t>
        </x:is>
      </x:c>
      <x:c r="M547" s="3" t="inlineStr">
        <x:is>
          <x:t>JOAQUÍN GARCÍA MONROY, Calle 124 57 45 Apartamento 206  Torre 3 , BOGOTÁ, D.C. 111171, CO</x:t>
        </x:is>
      </x:c>
      <x:c r="N547" s="3" t="inlineStr">
        <x:is>
          <x:t/>
        </x:is>
      </x:c>
      <x:c r="O547" s="3" t="inlineStr">
        <x:is>
          <x:t>26 ene. 2023</x:t>
        </x:is>
      </x:c>
      <x:c r="P547" s="3" t="inlineStr">
        <x:is>
          <x:t/>
        </x:is>
      </x:c>
      <x:c r="Q547" s="3" t="inlineStr">
        <x:is>
          <x:t/>
        </x:is>
      </x:c>
    </x:row>
    <x:row r="548">
      <x:c r="A548" s="10" t="inlineStr">
        <x:f xml:space="preserve">HYPERLINK("http://sipi.sic.gov.co/sipi/View.ashx?4417419","SD2022/0108547")</x:f>
      </x:c>
      <x:c r="B548" s="3" t="inlineStr">
        <x:is>
          <x:t>CICADEXX NF</x:t>
        </x:is>
      </x:c>
      <x:c r="C548" s="3" t="inlineStr">
        <x:is>
          <x:t/>
        </x:is>
      </x:c>
      <x:c r="D548" s="3" t="inlineStr">
        <x:is>
          <x:t>21 oct. 2022</x:t>
        </x:is>
      </x:c>
      <x:c r="E548" s="3" t="inlineStr">
        <x:is>
          <x:t/>
        </x:is>
      </x:c>
      <x:c r="F548" s="3" t="inlineStr">
        <x:is>
          <x:t>Negada</x:t>
        </x:is>
      </x:c>
      <x:c r="G548" s="3" t="inlineStr">
        <x:is>
          <x:t/>
        </x:is>
      </x:c>
      <x:c r="H548" s="3" t="inlineStr">
        <x:is>
          <x:t> FARMET DISTRIBUCIONES S.A.S, cra 73b bis 3 52Calle 124 57 45 Apartamento 206 Torre 3 BOGOTÁ D.C. , BOGOTA, CUNDINAMARCA 111171, CO</x:t>
        </x:is>
      </x:c>
      <x:c r="I548" s="3" t="inlineStr">
        <x:is>
          <x:t>3</x:t>
        </x:is>
      </x:c>
      <x:c r="J548" s="3" t="inlineStr">
        <x:is>
          <x:t>11</x:t>
        </x:is>
      </x:c>
      <x:c r="K54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48" s="3" t="inlineStr">
        <x:is>
          <x:t>No</x:t>
        </x:is>
      </x:c>
      <x:c r="M548" s="3" t="inlineStr">
        <x:is>
          <x:t>JOAQUÍN GARCÍA MONROY, Calle 124 57 45 Apartamento 206  Torre 3 , BOGOTÁ, D.C. 111171, CO</x:t>
        </x:is>
      </x:c>
      <x:c r="N548" s="3" t="inlineStr">
        <x:is>
          <x:t/>
        </x:is>
      </x:c>
      <x:c r="O548" s="3" t="inlineStr">
        <x:is>
          <x:t>20 dic. 2022</x:t>
        </x:is>
      </x:c>
      <x:c r="P548" s="3" t="inlineStr">
        <x:is>
          <x:t/>
        </x:is>
      </x:c>
      <x:c r="Q548" s="3" t="inlineStr">
        <x:is>
          <x:t/>
        </x:is>
      </x:c>
    </x:row>
    <x:row r="549">
      <x:c r="A549" s="10" t="inlineStr">
        <x:f xml:space="preserve">HYPERLINK("http://sipi.sic.gov.co/sipi/View.ashx?4418940","SD2022/0109434")</x:f>
      </x:c>
      <x:c r="B549" s="3" t="inlineStr">
        <x:is>
          <x:t>XLitros</x:t>
        </x:is>
      </x:c>
      <x:c r="C549" s="9" t="inlineStr">
        <x:is>
          <x:t/>
        </x:is>
      </x:c>
      <x:c r="D549" s="3" t="inlineStr">
        <x:is>
          <x:t>09 dic. 2022</x:t>
        </x:is>
      </x:c>
      <x:c r="E549" s="3" t="inlineStr">
        <x:is>
          <x:t/>
        </x:is>
      </x:c>
      <x:c r="F549" s="3" t="inlineStr">
        <x:is>
          <x:t>Negada</x:t>
        </x:is>
      </x:c>
      <x:c r="G549" s="3" t="inlineStr">
        <x:is>
          <x:t>Marca XLitros</x:t>
        </x:is>
      </x:c>
      <x:c r="H549" s="3" t="inlineStr">
        <x:is>
          <x:t> PROLIM FABRICANTES S.A.S BIC, Cr 25 # 22-34 - Siete de agosto, ARAUCA, ARAUCA, CO</x:t>
        </x:is>
      </x:c>
      <x:c r="I549" s="3" t="inlineStr">
        <x:is>
          <x:t>3</x:t>
        </x:is>
      </x:c>
      <x:c r="J549" s="3" t="inlineStr">
        <x:is>
          <x:t>11</x:t>
        </x:is>
      </x:c>
      <x:c r="K549" s="3" t="inlineStr">
        <x:is>
          <x:t>3. Preparaciones para blanquear y otras sustancias para lavar la ropa; preparaciones para limpiar, pulir, desengrasar y raspar; jabones no medicinales.
</x:t>
        </x:is>
      </x:c>
      <x:c r="L549" s="3" t="inlineStr">
        <x:is>
          <x:t>No</x:t>
        </x:is>
      </x:c>
      <x:c r="M549" s="3" t="inlineStr">
        <x:is>
          <x:t>NILCY ANDREINA  FLOREZ BUSTAMANTE, carrera 25 22 34, ARAUCA, ARAUCA, CO</x:t>
        </x:is>
      </x:c>
      <x:c r="N549" s="3" t="inlineStr">
        <x:is>
          <x:t/>
        </x:is>
      </x:c>
      <x:c r="O549" s="3" t="inlineStr">
        <x:is>
          <x:t>16 feb. 2023</x:t>
        </x:is>
      </x:c>
      <x:c r="P549" s="3" t="inlineStr">
        <x:is>
          <x:t/>
        </x:is>
      </x:c>
      <x:c r="Q549" s="3" t="inlineStr">
        <x:is>
          <x:t/>
        </x:is>
      </x:c>
    </x:row>
    <x:row r="550">
      <x:c r="A550" s="10" t="inlineStr">
        <x:f xml:space="preserve">HYPERLINK("http://sipi.sic.gov.co/sipi/View.ashx?4419949","SD2022/0112779")</x:f>
      </x:c>
      <x:c r="B550" s="3" t="inlineStr">
        <x:is>
          <x:t>JULEP</x:t>
        </x:is>
      </x:c>
      <x:c r="C550" s="3" t="inlineStr">
        <x:is>
          <x:t/>
        </x:is>
      </x:c>
      <x:c r="D550" s="3" t="inlineStr">
        <x:is>
          <x:t>02 nov. 2022</x:t>
        </x:is>
      </x:c>
      <x:c r="E550" s="3" t="inlineStr">
        <x:is>
          <x:t/>
        </x:is>
      </x:c>
      <x:c r="F550" s="3" t="inlineStr">
        <x:is>
          <x:t>Negada</x:t>
        </x:is>
      </x:c>
      <x:c r="G550" s="3" t="inlineStr">
        <x:is>
          <x:t/>
        </x:is>
      </x:c>
      <x:c r="H550" s="3" t="inlineStr">
        <x:is>
          <x:t> AS Beauty Group LLC, 42 West 39th Street New York, New York 10018, NEW YORK, NEW YORK, US</x:t>
        </x:is>
      </x:c>
      <x:c r="I550" s="3" t="inlineStr">
        <x:is>
          <x:t>3, 21</x:t>
        </x:is>
      </x:c>
      <x:c r="J550" s="3" t="inlineStr">
        <x:is>
          <x:t>11</x:t>
        </x:is>
      </x:c>
      <x:c r="K550" s="3" t="inlineStr">
        <x:is>
          <x:t>3. Cosméticos; maquillaje; productos para el cuidado personal; preparaciones y tratamientos para el cuidado de la piel; preparaciones y tratamientos para el cuidado del cabello; preparaciones y tratamientos para el cuidado de las uñas; esmalte de uñas; estuches de maquillaje; productos para el cuidado del sol; fragancias y perfumes; pestañas artificiales y adhesivos para pegar pestañas artificiales.
21. Herramientas, a saber, brochas de maquillaje, estuches de brochas de maquillaje, brochas cosméticas, estuches de brochas cosméticas, herramientas de limpieza con esponja exfoliante y estuches para cosméticos, estuches para maquillaje, estuches para productos para el cuidado personal, estuches para preparaciones y tratamientos para el cuidado de la piel, estuches para preparaciones y tratamientos para el cuidado del cabello, estuches para preparaciones y tratamientos para el cuidado de las uñas.
</x:t>
        </x:is>
      </x:c>
      <x:c r="L550" s="3" t="inlineStr">
        <x:is>
          <x:t>No</x:t>
        </x:is>
      </x:c>
      <x:c r="M550" s="3" t="inlineStr">
        <x:is>
          <x:t>ANDRÉS JERONIMO CASTILLO BONILLA, CALLE 93A No. 14-17 OFICINA 311 BOGOTÁ D.C. (CO), BOGOTÁ, D.C., CO</x:t>
        </x:is>
      </x:c>
      <x:c r="N550" s="3" t="inlineStr">
        <x:is>
          <x:t/>
        </x:is>
      </x:c>
      <x:c r="O550" s="3" t="inlineStr">
        <x:is>
          <x:t>25 ene. 2024</x:t>
        </x:is>
      </x:c>
      <x:c r="P550" s="3" t="inlineStr">
        <x:is>
          <x:t/>
        </x:is>
      </x:c>
      <x:c r="Q550" s="3" t="inlineStr">
        <x:is>
          <x:t/>
        </x:is>
      </x:c>
    </x:row>
    <x:row r="551">
      <x:c r="A551" s="10" t="inlineStr">
        <x:f xml:space="preserve">HYPERLINK("http://sipi.sic.gov.co/sipi/View.ashx?4421802","SD2022/0109605")</x:f>
      </x:c>
      <x:c r="B551" s="3" t="inlineStr">
        <x:is>
          <x:t>EL INDIO</x:t>
        </x:is>
      </x:c>
      <x:c r="C551" s="9" t="inlineStr">
        <x:is>
          <x:t/>
        </x:is>
      </x:c>
      <x:c r="D551" s="3" t="inlineStr">
        <x:is>
          <x:t>25 oct. 2022</x:t>
        </x:is>
      </x:c>
      <x:c r="E551" s="3" t="inlineStr">
        <x:is>
          <x:t/>
        </x:is>
      </x:c>
      <x:c r="F551" s="3" t="inlineStr">
        <x:is>
          <x:t>Negada</x:t>
        </x:is>
      </x:c>
      <x:c r="G551" s="3" t="inlineStr">
        <x:is>
          <x:t>C-4-1099</x:t>
        </x:is>
      </x:c>
      <x:c r="H551" s="3" t="inlineStr">
        <x:is>
          <x:t> CHEMICAL TRADING OPPORTUNITIES S.A.S., CR 58 43 SUR 83 INT 147, SAN ANTONIO DE PRADO, ANTIOQUIA, CO</x:t>
        </x:is>
      </x:c>
      <x:c r="I551" s="3" t="inlineStr">
        <x:is>
          <x:t>3, 5</x:t>
        </x:is>
      </x:c>
      <x:c r="J551" s="3" t="inlineStr">
        <x:is>
          <x:t>11</x:t>
        </x:is>
      </x:c>
      <x:c r="K551" s="3" t="inlineStr">
        <x:is>
          <x:t>3. Preparaciones para blanquear y otras sustancias para lavar la ropa; preparaciones para limpiar, pulir, desengrasar y raspar; jabones.
5. Productos farmacéuticos y veterinarios; productos higiénicos para la medicina; sustancias dietéticas para uso médico, alimentos para bebés; emplastos, material para apósitos; material para empastar los dientes y para improntas dentales; desinfectantes, productos para la destrucción de animales dañinos; fungicidas, herbicidas.
</x:t>
        </x:is>
      </x:c>
      <x:c r="L551" s="3" t="inlineStr">
        <x:is>
          <x:t>No</x:t>
        </x:is>
      </x:c>
      <x:c r="M551" s="3" t="inlineStr">
        <x:is>
          <x:t>GUSTAVO ADOLFO ORTEGA HERNANDEZ, Carrera 25 #1 A SUR 155 OFC. 1355, Edificio Platinum Superior, MEDELLIN, ANTIOQUIA, CO</x:t>
        </x:is>
      </x:c>
      <x:c r="N551" s="3" t="inlineStr">
        <x:is>
          <x:t/>
        </x:is>
      </x:c>
      <x:c r="O551" s="3" t="inlineStr">
        <x:is>
          <x:t>20 dic. 2022</x:t>
        </x:is>
      </x:c>
      <x:c r="P551" s="3" t="inlineStr">
        <x:is>
          <x:t/>
        </x:is>
      </x:c>
      <x:c r="Q551" s="3" t="inlineStr">
        <x:is>
          <x:t/>
        </x:is>
      </x:c>
    </x:row>
    <x:row r="552">
      <x:c r="A552" s="10" t="inlineStr">
        <x:f xml:space="preserve">HYPERLINK("http://sipi.sic.gov.co/sipi/View.ashx?4421811","SD2022/0109610")</x:f>
      </x:c>
      <x:c r="B552" s="3" t="inlineStr">
        <x:is>
          <x:t>B-U-T</x:t>
        </x:is>
      </x:c>
      <x:c r="C552" s="9" t="inlineStr">
        <x:is>
          <x:t/>
        </x:is>
      </x:c>
      <x:c r="D552" s="3" t="inlineStr">
        <x:is>
          <x:t>25 oct. 2022</x:t>
        </x:is>
      </x:c>
      <x:c r="E552" s="3" t="inlineStr">
        <x:is>
          <x:t/>
        </x:is>
      </x:c>
      <x:c r="F552" s="3" t="inlineStr">
        <x:is>
          <x:t>Negada</x:t>
        </x:is>
      </x:c>
      <x:c r="G552" s="3" t="inlineStr">
        <x:is>
          <x:t>F753</x:t>
        </x:is>
      </x:c>
      <x:c r="H552" s="3" t="inlineStr">
        <x:is>
          <x:t> STARBRANDS COLOMBIA S.A.S., Autopista Medellin Km 1.8 Costado Sur Bloque B Ofic 302 , Soko In, COTA, CUNDINAMARCA, CO</x:t>
        </x:is>
      </x:c>
      <x:c r="I552" s="3" t="inlineStr">
        <x:is>
          <x:t>3</x:t>
        </x:is>
      </x:c>
      <x:c r="J552" s="3" t="inlineStr">
        <x:is>
          <x:t>11</x:t>
        </x:is>
      </x:c>
      <x:c r="K552" s="3" t="inlineStr">
        <x:is>
          <x:t>3. Cosméticos, jabones, productos de perfumería, aceites esenciales, champú,; acondicionadores, mascarillas cosméticas, lociones capilares cosméticas; cremas para; el cuerpo y la cara, cremas para masajes corporales y faciales, tónicos y limpiadores; faciales, emulsiones corporales y faciales, lociones, esmaltes para uñas, tratamientos; cosméticos para fortalecer las uñas, preparaciones para tratamientos capilares; tintes cosméticos.
</x:t>
        </x:is>
      </x:c>
      <x:c r="L552" s="3" t="inlineStr">
        <x:is>
          <x:t>No</x:t>
        </x:is>
      </x:c>
      <x:c r="M552" s="3" t="inlineStr">
        <x:is>
          <x:t>MARTHA AMPARO FONSECA FIERRO, CRA 7 No. 17-01 Oficina 435, BOGOTÁ, D.C., CO</x:t>
        </x:is>
      </x:c>
      <x:c r="N552" s="3" t="inlineStr">
        <x:is>
          <x:t/>
        </x:is>
      </x:c>
      <x:c r="O552" s="3" t="inlineStr">
        <x:is>
          <x:t>08 nov. 2022</x:t>
        </x:is>
      </x:c>
      <x:c r="P552" s="3" t="inlineStr">
        <x:is>
          <x:t/>
        </x:is>
      </x:c>
      <x:c r="Q552" s="3" t="inlineStr">
        <x:is>
          <x:t/>
        </x:is>
      </x:c>
    </x:row>
    <x:row r="553">
      <x:c r="A553" s="10" t="inlineStr">
        <x:f xml:space="preserve">HYPERLINK("http://sipi.sic.gov.co/sipi/View.ashx?4422851","SD2022/0109864")</x:f>
      </x:c>
      <x:c r="B553" s="3" t="inlineStr">
        <x:is>
          <x:t>B BIONITTA</x:t>
        </x:is>
      </x:c>
      <x:c r="C553" s="9" t="inlineStr">
        <x:is>
          <x:t/>
        </x:is>
      </x:c>
      <x:c r="D553" s="3" t="inlineStr">
        <x:is>
          <x:t>25 oct. 2022</x:t>
        </x:is>
      </x:c>
      <x:c r="E553" s="3" t="inlineStr">
        <x:is>
          <x:t/>
        </x:is>
      </x:c>
      <x:c r="F553" s="3" t="inlineStr">
        <x:is>
          <x:t>Negada</x:t>
        </x:is>
      </x:c>
      <x:c r="G553" s="3" t="inlineStr">
        <x:is>
          <x:t/>
        </x:is>
      </x:c>
      <x:c r="H553" s="3" t="inlineStr">
        <x:is>
          <x:t>Juanita Arbeláez Castaño , Calle 77 sur #45-56, MEDELLIN, ANTIOQUIA, CO</x:t>
        </x:is>
      </x:c>
      <x:c r="I553" s="3" t="inlineStr">
        <x:is>
          <x:t>3</x:t>
        </x:is>
      </x:c>
      <x:c r="J553" s="3" t="inlineStr">
        <x:is>
          <x:t>11</x:t>
        </x:is>
      </x:c>
      <x:c r="K55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53" s="3" t="inlineStr">
        <x:is>
          <x:t>No</x:t>
        </x:is>
      </x:c>
      <x:c r="M553" s="3" t="inlineStr">
        <x:is>
          <x:t/>
        </x:is>
      </x:c>
      <x:c r="N553" s="3" t="inlineStr">
        <x:is>
          <x:t/>
        </x:is>
      </x:c>
      <x:c r="O553" s="3" t="inlineStr">
        <x:is>
          <x:t>30 dic. 2022</x:t>
        </x:is>
      </x:c>
      <x:c r="P553" s="3" t="inlineStr">
        <x:is>
          <x:t/>
        </x:is>
      </x:c>
      <x:c r="Q553" s="3" t="inlineStr">
        <x:is>
          <x:t/>
        </x:is>
      </x:c>
    </x:row>
    <x:row r="554">
      <x:c r="A554" s="10" t="inlineStr">
        <x:f xml:space="preserve">HYPERLINK("http://sipi.sic.gov.co/sipi/View.ashx?4424482","SD2022/0110214")</x:f>
      </x:c>
      <x:c r="B554" s="3" t="inlineStr">
        <x:is>
          <x:t>Muya Cosmética Consciente</x:t>
        </x:is>
      </x:c>
      <x:c r="C554" s="9" t="inlineStr">
        <x:is>
          <x:t/>
        </x:is>
      </x:c>
      <x:c r="D554" s="3" t="inlineStr">
        <x:is>
          <x:t>26 oct. 2022</x:t>
        </x:is>
      </x:c>
      <x:c r="E554" s="3" t="inlineStr">
        <x:is>
          <x:t/>
        </x:is>
      </x:c>
      <x:c r="F554" s="3" t="inlineStr">
        <x:is>
          <x:t>Negada</x:t>
        </x:is>
      </x:c>
      <x:c r="G554" s="3" t="inlineStr">
        <x:is>
          <x:t>Muya Cosmética Consciente</x:t>
        </x:is>
      </x:c>
      <x:c r="H554" s="3" t="inlineStr">
        <x:is>
          <x:t>Angelica Maria Jaramillo Valencia, Crr 64#1c-57, CALI, VALLE DEL CAUCA, CO</x:t>
        </x:is>
      </x:c>
      <x:c r="I554" s="3" t="inlineStr">
        <x:is>
          <x:t>3</x:t>
        </x:is>
      </x:c>
      <x:c r="J554" s="3" t="inlineStr">
        <x:is>
          <x:t>11</x:t>
        </x:is>
      </x:c>
      <x:c r="K55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54" s="3" t="inlineStr">
        <x:is>
          <x:t>No</x:t>
        </x:is>
      </x:c>
      <x:c r="M554" s="3" t="inlineStr">
        <x:is>
          <x:t/>
        </x:is>
      </x:c>
      <x:c r="N554" s="3" t="inlineStr">
        <x:is>
          <x:t/>
        </x:is>
      </x:c>
      <x:c r="O554" s="3" t="inlineStr">
        <x:is>
          <x:t>16 ene. 2023</x:t>
        </x:is>
      </x:c>
      <x:c r="P554" s="3" t="inlineStr">
        <x:is>
          <x:t/>
        </x:is>
      </x:c>
      <x:c r="Q554" s="3" t="inlineStr">
        <x:is>
          <x:t/>
        </x:is>
      </x:c>
    </x:row>
    <x:row r="555">
      <x:c r="A555" s="10" t="inlineStr">
        <x:f xml:space="preserve">HYPERLINK("http://sipi.sic.gov.co/sipi/View.ashx?4424783","SD2022/0110283")</x:f>
      </x:c>
      <x:c r="B555" s="3" t="inlineStr">
        <x:is>
          <x:t>ANMA ETNOBOTÁNICA</x:t>
        </x:is>
      </x:c>
      <x:c r="C555" s="9" t="inlineStr">
        <x:is>
          <x:t/>
        </x:is>
      </x:c>
      <x:c r="D555" s="3" t="inlineStr">
        <x:is>
          <x:t>28 oct. 2022</x:t>
        </x:is>
      </x:c>
      <x:c r="E555" s="3" t="inlineStr">
        <x:is>
          <x:t/>
        </x:is>
      </x:c>
      <x:c r="F555" s="3" t="inlineStr">
        <x:is>
          <x:t>Negada</x:t>
        </x:is>
      </x:c>
      <x:c r="G555" s="3" t="inlineStr">
        <x:is>
          <x:t/>
        </x:is>
      </x:c>
      <x:c r="H555" s="3" t="inlineStr">
        <x:is>
          <x:t>Ana Maria Perez Carvajal, calle 3a 16-70, VILLAVICENCIO, META, CO</x:t>
        </x:is>
      </x:c>
      <x:c r="I555" s="3" t="inlineStr">
        <x:is>
          <x:t>3</x:t>
        </x:is>
      </x:c>
      <x:c r="J555" s="3" t="inlineStr">
        <x:is>
          <x:t>11</x:t>
        </x:is>
      </x:c>
      <x:c r="K55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55" s="3" t="inlineStr">
        <x:is>
          <x:t>No</x:t>
        </x:is>
      </x:c>
      <x:c r="M555" s="3" t="inlineStr">
        <x:is>
          <x:t/>
        </x:is>
      </x:c>
      <x:c r="N555" s="3" t="inlineStr">
        <x:is>
          <x:t/>
        </x:is>
      </x:c>
      <x:c r="O555" s="3" t="inlineStr">
        <x:is>
          <x:t>30 dic. 2022</x:t>
        </x:is>
      </x:c>
      <x:c r="P555" s="3" t="inlineStr">
        <x:is>
          <x:t/>
        </x:is>
      </x:c>
      <x:c r="Q555" s="3" t="inlineStr">
        <x:is>
          <x:t/>
        </x:is>
      </x:c>
    </x:row>
    <x:row r="556">
      <x:c r="A556" s="10" t="inlineStr">
        <x:f xml:space="preserve">HYPERLINK("http://sipi.sic.gov.co/sipi/View.ashx?4425008","SD2022/0110342")</x:f>
      </x:c>
      <x:c r="B556" s="3" t="inlineStr">
        <x:is>
          <x:t>LAGOM BIENESTAR EN EQUILIBRIO </x:t>
        </x:is>
      </x:c>
      <x:c r="C556" s="9" t="inlineStr">
        <x:is>
          <x:t/>
        </x:is>
      </x:c>
      <x:c r="D556" s="3" t="inlineStr">
        <x:is>
          <x:t>26 oct. 2022</x:t>
        </x:is>
      </x:c>
      <x:c r="E556" s="3" t="inlineStr">
        <x:is>
          <x:t/>
        </x:is>
      </x:c>
      <x:c r="F556" s="3" t="inlineStr">
        <x:is>
          <x:t>Negada</x:t>
        </x:is>
      </x:c>
      <x:c r="G556" s="3" t="inlineStr">
        <x:is>
          <x:t>LAGOMREGISTRO</x:t>
        </x:is>
      </x:c>
      <x:c r="H556" s="3" t="inlineStr">
        <x:is>
          <x:t>deisy garzon, Calle 159 #54-35 , BOGOTÁ, D.C. 1111111, CO</x:t>
        </x:is>
      </x:c>
      <x:c r="I556" s="3" t="inlineStr">
        <x:is>
          <x:t>3</x:t>
        </x:is>
      </x:c>
      <x:c r="J556" s="3" t="inlineStr">
        <x:is>
          <x:t>11</x:t>
        </x:is>
      </x:c>
      <x:c r="K55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56" s="3" t="inlineStr">
        <x:is>
          <x:t>No</x:t>
        </x:is>
      </x:c>
      <x:c r="M556" s="3" t="inlineStr">
        <x:is>
          <x:t/>
        </x:is>
      </x:c>
      <x:c r="N556" s="3" t="inlineStr">
        <x:is>
          <x:t/>
        </x:is>
      </x:c>
      <x:c r="O556" s="3" t="inlineStr">
        <x:is>
          <x:t>06 feb. 2023</x:t>
        </x:is>
      </x:c>
      <x:c r="P556" s="3" t="inlineStr">
        <x:is>
          <x:t/>
        </x:is>
      </x:c>
      <x:c r="Q556" s="3" t="inlineStr">
        <x:is>
          <x:t/>
        </x:is>
      </x:c>
    </x:row>
    <x:row r="557">
      <x:c r="A557" s="10" t="inlineStr">
        <x:f xml:space="preserve">HYPERLINK("http://sipi.sic.gov.co/sipi/View.ashx?4425677","SD2022/0110573")</x:f>
      </x:c>
      <x:c r="B557" s="3" t="inlineStr">
        <x:is>
          <x:t>DERMADOL</x:t>
        </x:is>
      </x:c>
      <x:c r="C557" s="3" t="inlineStr">
        <x:is>
          <x:t/>
        </x:is>
      </x:c>
      <x:c r="D557" s="3" t="inlineStr">
        <x:is>
          <x:t>27 oct. 2022</x:t>
        </x:is>
      </x:c>
      <x:c r="E557" s="3" t="inlineStr">
        <x:is>
          <x:t/>
        </x:is>
      </x:c>
      <x:c r="F557" s="3" t="inlineStr">
        <x:is>
          <x:t>Negada</x:t>
        </x:is>
      </x:c>
      <x:c r="G557" s="3" t="inlineStr">
        <x:is>
          <x:t/>
        </x:is>
      </x:c>
      <x:c r="H557" s="3" t="inlineStr">
        <x:is>
          <x:t>Johana Pinto, Carrera 80 17-85,, BOGOTÁ, D.C. 110911, CO</x:t>
        </x:is>
      </x:c>
      <x:c r="I557" s="3" t="inlineStr">
        <x:is>
          <x:t>3</x:t>
        </x:is>
      </x:c>
      <x:c r="J557" s="3" t="inlineStr">
        <x:is>
          <x:t>11</x:t>
        </x:is>
      </x:c>
      <x:c r="K557" s="3" t="inlineStr">
        <x:is>
          <x:t>3. Cremas para el rostro y el cuerpo de uso cosmético.
</x:t>
        </x:is>
      </x:c>
      <x:c r="L557" s="3" t="inlineStr">
        <x:is>
          <x:t>Sí</x:t>
        </x:is>
      </x:c>
      <x:c r="M557" s="3" t="inlineStr">
        <x:is>
          <x:t/>
        </x:is>
      </x:c>
      <x:c r="N557" s="3" t="inlineStr">
        <x:is>
          <x:t/>
        </x:is>
      </x:c>
      <x:c r="O557" s="3" t="inlineStr">
        <x:is>
          <x:t>31 oct. 2022</x:t>
        </x:is>
      </x:c>
      <x:c r="P557" s="3" t="inlineStr">
        <x:is>
          <x:t/>
        </x:is>
      </x:c>
      <x:c r="Q557" s="3" t="inlineStr">
        <x:is>
          <x:t/>
        </x:is>
      </x:c>
    </x:row>
    <x:row r="558">
      <x:c r="A558" s="10" t="inlineStr">
        <x:f xml:space="preserve">HYPERLINK("http://sipi.sic.gov.co/sipi/View.ashx?4425685","SD2022/0110714")</x:f>
      </x:c>
      <x:c r="B558" s="3" t="inlineStr">
        <x:is>
          <x:t>Plural Our Care</x:t>
        </x:is>
      </x:c>
      <x:c r="C558" s="9" t="inlineStr">
        <x:is>
          <x:t/>
        </x:is>
      </x:c>
      <x:c r="D558" s="3" t="inlineStr">
        <x:is>
          <x:t>27 oct. 2022</x:t>
        </x:is>
      </x:c>
      <x:c r="E558" s="3" t="inlineStr">
        <x:is>
          <x:t/>
        </x:is>
      </x:c>
      <x:c r="F558" s="3" t="inlineStr">
        <x:is>
          <x:t>Negada</x:t>
        </x:is>
      </x:c>
      <x:c r="G558" s="3" t="inlineStr">
        <x:is>
          <x:t>Plural Our Care</x:t>
        </x:is>
      </x:c>
      <x:c r="H558" s="3" t="inlineStr">
        <x:is>
          <x:t> INVERSIONES TRES TEAM S.A.S, Calle 11 Sur 29 D 300, MEDELLIN, ANTIOQUIA, CO</x:t>
        </x:is>
      </x:c>
      <x:c r="I558" s="3" t="inlineStr">
        <x:is>
          <x:t>3</x:t>
        </x:is>
      </x:c>
      <x:c r="J558" s="3" t="inlineStr">
        <x:is>
          <x:t>11</x:t>
        </x:is>
      </x:c>
      <x:c r="K558" s="3" t="inlineStr">
        <x:is>
          <x:t>3. Aceites esenciales para uso cosmético; aceites faciales; aceites hidratantes intensivos; aceites no medicinales para masajes; aceites para después del sol [productos cosméticos]; aceites para el cabello; aceites para el cuerpo; aceites para el cuerpo de uso cosmético; aceites para uso cosmético; aceites solares de uso cosmético; aceites suavizantes para el cabello; acondicionadores de cabello; acondicionadores para el cabello; acondicionadores para uso en el cabello; aerosoles cosméticos de uso tópico para la piel; aerosoles depilatorios; agentes de enjuague para lavar la ropa; agentes de limpieza para uso doméstico; agua de rosas [destilados de hierbas]; agua micelar; agua oxigenada para el cabello; aguas de tocador; algodón e hisopos de algodón para uso cosmético; almohadillas, toallitas o pañitos de limpieza prehumedecidos o impregnados; almohadillas para uso cosmético; autobronceadores [cosméticos]; barras de labios con protección solar [cosméticos]; barros corporales para uso cosmético; bases de maquillaje; bases para esmaltes de uñas; baños de aceite para el cuidado del cabello de uso cosmético; bloqueador solar [cosméticos]; brillantina corporal; bronceadores para la piel; bálsamo acondicionador; bálsamos labiales; ceras para el cabello; ceras para pisos; champúes para el cabello; champús en seco*; champús y acondicionadores para el cabello; cold creams para uso cosmético; colorantes de labios [cosméticos]; colorantes para blanquear la ropa; colorete; colorete líquido; coloretes en crema; correctores antiojeras; correctores de imperfecciones [productos cosméticos]; correctores de líneas y arrugas faciales; correctores de ojos; cosméticos; cosméticos de belleza; cosméticos en forma de cremas; cosméticos en forma de polvos; cosméticos naturales; cosméticos para el cabello; cosméticos para tratamiento de belleza cosméticos para el cuidado de belleza; cosméticos y preparaciones cosméticas; cosméticos y preparaciones de cuidado personal; crema corporal para uso cosmético; crema limpiadora; cremas antiarrugas para uso cosmético; cremas antienvejecimiento para uso cosmético; cremas bronceadoras para la piel; cremas capilares; cremas con filtro solar; cremas corporales [cosméticos]; cremas de afeitar; cremas de belleza; cremas de ducha; cremas de limpieza [cosméticos]; cremas de protección para el cabello; cremas desmaquillantes; cremas exfoliantes para uso cosmético; cremas faciales para uso cosmético; cremas hidratantes; cremas limpiadoras; cremas limpiadoras no medicadas para uso personal; cremas para el cabello de uso cosmético; cremas para el cuerpo cosméticas; cremas para el cuidado del cabello; cremas para el rostro de uso cosmético; cremas para los labios de uso cosmético; cremas regenerantes; cremas tonificantes [cosméticos]; cremas y geles cosméticos para rostro, manos y cuerpo; cremas y lociones cosméticas; depilatorios; desmaquilladores; detergente líquido; detergentes en polvo para la ropa; detergentes jabonosos para uso doméstico; detergentes para el hogar; detergentes para inodoros; detergentes para las manos; detergentes para lavar la vajilla; detergentes para lavar los platos; detergentes para lavavajillas; detergentes para uso doméstico; discos desmaquillantes de algodón hidrófilo; emulsiones, geles y lociones para el cuidado de la piel; esmaltes de base para las uñas [productos cosméticos]; esmaltes de uñas; espuma de baño; espuma de limpieza; espuma limpiadora; espumas [cosméticas]; espumas de limpieza; espumas depilatorias; espumas para el cabello; exfoliante corporal; exfoliantes; exfoliantes para uso cosmético; fijadores para el cabello; filtro solar [cosméticos]; fondo de maquillaje; fortalecedores de uñas; fragancias; gel de baño; geles antienvejecimiento para uso cosmético; geles de belleza; geles de ducha; hidratante para la piel; hidratantes [cosméticos]; hidratantes faciales [cosméticos]; jabones cosméticos; jabones de baño; jabones de ducha; jabones detergentes; jabones en forma líquida; jabones en polvo no medicinales; jabones faciales; jabones líquidos; jabones para el cuerpo; jabones*; kits de maquillaje; kits para el cuidado de las uñas que comprenden esmaltes de uñas y quitaesmaltes; lacas para el cabello; leche de almendras para uso cosmético; leches de belleza; leches hidratantes; leches limpiadoras; lejía; lejía para uso doméstico; lejía para uso en la limpieza; limpiadores cosméticos faciales; limpiadores de la piel; limpiadores faciales [cosméticos]; lociones capilares*; lociones cosméticas para el cuidado de la piel; lociones cosméticas para el rostro; lociones cosméticas para la piel; lociones depilatorias; lociones desmaquillantes; lociones para después del sol; lápices de maquillaje; líquidos para fregar; líquidos para lavar la vajilla; manteca corporal para uso cosmético; maquillaje [cosméticos]; mascarillas corporales; parches de gel para los ojos de uso cosmético; pasta abrasiva; pastillas de jabón; perfumes; piedras para pulir; piedras para suavizar; pintalabios; pintura corporal; pintura facial; polvos cosméticos; polvos faciales; polvos para fregar; polvos para lavar el cabello; preparaciones capilares no medicinales; preparaciones con filtro solar; preparaciones cosméticas; preparaciones cosméticas adelgazantes; preparaciones cosméticas antienvejecimiento; preparaciones cosméticas para el cuidado del cabello; preparaciones cosméticas para el cuidado del cuerpo; preparaciones cosméticas para el rostro; preparaciones de cuidado facial; preparaciones de lavandería; preparaciones de limpieza; preparaciones de limpieza para uso doméstico; preparaciones de tocador*; preparaciones faciales [cosméticos]; preparaciones hidratantes; preparaciones limpiadoras de uso personal; preparaciones para el cuidado de la piel; preparaciones para el cuidado de los labios; preparaciones para el cuidado del cabello; preparaciones para el lavado; preparaciones para el lavado de la ropa; preparaciones para el lavado para uso doméstico; preparaciones para la limpieza del baño; preparaciones para limpiar pisos; preparaciones para limpiar, fregar y raspar; preparaciones para limpiar, lavar y pulir; preparaciones químicas de limpieza para uso doméstico; productos con filtro solar; productos cosméticos de baño y ducha; productos cosméticos para el cuidado corporal; productos cosméticos para el cuidado de la piel; productos cosméticos y de maquillaje; productos cosméticos y de tocador; productos de limpieza; productos de limpieza en spray; productos de limpieza para el hogar; productos de maquillaje; productos decolorantes para el cabello; productos depilatorios; preparaciones para el cuidado del cuerpo y la belleza; productos cosméticos para la piel; productos cosméticos para uso personal; productos cosméticos y de belleza; productos de afeitar; productos de jabón; productos de limpieza en aerosoles para uso doméstico; productos de limpieza en seco; productos de limpieza para uso doméstico; productos para lavar platos; quitaesmaltes; sueros antiedad multiactivos; sueros de belleza; sueros faciales; sueros faciales para uso cosmético; toallitas húmedas impregnadas con detergente; toallitas húmedas para uso higiénico y cosmético; tonificantes para el cabello; tónicos cosméticos.
</x:t>
        </x:is>
      </x:c>
      <x:c r="L558" s="3" t="inlineStr">
        <x:is>
          <x:t>No</x:t>
        </x:is>
      </x:c>
      <x:c r="M558" s="3" t="inlineStr">
        <x:is>
          <x:t>ALEJANDRO ALZATE BLAIR, Carrera 42 No. 3 Sur 81 of. 511, MEDELLIN, ANTIOQUIA, CO</x:t>
        </x:is>
      </x:c>
      <x:c r="N558" s="3" t="inlineStr">
        <x:is>
          <x:t/>
        </x:is>
      </x:c>
      <x:c r="O558" s="3" t="inlineStr">
        <x:is>
          <x:t>31 oct. 2022</x:t>
        </x:is>
      </x:c>
      <x:c r="P558" s="3" t="inlineStr">
        <x:is>
          <x:t/>
        </x:is>
      </x:c>
      <x:c r="Q558" s="3" t="inlineStr">
        <x:is>
          <x:t/>
        </x:is>
      </x:c>
    </x:row>
    <x:row r="559">
      <x:c r="A559" s="10" t="inlineStr">
        <x:f xml:space="preserve">HYPERLINK("http://sipi.sic.gov.co/sipi/View.ashx?4426281","SD2022/0110718")</x:f>
      </x:c>
      <x:c r="B559" s="3" t="inlineStr">
        <x:is>
          <x:t>DELLA TD TERRA</x:t>
        </x:is>
      </x:c>
      <x:c r="C559" s="9" t="inlineStr">
        <x:is>
          <x:t/>
        </x:is>
      </x:c>
      <x:c r="D559" s="3" t="inlineStr">
        <x:is>
          <x:t>27 oct. 2022</x:t>
        </x:is>
      </x:c>
      <x:c r="E559" s="3" t="inlineStr">
        <x:is>
          <x:t/>
        </x:is>
      </x:c>
      <x:c r="F559" s="3" t="inlineStr">
        <x:is>
          <x:t>Negada</x:t>
        </x:is>
      </x:c>
      <x:c r="G559" s="3" t="inlineStr">
        <x:is>
          <x:t>ACO-DELLATERRA LLC- DELLA TD TERRA CLASE 3</x:t>
        </x:is>
      </x:c>
      <x:c r="H559" s="3" t="inlineStr">
        <x:is>
          <x:t> DELLA TERRA LLC, 6530 NW 74TH DR PARKLAND, FL 33067, PARKLAND, FLORIDA 33067, US</x:t>
        </x:is>
      </x:c>
      <x:c r="I559" s="3" t="inlineStr">
        <x:is>
          <x:t>3</x:t>
        </x:is>
      </x:c>
      <x:c r="J559" s="3" t="inlineStr">
        <x:is>
          <x:t>11</x:t>
        </x:is>
      </x:c>
      <x:c r="K559" s="3" t="inlineStr">
        <x:is>
          <x:t>3. PERFUMES, AGUA DE TOCADOR, GELES, SALES PARA EL BANO Y LA DUCHA; JABONES DE TOCADOR, DESODORANTES PARA EL CUERPO; COSMETICOS A SABER: CREMAS, LECHES, LOCIONES, GELES Y POLVOS PARA LA CARA EL CUERPO Y LAS MANOS; PREPARACIONES PARA EL CUIDADO DEL SOL; PREPARACIONES DE MAQUILLAJE; CHAMPUS, GELES ATOMIZADORES, ESPUMAS Y BALSAMOS PARA EL CUIDADO Y PEINADO DEL CABELLO; ACEITES ESENCIALES PARA USO PERSONAL; DENTIFRICOS.
</x:t>
        </x:is>
      </x:c>
      <x:c r="L559" s="3" t="inlineStr">
        <x:is>
          <x:t>Sí</x:t>
        </x:is>
      </x:c>
      <x:c r="M559" s="3" t="inlineStr">
        <x:is>
          <x:t>ALVARO CORREA ORDOÑEZ, Crr 16 No 88 -81 of 404, BOGOTÁ, D.C., CO</x:t>
        </x:is>
      </x:c>
      <x:c r="N559" s="3" t="inlineStr">
        <x:is>
          <x:t/>
        </x:is>
      </x:c>
      <x:c r="O559" s="3" t="inlineStr">
        <x:is>
          <x:t>16 ene. 2023</x:t>
        </x:is>
      </x:c>
      <x:c r="P559" s="3" t="inlineStr">
        <x:is>
          <x:t/>
        </x:is>
      </x:c>
      <x:c r="Q559" s="3" t="inlineStr">
        <x:is>
          <x:t/>
        </x:is>
      </x:c>
    </x:row>
    <x:row r="560">
      <x:c r="A560" s="10" t="inlineStr">
        <x:f xml:space="preserve">HYPERLINK("http://sipi.sic.gov.co/sipi/View.ashx?4426798","SD2022/0111103")</x:f>
      </x:c>
      <x:c r="B560" s="3" t="inlineStr">
        <x:is>
          <x:t>Myderma Inside Your Care</x:t>
        </x:is>
      </x:c>
      <x:c r="C560" s="9" t="inlineStr">
        <x:is>
          <x:t/>
        </x:is>
      </x:c>
      <x:c r="D560" s="3" t="inlineStr">
        <x:is>
          <x:t>28 oct. 2022</x:t>
        </x:is>
      </x:c>
      <x:c r="E560" s="3" t="inlineStr">
        <x:is>
          <x:t/>
        </x:is>
      </x:c>
      <x:c r="F560" s="3" t="inlineStr">
        <x:is>
          <x:t>Negada</x:t>
        </x:is>
      </x:c>
      <x:c r="G560" s="3" t="inlineStr">
        <x:is>
          <x:t>Myderma Inside Your Care</x:t>
        </x:is>
      </x:c>
      <x:c r="H560" s="3" t="inlineStr">
        <x:is>
          <x:t> INVERSIONES TRES TEAM S.A.S, Calle 11 Sur 29 D 300, MEDELLIN, ANTIOQUIA, CO</x:t>
        </x:is>
      </x:c>
      <x:c r="I560" s="3" t="inlineStr">
        <x:is>
          <x:t>3</x:t>
        </x:is>
      </x:c>
      <x:c r="J560" s="3" t="inlineStr">
        <x:is>
          <x:t>11</x:t>
        </x:is>
      </x:c>
      <x:c r="K560" s="3" t="inlineStr">
        <x:is>
          <x:t>3. Aceites bronceadores [cosméticos]; aceites cosméticos; aceites de baño; aceites de limpieza; aceites de protección solar [cosméticos]; aceites esenciales; aceites faciales; aceites hidratantes intensivos; aceites para después del sol [productos cosméticos]; aceites para el cabello; aceites para el cuerpo de uso cosmético; aceites para uso cosmético; aceites y lociones de masaje; acondicionadores de cabello; aditivos de lavandería; agentes de enjuague para lavar la ropa; agentes de enjuague para lavavajillas; agentes de lavado para textiles; agentes de limpieza para uso doméstico; agua de rosas [destilados de hierbas]; agua micelar; agua micelar de limpieza; aguas de tocador; aguas de tocador y colonias; algodón e hisopos de algodón para uso cosmético; almohadillas de algodón para uso cosmético; almohadillas de limpieza impregnadas con productos cosméticos; bases de maquillaje; bases para esmaltes de uñas; baños de espuma; bloqueador solar [cosméticos]; bronceadores para la piel; bálsamo acondicionador; bálsamos [cremas] para disimular las imperfecciones de la piel; bálsamos capilares; bálsamos labiales; ceras de masaje, que no sean para uso médico; champúes para el cabello; champús en seco*; champús y acondicionadores; cold creams; cold creams para uso cosmético; colorantes labiales; colorantes para el cabello; colorantes para lavar la ropa; colorete; composiciones para aclarar la piel [cosméticos]; corrector facial; correctores antiojeras; correctores de imperfecciones [productos cosméticos]; correctores de líneas y arrugas faciales; cosméticos; cosméticos a base de cannabis; cosméticos a base de hierbas; cosméticos en forma de cremas; cosméticos en forma de polvos; cosméticos naturales; cosméticos no medicinales; cosméticos para cuidados corporales y estéticos; cosméticos para el cabello; cosméticos para el cuidado del cuerpo; cosméticos para tratamiento de belleza cosméticos para el cuidado de belleza; cosméticos y preparaciones cosméticas; crema corporal; crema corporal para uso cosmético; crema limpiadora; crema para las manos; cremas acondicionadoras; cremas antienvejecimiento; cremas autobronceadoras; cremas con filtro solar; cremas corporales [cosméticos]; cremas cosméticas de masaje; cremas cosméticas nutritivas; cremas cosméticas para la piel; cremas de belleza; cremas de belleza para el rostro y el cuerpo; cremas de hidratación intensiva; cremas de noche; cremas depilatorias; cremas desmaquillantes; cremas exfoliantes; cremas faciales para uso cosmético; cremas hidratantes; cremas limpiadoras; cremas para el rostro y el cuerpo; cremas para reducir la celulitis de uso cosmético; cremas tonificantes [cosméticos]; cremas y geles cosméticos para cara, manos y cuerpo; cremas, aceites, lociones, aerosoles, lápices y bálsamos para uso cosmético; depilatorios; desmaquilladores; detergente líquido; detergentes de espuma para uso doméstico; detergentes líquidos para lavavajillas; detergentes para la limpieza de la ropa para uso doméstico; detergentes para lavar los platos; detergentes para uso doméstico; discos de algodón para uso cosmético; esmaltes de uñas; esponjas impregnadas con artículos de tocador; esponjas impregnadas con jabones; esponjas impregnadas con jabones para uso doméstico; espuma de baño; espuma de limpieza; espuma limpiadora; exfoliante corporal; gel para ducha y baño; geles cosméticos; geles para el cabello; geles para el cuerpo y la cara [cosméticos]; geles para uso cosmético; hidratantes [cosméticos]; jabones corporales no medicados; jabones cosméticos; jabones de baño; jabones en forma líquida; jabones en polvo no medicinales; jabones líquidos; jabones para uso doméstico; jabones para uso personal; jabones y detergentes; jabón en polvo; kits de maquillaje; kits para el cuidado de las uñas que comprenden esmaltes de uñas y quitaesmaltes; leches de belleza; leches desmaquillantes; leches hidratantes; leches limpiadoras; lejía; limpiadores cosméticos faciales; limpiadores cosméticos para la piel; limpiadores faciales [cosméticos]; lociones antienvejecimiento para uso cosmético; lociones corporales; lociones cosméticas para el rostro; lociones cosméticas para la piel; lociones de baño para uso cosmético; lociones de belleza; lociones depilatorias; lociones hidratantes [cosméticos]; lociones, cremas y aceites de aplicación tópica para la piel y el cuerpo, de uso cosmético; líquidos de limpieza; manteca corporal; maquillaje [cosméticos]; mascarillas corporales en forma de cremas para uso cosmético; mascarillas cosméticas; pasta abrasiva; pastillas de jabón; pañitos cosméticos prehumedecidos; paños de limpieza húmedos; paños de limpieza impregnados con detergente; pintalabios; polvos cosméticos; polvos para fregar de uso general; polvos perfumados para uso cosmético; preparaciones autobronceadoras [cosméticos]; preparaciones cosméticas; preparaciones cosméticas para el rostro y el cuerpo; preparaciones de cuidado facial [cosméticos]; preparaciones de limpieza; preparaciones de limpieza para uso doméstico; preparaciones de maquillaje para la cara y el cuerpo; preparaciones de protección solar; preparaciones de tocador*; preparaciones desengrasantes para uso doméstico; preparaciones limpiadoras de uso personal; preparaciones para fregar; preparaciones para lavar el cabello; preparaciones para limpiar, lavar y pulir; preparaciones perfumadas para el cuidado del cuerpo; preparaciones y sustancias para limpiar y lavar; preparados cosméticos para el cuidado del cuerpo; preparados cosméticos para el tratamiento de la piel; productos antitranspirantes [artículos de tocador]; productos aromáticos para uso doméstico; productos cosméticos para el cuidado corporal; productos cosméticos para uso personal; productos cosméticos y de belleza; productos cosméticos y de maquillaje; productos cosméticos y de tocador; productos cosméticos y preparaciones de tocador no medicinales; productos de jabón; productos de limpieza; productos de limpieza en seco; productos de limpieza en spray; productos de limpieza para el hogar; productos de limpieza para uso doméstico; productos de maquillaje; productos y preparaciones cosméticos para el cuidado de la piel; quitaesmalte para uñas [cosméticos]; reafirmantes en gel para el cuerpo para uso cosmético; revitalizantes para el cabello de uso cosmético; sales blanqueadoras; sales de baño cosméticas; serum calmante para la piel; serum de corrección para el contorno de los ojos; serum para calmar la piel [cosmético]; serum para el contorno de ojos; soluciones para el lavado de la cara a base de gel, no medicinales; soluciones para el lavado de la cara a base de jabón, no medicinales; suavizantes de telas; sueros antiedad multiactivos; sueros de belleza; sueros faciales; sueros faciales para uso cosmético; sueros no medicados para la piel de la cara; sueros no medicinales para la piel; sueros para el contorno de los ojos; sueros para el cuidado del cabello; sueros para el peinado del cabello; sueros para uso cosmético; sustancias de limpieza para uso doméstico; sustancias para lavar; toallitas cosméticas impregnadas; toallitas húmedas con preparaciones de limpieza para uso doméstico; toallitas húmedas para uso higiénico y cosmético; toallitas impregnadas con preparados para el cuidado de la piel; toallitas impregnadas de lociones cosméticas; toallitas impregnadas de productos cosméticos; toallitas impregnadas de productos limpiadores para la piel; toallitas limpiadoras para el rostro; tratamientos de alisado para el cabello; tónicos cosméticos; tónicos faciales [cosméticos]; tónicos no medicinales para la piel.
</x:t>
        </x:is>
      </x:c>
      <x:c r="L560" s="3" t="inlineStr">
        <x:is>
          <x:t>No</x:t>
        </x:is>
      </x:c>
      <x:c r="M560" s="3" t="inlineStr">
        <x:is>
          <x:t>ALEJANDRO ALZATE BLAIR, Carrera 42 No. 3 Sur 81 of. 511, MEDELLIN, ANTIOQUIA, CO</x:t>
        </x:is>
      </x:c>
      <x:c r="N560" s="3" t="inlineStr">
        <x:is>
          <x:t/>
        </x:is>
      </x:c>
      <x:c r="O560" s="3" t="inlineStr">
        <x:is>
          <x:t>08 nov. 2022</x:t>
        </x:is>
      </x:c>
      <x:c r="P560" s="3" t="inlineStr">
        <x:is>
          <x:t/>
        </x:is>
      </x:c>
      <x:c r="Q560" s="3" t="inlineStr">
        <x:is>
          <x:t/>
        </x:is>
      </x:c>
    </x:row>
    <x:row r="561">
      <x:c r="A561" s="10" t="inlineStr">
        <x:f xml:space="preserve">HYPERLINK("http://sipi.sic.gov.co/sipi/View.ashx?4427655","SD2022/0111130")</x:f>
      </x:c>
      <x:c r="B561" s="3" t="inlineStr">
        <x:is>
          <x:t>Dermocracy</x:t>
        </x:is>
      </x:c>
      <x:c r="C561" s="9" t="inlineStr">
        <x:is>
          <x:t/>
        </x:is>
      </x:c>
      <x:c r="D561" s="3" t="inlineStr">
        <x:is>
          <x:t>28 oct. 2022</x:t>
        </x:is>
      </x:c>
      <x:c r="E561" s="3" t="inlineStr">
        <x:is>
          <x:t/>
        </x:is>
      </x:c>
      <x:c r="F561" s="3" t="inlineStr">
        <x:is>
          <x:t>Negada</x:t>
        </x:is>
      </x:c>
      <x:c r="G561" s="3" t="inlineStr">
        <x:is>
          <x:t>Dermocracy</x:t>
        </x:is>
      </x:c>
      <x:c r="H561" s="3" t="inlineStr">
        <x:is>
          <x:t> INVERSIONES TRES TEAM S.A.S, Calle 11 Sur 29 D 300, MEDELLIN, ANTIOQUIA, CO</x:t>
        </x:is>
      </x:c>
      <x:c r="I561" s="3" t="inlineStr">
        <x:is>
          <x:t>3</x:t>
        </x:is>
      </x:c>
      <x:c r="J561" s="3" t="inlineStr">
        <x:is>
          <x:t>11</x:t>
        </x:is>
      </x:c>
      <x:c r="K561" s="3" t="inlineStr">
        <x:is>
          <x:t>3. Aceites aromáticos; aceites bronceadores de uso cosmético; aceites cosméticos; aceites de limpieza; aceites de masaje, no medicinales; aceites de protección solar [cosméticos]; aceites de tocador; aceites esenciales; aceites hidratantes intensivos; aceites minerales [cosméticos]; aceites para después del sol [productos cosméticos]; aceites para el cabello; aceites para el cuerpo; aceites para uso cosmético; acondicionadores de cabello; acondicionadores labiales; acondicionadores para la piel; aerosoles cosméticos de uso tópico para la piel; aerosoles depilatorios; agentes de aclarado para lavar la ropa; agentes de enjuague para lavar la ropa; agentes de lavado para textiles; agentes de limpieza para uso doméstico; agentes y preparaciones de limpieza; agua de rosas [destilados de hierbas]; agua micelar; agua micelar de limpieza; agua oxigenada para el cabello; aguas de tocador; aguas de tocador y aguas de colonia; algodón e hisopos de algodón para uso cosmético; algodón impregnado de preparaciones desmaquillantes; algodón y bastoncillos de algodón para uso cosmético; alheña para uso cosmético; almohadillas de algodón para uso cosmético; almohadillas de limpieza prehumedecidas; almohadillas limpiadoras impregnadas de preparaciones de tocador; almohadillas limpiadoras impregnadas de productos cosméticos; almohadillas para uso cosmético; amoniaco [álcali volátil] [detergente]; antifaces de gel; antitranspirantes de uso personal; aromas [aceites esenciales]; astringentes para uso cosmético; autobronceadores [cosméticos]; barras de labios; barras de labios en stick con protección solar [cosméticos]; barras de labios hidratantes; barros corporales para uso cosmético; bases de maquillaje; baños de aceite para el cuidado del cabello de uso cosmético; baños de espuma; bloqueador solar [cosméticos]; bombas de baño; brillos de labios; brillos faciales y corporales; bronceadores para la piel; bálsamo acondicionador; bálsamos labiales; cera de lavandería; ceras de masaje, que no sean para uso médico; champúes para el cabello; champús acondicionadores; champús capilares; champús corporales; champús en seco*; champús y acondicionadores; champús*; cola de maquillaje para uso cosmético; cold creams; cold creams para uso cosmético; colonia; colorantes de labios [cosméticos]; colorantes para el cabello; colorete; compresas oculares para uso cosmético; corrector facial; correctores antiojeras; correctores de imperfecciones [productos cosméticos]; correctores de líneas y arrugas faciales; correctores de ojos; correctores para disimular manchas e imperfecciones de la piel; cosméticos; cosméticos de belleza; cosméticos en forma de cremas; cosméticos en forma de polvos; cosméticos naturales; cosméticos no medicinales; cosméticos orgánicos; cosméticos para cuidados corporales y estéticos; cosméticos para el cabello; cosméticos para tratamiento de belleza cosméticos para el cuidado de belleza; cosméticos y preparaciones cosméticas; cosméticos y preparaciones de cuidado personal; crema corporal; crema corporal para uso cosmético; crema en gel para matificar la piel; crema limpiadora; crema para aclarar la piel; crema para las manos; cremas antiarrugas; cremas antiarrugas para uso cosmético; cremas antienvejecimiento para uso cosmético; cremas autobronceadoras; cremas con filtro solar; cremas corporales; cremas corporales [cosméticos]; cremas cosméticas de masaje; cremas cosméticas para el cuidado de la piel; cremas cosméticas para el rostro; cremas cosméticas para tonificar la piel; cremas cosméticas reafirmantes para el contorno de ojos; cremas de afeitar; cremas de belleza para el rostro y el cuerpo; cremas de hidratación intensiva; cremas de limpieza; cremas de limpieza [cosméticos]; cremas de masaje cosméticas; cremas de noche; cremas de protección capilar, no medicinales; cremas de protección para el cabello; cremas depilatorias; cremas desmaquillantes; cremas emolientes reparadoras para el cuidado diario de la piel; cremas exfoliantes; cremas faciales; cremas faciales para uso cosmético; cremas hidratantes; cremas hidratantes para la piel [cosméticos]; cremas limpiadoras; cremas limpiadoras [productos cosméticos]; cremas limpiadoras para uso cosmético; cremas multiactivas para el contorno de los ojos; cremas para dar firmeza al cuerpo; cremas para el cuerpo [cosméticos]; cremas para el rostro de uso cosmético; cremas para el rostro y el cuerpo; cremas para el rostro y el cuerpo de uso cosmético; cremas para la piel de uso cosmético; cremas para reducir la celulitis de uso cosmético; cremas perfumadas; cremas reparadoras para la piel [cosméticos]; cremas tonificantes [cosméticos]; cremas y lociones cosméticas; cremas, aceites, lociones y preparaciones limpiadoras e hidratantes; cremas, leches, lociones, geles y polvos cosméticos para la cara, el cuerpo y las manos; cremas, lociones y geles hidratantes; cristales de baño; cristales de baño para uso cosmético; decolorantes para uso cosmético; depilatorios; desengrasantes con base solvente; desmaquilladores; desmaquilladores de ojos; desodorantes corporales; destilados de hierbas; destilados de plantas; detergente líquido; detergentes de espuma para uso doméstico; detergentes líquidos para lavavajillas; detergentes para la limpieza de la ropa para uso doméstico; detergentes para uso doméstico; detergentes para uso doméstico con propiedades desinfectantes; discos de algodón para uso cosmético; eau de parfum; emolientes para la piel de uso cosmético; emulsiones faciales; emulsiones faciales para uso cosmético; emulsiones, geles y lociones para el cuidado de la piel; esencias y aceites etéreos; esmaltes de uñas; esmaltes de uñas y quitaesmaltes; esponjas impregnadas con artículos de tocador; esponjas impregnadas con jabones; esponjas impregnadas con jabones para uso doméstico; esponjas impregnadas con preparaciones limpiadoras; esponjas impregnadas con preparaciones para la limpieza; espuma de baño; espuma de limpieza; espuma limpiadora; espuma moldeadora; espumas [cosméticas]; espumas de afeitar; exfoliante corporal; exfoliantes; exfoliantes [preparaciones cosméticas]; exfoliantes corporales cosméticos; exfoliantes para uso cosmético; extractos de plantas para uso cosmético; fangos corporales para uso cosmético; filtro solar [cosméticos]; fondo de maquillaje; fortalecedores de uñas; fragancias; fragancias para el hogar; fragancias para uso doméstico; fragancias para uso personal; gel crema matificante; gel de baño; gel para baño y ducha; geles antienvejecimiento para uso cosmético; geles capilares; geles corporales y faciales [cosméticos]; geles cosméticos; geles de masaje que no sean para uso médico; geles hidratantes [cosméticos]; geles para el peinado; geles para uso cosmético; geles, cremas y aceites de ducha; guata para uso cosmético; henna para uso cosmético; hidratante para la piel; hidratantes; hidratantes [cosméticos]; hidratantes cosméticas para el rostro; hidratantes faciales [cosméticos]; hidratantes faciales de uso cosmético; hidratantes para el cabello; hidratantes para la piel utilizados como cosméticos; hidrocremas intensiva; jabones corporales no medicados; jabones de baño; jabones de ducha; jabones cosméticos; jabones de papel para uso personal; jabones de tocador; jabones detergentes; jabones en crema; jabones en forma líquida; jabones en polvo no medicinales; jabones faciales; jabones líquidos; jabones para el cuerpo; jabones para lavar la ropa; jabones para uso doméstico; jabones para uso personal; jabones y detergentes; jabones*; jabón de baño; jabón en polvo; jabón en seco; kits de maquillaje; kits para el cuidado de las uñas que comprenden esmaltes de uñas y quitaesmaltes; lacas para el cabello; leche bronceadora; leche hidratante para después de afeitar; leches bronceadoras [cosméticos]; leches de baño; leches de belleza; leches de limpieza facial; leches desmaquillantes; leches hidratantes; leches limpiadoras; leches para el cuerpo; leches, geles, lociones y cremas desmaquillantes; lejía; limpiadores cosméticos cutáneos; limpiadores cosméticos faciales; limpiadores faciales [cosméticos]; limpiadores para la cara; limpiadores para uso doméstico; lociones antienvejecimiento para uso cosmético; lociones capilares cosméticas; lociones capilares*; lociones con filtro solar; lociones corporales; lociones cosméticas para el rostro; lociones cosméticas para la piel; lociones de belleza; lociones hidratantes [cosméticos]; lociones para uso cosmético; lociones tonificantes para el cuerpo; lociones tónicas para el cuerpo; lociones tónicas para el rostro, el cuerpo y las manos de uso cosmético; lociones y cremas corporales perfumadas; lodos corporales para uso cosmético; lápices de maquillaje; líquidos de limpieza; líquidos de limpieza en seco; líquidos para fregar; líquidos y polvos de uso general para limpiar, lustrar y raspar; manteca corporal para uso cosmético; maquillaje; maquillaje [cosméticos]; maquillaje para el cuerpo; maquillaje para el rostro y el cuerpo; mascarillas corporales; mascarillas cosméticas; mascarillas de belleza; mascarillas de belleza para el cabello; mascarillas envasadas para uso cosmético; mascarillas faciales; mascarillas faciales cosméticas; mascarillas faciales limpiadoras; mascarillas para el cabello y el cuero cabelludo; mascarillas para la piel [cosméticos]; máscaras refrigerantes en gel para los ojos; máscaras refrigerantes para los ojos; papel secante anti-brillo [cosméticos]; papel secante para uso cosmético; parches cosméticos con filtro y pantalla solar para aplicar sobre la piel; parches de gel para los ojos con fines cosméticos; parches de lifting facial para uso cosmético; parches refrigerantes en gel para los ojos; pastas perfumadas para uso cosmético; pastillas de jabón; pañitos cosméticos prehumedecidos; pañitos de limpieza impregnados con preparaciones de tocador; pañitos de limpieza prehumedecidos; paños de limpieza húmedos; paños húmedos para desempolvar; perfumería para cosméticos; perfumería y fragancias; perfumes y aguas de tocador; perlas de baño; piedras para pulir; piedras para suavizar; pintalabios; pintura corporal; polvos cosméticos; polvos de baño; polvos de maquillaje; polvos faciales [cosméticos]; polvos para el cuerpo de uso cosmético; polvos para fregar; polvos para lavar el cabello; pomadas labiales; preparaciones antiarrugas para el cuidado de la piel; preparaciones antienvejecimiento para el cuidado de la piel; preparaciones autobronceadoras; preparaciones blanqueadoras; preparaciones capilares de protección solar; preparaciones capilares no medicamentosas; preparaciones colorantes de uso cosmético; preparaciones con filtro solar; preparaciones cosméticas; preparaciones cosméticas para el rostro y el cuerpo; preparaciones de cuidado corporal no medicamentosas; preparaciones de cuidado corporal y de belleza para uso cosmético; preparaciones de cuidado facial; preparaciones de cuidado facial [cosméticos]; preparaciones de limpieza; preparaciones de limpieza para el cuerpo; preparaciones de limpieza para el hogar; preparaciones de limpieza para uso doméstico; preparaciones de maquillaje para el rostro y el cuerpo; preparaciones de maquillaje para la cara y el cuerpo; preparaciones de protección solar; preparaciones de tocador*; preparaciones depilatorias y exfoliantes; preparaciones exfoliantes faciales para uso cosmético; preparaciones faciales; preparaciones faciales [cosméticos]; preparaciones hidratantes [cosméticos]; preparaciones limpiadoras de uso personal; preparaciones para blanquear; preparaciones para el cuidado de la piel [productos cosméticos]; preparaciones para el cuidado del cabello; preparaciones para lavar el cabello; preparaciones para lavar la cara; preparaciones para limpiar, lavar y pulir; preparaciones químicas de limpieza para uso doméstico; preparaciones y sustancias para limpiar y lavar; preparación nutritiva para el cabello; preparados cosméticos para el cuidado del cuerpo; preparados cosméticos para el tratamiento de la piel; productos antitranspirantes [artículos de tocador]; productos blanqueadores para uso doméstico; productos con filtro solar para uso cosmético; productos cosméticos a base de hierbas; productos cosméticos en forma de cremas; productos cosméticos en forma de polvos; productos cosméticos no medicinales; productos cosméticos para el cabello y el cuero cabelludo; productos cosméticos para el cuidado corporal; productos cosméticos para el cuidado de la piel; productos cosméticos para uso personal; productos cosméticos y de belleza; productos cosméticos y de maquillaje; productos cosméticos y de tocador; productos de jabón; productos de limpieza; productos de limpieza en aerosoles para uso doméstico; productos de limpieza para el hogar; productos de limpieza para uso doméstico; productos de maquillaje; productos de perfumería; productos de perfumería, aceites esenciales; productos hidratantes antienvejecimiento; productos hidratantes para el cabello; productos para el cuidado de la piel, no medicinales; productos para lavar platos; productos y preparaciones cosméticos para el cuidado de la piel; quitaesmaltes; quitamanchas; reafirmantes en gel para el cuerpo para uso cosmético; revitalizantes para el cabello; sales de baño cosméticas; serum de corrección para el contorno de los ojos; serum para calmar la piel [cosmético]; serum para el contorno de ojos; soluciones para el lavado de la cara a base de gel, no medicinales; soluciones para el lavado de la cara a base de jabón, no medicinales; solventes desengrasantes, que no sean para procesos de fabricación; solventes limpiadores, que no sean para procesos de fabricación; sprays de agua mineral para uso cosmético; suavizantes de telas; sueros antiedad multiactivos; sueros de belleza; sueros faciales; sueros faciales para uso cosmético; sueros no medicados para la piel de la cara; sueros no medicinales para la piel; sueros para el contorno de los ojos; sueros para el cuidado del cabello; sueros para uso cosmético; sustancias blanqueadoras para uso en la limpieza doméstica; sustancias de limpieza para uso doméstico; talco; tintes cosméticos; tintes de labios [cosméticos]; tónicos cosméticos; tónicos cosméticos para el rostro; tónicos faciales [cosméticos]; tónicos no medicinales para la piel; tónicos para la piel para uso cosmético; tónicos para uso cosmético.
</x:t>
        </x:is>
      </x:c>
      <x:c r="L561" s="3" t="inlineStr">
        <x:is>
          <x:t>No</x:t>
        </x:is>
      </x:c>
      <x:c r="M561" s="3" t="inlineStr">
        <x:is>
          <x:t>ALEJANDRO ALZATE BLAIR, Carrera 42 No. 3 Sur 81 of. 511, MEDELLIN, ANTIOQUIA, CO</x:t>
        </x:is>
      </x:c>
      <x:c r="N561" s="3" t="inlineStr">
        <x:is>
          <x:t/>
        </x:is>
      </x:c>
      <x:c r="O561" s="3" t="inlineStr">
        <x:is>
          <x:t>08 nov. 2022</x:t>
        </x:is>
      </x:c>
      <x:c r="P561" s="3" t="inlineStr">
        <x:is>
          <x:t/>
        </x:is>
      </x:c>
      <x:c r="Q561" s="3" t="inlineStr">
        <x:is>
          <x:t/>
        </x:is>
      </x:c>
    </x:row>
    <x:row r="562">
      <x:c r="A562" s="10" t="inlineStr">
        <x:f xml:space="preserve">HYPERLINK("http://sipi.sic.gov.co/sipi/View.ashx?4427834","SD2022/0111191")</x:f>
      </x:c>
      <x:c r="B562" s="3" t="inlineStr">
        <x:is>
          <x:t>Beautic Momentos de Cuidado</x:t>
        </x:is>
      </x:c>
      <x:c r="C562" s="9" t="inlineStr">
        <x:is>
          <x:t/>
        </x:is>
      </x:c>
      <x:c r="D562" s="3" t="inlineStr">
        <x:is>
          <x:t>28 oct. 2022</x:t>
        </x:is>
      </x:c>
      <x:c r="E562" s="3" t="inlineStr">
        <x:is>
          <x:t/>
        </x:is>
      </x:c>
      <x:c r="F562" s="3" t="inlineStr">
        <x:is>
          <x:t>Negada</x:t>
        </x:is>
      </x:c>
      <x:c r="G562" s="3" t="inlineStr">
        <x:is>
          <x:t>Beautic Momentos de Cuidado</x:t>
        </x:is>
      </x:c>
      <x:c r="H562" s="3" t="inlineStr">
        <x:is>
          <x:t> INVERSIONES TRES TEAM S.A.S, Calle 11 Sur 29 D 300, MEDELLIN, ANTIOQUIA, CO</x:t>
        </x:is>
      </x:c>
      <x:c r="I562" s="3" t="inlineStr">
        <x:is>
          <x:t>3</x:t>
        </x:is>
      </x:c>
      <x:c r="J562" s="3" t="inlineStr">
        <x:is>
          <x:t>11</x:t>
        </x:is>
      </x:c>
      <x:c r="K562" s="3" t="inlineStr">
        <x:is>
          <x:t>3. Aceites aromáticos; aceites bronceadores [cosméticos]; aceites cosméticos; aceites de limpieza; aceites de masaje, no medicinales; aceites de protección solar [cosméticos]; aceites destilados para el cuidado de belleza; aceites esenciales; aceites esenciales para uso cosmético; aceites faciales; aceites hidratantes intensivos; aceites minerales [cosméticos]; aceites para bronceado [cosméticos]; aceites para después del sol [productos cosméticos]; aceites para el bronceado de la piel; aceites para el cabello; aceites para el cuerpo de uso cosmético; aceites para uso cosmético; aceites perfumados; aceites puros para uso cosmético; aceites solares de uso cosmético; aceites suavizantes para el cabello; aceites y lociones con filtro solar; acondicionadores de cabello; acondicionadores para el cabello; acondicionadores para la piel; aerosoles depilatorios; agua de colonia; agua de azahar para uso cosmético; agua micelar; agua micelar de limpieza; agua oxigenada para el cabello; aguas de tocador; aguas de tocador y aguas de colonia; algodón e hisopos de algodón para uso cosmético; algodón impregnado de preparaciones desmaquillantes; alheña para uso cosmético [henna]; almohadillas de limpieza impregnadas de cosméticos; almohadillas de limpieza prehumedecidas; almohadillas para uso cosmético; almohadillas, toallitas o pañitos húmedos o impregnados de preparaciones limpiadoras; astringentes para uso cosmético; autobronceadores [cosméticos]; barras de labios; barras de labios con protección solar [cosméticos]; barros corporales para uso cosmético; bases de maquillaje; basma para uso cosmético; baños de aceite para el cuidado del cabello; baños de espuma; bloqueador solar [cosméticos]; bombas de baño; brillos faciales y corporales; bronceadores para la piel; bálsamo acondicionador; bálsamos [cremas] para disimular las imperfecciones de la piel; bálsamos capilares; bálsamos para el cabello; cera para el pelo; champúes para el cabello; champús 3 en 1; champús acondicionadores; champús capilares; champús y acondicionadores; champús y acondicionadores para el cabello; champús*; cold creams; cold creams para uso cosmético; colonia; colonias, perfumes y productos cosméticos; colorantes de labios [cosméticos]; colorantes labiales [cosméticos]; colorantes para lavar la ropa; colorete; corrector facial; correctores antiojeras; correctores de imperfecciones [productos cosméticos]; correctores de líneas y arrugas faciales; correctores de ojeras; correctores de ojos; correctores para disimular manchas e imperfecciones de la piel; cosméticos; cosméticos de belleza; cosméticos ecológicos; cosméticos en forma de cremas; cosméticos en forma de polvos; cosméticos naturales; cosméticos no medicinales; cosméticos orgánicos; cosméticos para cuidados corporales y estéticos; cosméticos para el cabello; cosméticos para el cuidado del cuerpo; cosméticos para tratamiento de belleza cosméticos para el cuidado de belleza; cosméticos y preparaciones cosméticas; cosméticos y preparaciones de cuidado personal; crema corporal; crema corporal para uso cosmético; crema en gel para matificar la piel; crema limpiadora; cremas acondicionadoras; cremas acondicionadoras para la piel, de uso cosmético; cremas antiarrugas; cremas antiarrugas para uso cosmético; cremas antienvejecimiento; cremas antienvejecimiento para uso cosmético; cremas bronceadoras; cremas bálsamos de belleza; cremas capilares; cremas con filtro solar para uso cosmético; cremas corporales; cremas corporales [cosméticos]; cremas cosmética para el cuerpo; cremas cosméticas; cremas cosméticas de masaje; cremas cosméticas nutritivas; cremas cosméticas para el cuidado de la piel; cremas cosméticas para el rostro; cremas cosméticas para la piel; cremas cosméticas para tonificar la piel; cremas cosméticas reafirmantes para el contorno de ojos; cremas de belleza; cremas de belleza para el rostro y el cuerpo; cremas de ducha; cremas de hidratación intensiva; cremas de limpieza; cremas de limpieza [cosméticos]; cremas de limpieza para uso cosmético; cremas de masaje cosméticas; cremas de protección para el cabello; cremas depilatorias; cremas desmaquillantes; cremas emolientes reparadoras para el cuidado diario de la piel; cremas exfoliantes para uso cosmético; cremas faciales; cremas faciales para uso cosmético; cremas hidratantes; cremas hidratantes para la piel [cosméticos]; cremas limpiadoras [productos cosméticos]; cremas multiactivas para el contorno de los ojos; cremas no medicadas para hidratar la piel; cremas no medicadas para la hidratación de la piel; cremas para dar firmeza al cuerpo; cremas para el cabello; cremas para el cuerpo [cosméticos]; cremas para el cuidado de la piel, no medicinales; cremas para el cuidado del cabello; cremas para el rostro; cremas para el rostro y el cuerpo; cremas para la piel de uso cosmético; cremas para los labios; cremas para los ojos de uso cosmético; cremas para reducir la celulitis de uso cosmético; cremas perfumadas para uso cosmético; cremas reafirmantes corporales; cremas regeneradoras; cremas reparadoras para la piel de uso cosmético; cremas revitalizantes para la piel; cremas y geles cosméticos para cara, manos y cuerpo; cremas y lociones cosméticas; cremas, aceites, lociones y preparaciones limpiadoras e hidratantes; cremas, aceites, lociones, aerosoles, lápices y bálsamos para uso cosmético; cremas, leches, lociones, geles y polvos cosméticos para la cara, el cuerpo y las manos; cristales de baño para uso cosmético; decolorantes para uso cosmético; depilatorios; desengrasantes con base solvente; desmaquilladores; desodorantes antitranspirantes; detergente líquido; detergentes para el hogar; detergentes para la limpieza que no sean para procesos de fabricación; detergentes para uso doméstico; detergentes para uso doméstico con propiedades desinfectantes; eau de parfum; emolientes para la piel de uso cosmético; emulsiones faciales; emulsiones faciales para uso cosmético; emulsiones para el cuerpo de uso cosmético; emulsiones, geles y lociones para el cuidado de la piel; enjuagues para el cabello de uso cosmético; esencias y aceites etéreos; esmaltes de uñas; esponjas impregnadas con artículos de tocador; esponjas impregnadas con jabones; esponjas impregnadas con jabones para uso doméstico; esponjas impregnadas con preparaciones limpiadoras; esponjas impregnadas con preparaciones para la limpieza; esponjas impregnadas con productos de tocador no medicinales; espuma de baño; espuma limpiadora; espumas [cosméticas]; espumas de limpieza; espumas para el cabello [productos de tocador]; espumas para el cuidado de la piel; espumas y geles para peinar el cabello; exfoliantes; exfoliantes corporales cosméticos; exfoliantes faciales; extractos de plantas para uso cosmético; fangos corporales para uso cosmético; fijadores capilares; filtro solar [cosméticos]; fondo de maquillaje; fragancias; fragancias y productos de perfumería; geles antienvejecimiento para uso cosmético; geles bronceadores; geles capilares; geles corporales y faciales [cosméticos]; geles cosméticos; geles de baño y de ducha no medicinales; geles de belleza; geles hidratantes; geles hidratantes [cosméticos]; geles para el cabello; geles para los ojos de uso cosmético; geles para uso cosmético; geles y espumas para el cabello; guata para uso cosmético; henna para uso cosmético [alheña]; hidratantes; hidratantes [cosméticos]; hidratantes cosméticas para el rostro; hidratantes faciales; hidratantes faciales de uso cosmético; hidratantes para el cabello; hidratantes para la piel; hidrocremas intensiva; hilas para uso cosmético; jabones cosméticos; jabones de baño; jabones de papel para uso personal; jabones detergentes; jabones en forma líquida; jabones faciales; jabones líquidos; jabones líquidos para el baño; jabones no medicinales; jabones para lavar la ropa; jabones para uso doméstico; jabones para uso personal; jabones*; jabón de baño; jabón en polvo; kits de maquillaje; kits para el cuidado de las uñas que comprenden esmaltes de uñas y quitaesmaltes; leches bronceadoras [cosméticos]; leches de baño; leches de belleza; leches de limpieza facial; leches desmaquillantes; leches hidratantes; leches para el rostro y el cuerpo de uso cosmético; lejía; limpiadores cosméticos faciales; limpiadores cosméticos para la piel; limpiadores cutáneos [productos cosméticos]; limpiadores faciales [cosméticos]; limpiadores líquidos para la piel; limpiadores para uso doméstico; lociones capilares cosméticas; lociones con filtro solar para uso cosmético; lociones corporales; lociones cosméticas para el bronceado de la piel; lociones de belleza; lociones de protección solar; lociones desmaquillantes; lociones faciales [cosméticos]; lociones hidratantes; lociones hidratantes [cosméticos]; lociones hidratantes para el cuerpo [cosméticos]; lociones no medicinales para el cuidado de la piel [cosméticos]; lociones para el cabello; lociones para el cuerpo de uso cosmético; lociones para reducir la celulitis de uso cosmético; lociones para uso cosmético; lociones tonificantes para el cuerpo; lociones y cremas corporales perfumadas; lociones, cremas y aceites de aplicación tópica para la piel y el cuerpo, de uso cosmético; lodos corporales para uso cosmético; lápices para uso cosmético; líquidos para fregar; líquidos y polvos de uso general para limpiar, lustrar y raspar; manteca corporal para uso cosmético; maquillaje; maquillaje [cosméticos]; maquillaje para el rostro y el cuerpo; mascarillas corporales; mascarillas cosméticas; mascarillas de belleza; mascarillas de belleza para el cabello; mascarillas faciales; mascarillas faciales cosméticas; mascarillas faciales de belleza; mascarillas faciales limpiadoras; mascarillas para el cutis [cosméticos]; mascarillas para hidratar la piel; mascarillas para la piel de uso cosmético; máscaras cosméticas de barro; neceseres de cosmética; papel secante anti-brillo [cosméticos]; parches de gel para los ojos con fines cosméticos; parches de gel para los ojos de uso cosmético; parches refrigerantes en gel para los ojos; pastillas de jabón; pañitos cosméticos prehumedecidos; paños de limpieza impregnados con detergente; paños húmedos para desempolvar; paños húmedos para limpiar, desempolvar o lustrar; paños impregnados con preparaciones de limpieza; perfumería para cosméticos; perfumes y aguas de colonia; perlas de baño para uso cosmético; pintalabios; pintura corporal; polvos cosméticos; polvos de maquillaje; polvos faciales [cosméticos]; polvos para el cuerpo de uso cosmético; polvos para fregar de uso general; preparaciones antiarrugas para el cuidado de la piel; preparaciones autobronceadoras [cosméticos]; preparaciones blanqueadoras; preparaciones capilares no medicinales; preparaciones colorantes de uso cosmético; preparaciones cosméticas; preparaciones cosméticas de cuidado facial; preparaciones cosméticas de peluquería; preparaciones cosméticas no medicadas; preparaciones cosméticas para el baño y la ducha; preparaciones cosméticas para el cuidado del cabello; preparaciones cosméticas para el rostro y el cuerpo; preparaciones de cuidado corporal no medicinales; preparaciones de cuidado facial [cosméticos]; preparaciones de limpieza; preparaciones de limpieza para uso doméstico; preparaciones de maquillaje para el rostro y el cuerpo; preparaciones desengrasantes para uso doméstico; preparaciones faciales [cosméticos]; preparaciones hidratantes [cosméticos]; preparaciones limpiadoras de uso personal; preparaciones no medicinales para masajes; preparaciones para el cuidado del cuerpo y la belleza; preparaciones para el cuidado y la belleza personal; preparaciones para lavar el cabello; preparaciones para limpiar pisos; preparaciones para limpiar, lustrar y fregar; preparaciones perfumadas para el cuidado del cuerpo; preparaciones químicas de limpieza para uso doméstico; preparaciones y sustancias depilatorias; preparación nutritiva para el cabello; preparados cosméticos para el cuidado del cuerpo; preparados cosméticos para el tratamiento de la piel; productos aromáticos para uso doméstico; productos cosméticos y de belleza; productos cosméticos y de maquillaje; productos cosméticos y de tocador; productos de limpieza; productos de limpieza para uso doméstico; productos de maquillaje; productos y preparaciones cosméticos para el cuidado de la piel; quitaesmaltes; reafirmantes en gel para el cuerpo para uso cosmético; preparaciónes nutritiva para el cabello; productos con filtro solar para uso cosmético; productos cosméticos en forma de cremas; productos cosméticos en forma de polvos; productos cosméticos para el baño y la ducha; productos cosméticos para el cuidado corporal; productos cosméticos para la piel; productos cosméticos para uso personal; productos cosméticos y preparaciones de tocador no medicinales; productos de jabón; productos de perfumería; productos depilatorios; productos químicos de uso doméstico para avivar los colores [lavandería]; quitaesmaltes de uñas [cosméticos]; serum calmante para la piel; serum de corrección para el contorno de los ojos; serum para calmar la piel [cosmético]; serum para el contorno de ojos; sprays de agua mineral para uso cosmético; sprays para el cuerpo de uso cosmético; sueros antiedad multiactivos; sueros de belleza; sueros faciales; sueros faciales para uso cosmético; sueros para el contorno de los ojos; sueros para el cuidado del cabello; sueros para uso cosmético; talco para uso cosmético; tintes cosméticos; tiza para uso cosmético; toallitas cosméticas prehumedecidas; toallitas húmedas con preparaciones de limpieza para uso doméstico; toallitas húmedas impregnadas con detergente; toallitas húmedas para uso higiénico y cosmético; toallitas impregnadas de aceites esenciales, para uso cosmético; toallitas para el rostro; tónicos cosméticos; tónicos cosméticos para el rostro; tónicos faciales [cosméticos]; tónicos para uso cosmético.
</x:t>
        </x:is>
      </x:c>
      <x:c r="L562" s="3" t="inlineStr">
        <x:is>
          <x:t>No</x:t>
        </x:is>
      </x:c>
      <x:c r="M562" s="3" t="inlineStr">
        <x:is>
          <x:t>ALEJANDRO ALZATE BLAIR, Carrera 42 No. 3 Sur 81 of. 511, MEDELLIN, ANTIOQUIA, CO</x:t>
        </x:is>
      </x:c>
      <x:c r="N562" s="3" t="inlineStr">
        <x:is>
          <x:t/>
        </x:is>
      </x:c>
      <x:c r="O562" s="3" t="inlineStr">
        <x:is>
          <x:t>08 nov. 2022</x:t>
        </x:is>
      </x:c>
      <x:c r="P562" s="3" t="inlineStr">
        <x:is>
          <x:t/>
        </x:is>
      </x:c>
      <x:c r="Q562" s="3" t="inlineStr">
        <x:is>
          <x:t/>
        </x:is>
      </x:c>
    </x:row>
    <x:row r="563">
      <x:c r="A563" s="10" t="inlineStr">
        <x:f xml:space="preserve">HYPERLINK("http://sipi.sic.gov.co/sipi/View.ashx?4429883","SD2022/0119242")</x:f>
      </x:c>
      <x:c r="B563" s="3" t="inlineStr">
        <x:is>
          <x:t>Merlina SAGRADO RENACER </x:t>
        </x:is>
      </x:c>
      <x:c r="C563" s="9" t="inlineStr">
        <x:is>
          <x:t/>
        </x:is>
      </x:c>
      <x:c r="D563" s="3" t="inlineStr">
        <x:is>
          <x:t>18 nov. 2022</x:t>
        </x:is>
      </x:c>
      <x:c r="E563" s="3" t="inlineStr">
        <x:is>
          <x:t/>
        </x:is>
      </x:c>
      <x:c r="F563" s="3" t="inlineStr">
        <x:is>
          <x:t>Negada</x:t>
        </x:is>
      </x:c>
      <x:c r="G563" s="3" t="inlineStr">
        <x:is>
          <x:t>Merlina</x:t>
        </x:is>
      </x:c>
      <x:c r="H563" s="3" t="inlineStr">
        <x:is>
          <x:t>María Alejandra  Albornoz Rueda, Calle 125 # 11b - 94, BOGOTÁ, D.C., CO</x:t>
        </x:is>
      </x:c>
      <x:c r="I563" s="3" t="inlineStr">
        <x:is>
          <x:t>3, 14</x:t>
        </x:is>
      </x:c>
      <x:c r="J563" s="3" t="inlineStr">
        <x:is>
          <x:t>11</x:t>
        </x:is>
      </x:c>
      <x:c r="K563" s="3" t="inlineStr">
        <x:is>
          <x:t>3. Jabones de baño; jabones de baño en forma líquida, sólida o de gel; jabones de tocador no medicinales; jabones de tocador perfumados; jabones en crema; jabones en crema para el cuerpo; jabones en forma líquida; jabones faciales; jabones líquidos; jabones líquidos para el baño; jabones líquidos para las manos, el rostro y el cuerpo; jabones no medicinales; jabones para el cuidado del cuerpo; jabones perfumados; jabones vegetales; aceites de perfumería; agua de perfume; colonias, perfumes y productos cosméticos; difusores de perfumes de ambiente con varillas; eau de parfum [agua de perfume]; extractos de flores en cuanto perfumes; extractos de flores en cuanto productos de perfumería; fragancias y productos de perfumería; mezclas de perfumería; perfumería para cosméticos; perfumería y fragancias; perfumes; perfumes y aguas de colonia; perfumes y aguas de tocador; perfumes y colonias; preparaciones ambientadoras (perfumes); productos de perfumería;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barritas de incienso; bastoncillos de incienso; incienso y conos de incienso; incienso*; palitos de incienso; pebetes de incienso; productos de perfumería, fragancias e incienso; varillas de incienso; varitas de incienso; aceites de limpieza; aceites de masaje, no medicinales; aceites de pino para la limpieza de suelos;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naturales; aceites esenciales para ambientadores de interior; aceites esenciales para aparatos ambientadores de interior; aceites minerales [cosméticos].
14. Anillos [joyas]; cadenas para joyas; cajas de metales preciosos para joyas; cofrecillos para joyas; collares de cadena [joyas]; dijes de metales preciosos [joyas]; estuches para joyas [joyeros] de metales preciosos; joyas; joyas de bronce; joyas de cristal; joyas de cristal fino; joyas de diamantes; joyas de hilado de oro; joyas de marfil; joyas de piedras preciosas y semipreciosas; joyas de plata de ley; joyas de platino; joyas de ámbar amarillo; joyas para la cabeza; joyeros [cofrecillos para joyas]; organizadores de joyas [cajas]; pequeñas cajas de joyas de metales preciosos; piedras preciosas [joyas]; pulseras de identificación [joyas]; talismanes [joyas].
</x:t>
        </x:is>
      </x:c>
      <x:c r="L563" s="3" t="inlineStr">
        <x:is>
          <x:t>No</x:t>
        </x:is>
      </x:c>
      <x:c r="M563" s="3" t="inlineStr">
        <x:is>
          <x:t>Matteo Campiño Gutierrez, Carrera 8 # 85 31 Apto. 904, BOGOTÁ, D.C. 110221, CO</x:t>
        </x:is>
      </x:c>
      <x:c r="N563" s="3" t="inlineStr">
        <x:is>
          <x:t/>
        </x:is>
      </x:c>
      <x:c r="O563" s="3" t="inlineStr">
        <x:is>
          <x:t>27 feb. 2023</x:t>
        </x:is>
      </x:c>
      <x:c r="P563" s="3" t="inlineStr">
        <x:is>
          <x:t/>
        </x:is>
      </x:c>
      <x:c r="Q563" s="3" t="inlineStr">
        <x:is>
          <x:t/>
        </x:is>
      </x:c>
    </x:row>
    <x:row r="564">
      <x:c r="A564" s="10" t="inlineStr">
        <x:f xml:space="preserve">HYPERLINK("http://sipi.sic.gov.co/sipi/View.ashx?4430857","SD2022/0114151")</x:f>
      </x:c>
      <x:c r="B564" s="3" t="inlineStr">
        <x:is>
          <x:t>Fenik</x:t>
        </x:is>
      </x:c>
      <x:c r="C564" s="9" t="inlineStr">
        <x:is>
          <x:t/>
        </x:is>
      </x:c>
      <x:c r="D564" s="3" t="inlineStr">
        <x:is>
          <x:t>04 nov. 2022</x:t>
        </x:is>
      </x:c>
      <x:c r="E564" s="3" t="inlineStr">
        <x:is>
          <x:t/>
        </x:is>
      </x:c>
      <x:c r="F564" s="3" t="inlineStr">
        <x:is>
          <x:t>Negada</x:t>
        </x:is>
      </x:c>
      <x:c r="G564" s="3" t="inlineStr">
        <x:is>
          <x:t>FENIK</x:t>
        </x:is>
      </x:c>
      <x:c r="H564" s="3" t="inlineStr">
        <x:is>
          <x:t>Valentina Pineda Rojas, Carrera 18 # 93A -57  Edifico artek 93, BOGOTÁ, D.C., CO</x:t>
        </x:is>
      </x:c>
      <x:c r="I564" s="3" t="inlineStr">
        <x:is>
          <x:t>3</x:t>
        </x:is>
      </x:c>
      <x:c r="J564" s="3" t="inlineStr">
        <x:is>
          <x:t>11</x:t>
        </x:is>
      </x:c>
      <x:c r="K564" s="3" t="inlineStr">
        <x:is>
          <x:t>3. Aceite de amla para uso cosmético; aceite de coco para uso cosmético; aceite de lavanda para uso cosmético; aceite de neem para uso cosmético; aceite de ricino para uso cosmético; aceites cosméticos; aceites cosméticos para la piel; aceites esenciales para uso cosmético; aceites minerales [cosméticos]; aceites para uso cosmético; cold creams para uso cosmético; cosméticos; cosméticos a base de cannabis; cosméticos a base de cáñamo; cosméticos a base de hierbas; cosméticos ecológicos; cosméticos en forma de cremas; cosméticos naturales; cosméticos no medicinales; cosméticos orgánicos; cosméticos para broncear la piel; cosméticos para cuidados corporales y estéticos; cosméticos para el cuidado del cuerpo; cosméticos para tratamiento de belleza cosméticos para el cuidado de belleza; cosméticos y preparaciones cosméticas; cremas acondicionadoras para la piel, de uso cosmético; cremas antiarrugas para uso cosmético; cremas antienvejecimiento para uso cosmético; cremas corporales [cosméticos]; cremas de limpieza [cosméticos]; cremas de limpieza [para uso cosmético]; cremas faciales para uso cosmético; cremas hidratantes para la piel [cosméticos]; cremas para atenuar las manchas de la vejez de uso cosmético; cremas para después del sol de uso cosmético; cremas para el cabello de uso cosmético; cremas para la piel de uso cosmético; cremas para reducir la celulitis de uso cosmético; cremas reparadoras para la piel [cosméticos]; cremas reparadoras para la piel de uso cosmético; cremas tonificantes [cosméticos]; cremas y geles cosméticos para cara, manos y cuerpo; cosméticos en forma de polvos; cosméticos para el cabello; cosméticos para el cuero cabelludo; cosméticos para las cejas; cosméticos para los labios; cosméticos para pestañas; cosméticos y preparaciones de cuidado personal; crema corporal para uso cosmético; cremas con vitamina a para uso cosmético; cremas contra las pecas [para uso cosmético]; cremas de protección solar para uso cosmético; cremas exfoliantes para uso cosmético; cremas para el cabello para uso cosmético; cremas para el cuerpo [cosméticos]; cremas para el rostro de uso cosmético; cremas para las manos de uso cosmético; cremas para las uñas de uso cosmético; cremas para los labios de uso cosmético; cremas para los ojos de uso cosmético; cremas y geles cosméticos para rostro, manos y cuerpo; endurecedores de uñas [cosméticos]; esmaltes de base para las uñas [productos cosméticos]; esmaltes de uñas para uso cosmético; exfoliantes corporales cosméticos; exfoliantes corporales para uso cosmético; exfoliantes para el cuerpo de uso cosmético; geles cosméticos; geles hidratantes [cosméticos]; geles para el cuerpo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leches y lociones para el rostro de uso cosmético; limpiadores cosméticos para la piel; limpiadores de la piel [cosméticos]; lociones hidratantes [cosméticos]; lociones para el cabello de uso cosmético; lociones para el cuerpo de uso cosmético; mascarillas faciales para uso cosmético; mascarillas oculares para uso cosmético.
</x:t>
        </x:is>
      </x:c>
      <x:c r="L564" s="3" t="inlineStr">
        <x:is>
          <x:t>No</x:t>
        </x:is>
      </x:c>
      <x:c r="M564" s="3" t="inlineStr">
        <x:is>
          <x:t>Matteo Campiño Gutierrez, Carrera 8 # 85 31 Apto. 904, BOGOTÁ, D.C. 110221, CO</x:t>
        </x:is>
      </x:c>
      <x:c r="N564" s="3" t="inlineStr">
        <x:is>
          <x:t/>
        </x:is>
      </x:c>
      <x:c r="O564" s="3" t="inlineStr">
        <x:is>
          <x:t>16 feb. 2023</x:t>
        </x:is>
      </x:c>
      <x:c r="P564" s="3" t="inlineStr">
        <x:is>
          <x:t/>
        </x:is>
      </x:c>
      <x:c r="Q564" s="3" t="inlineStr">
        <x:is>
          <x:t/>
        </x:is>
      </x:c>
    </x:row>
    <x:row r="565">
      <x:c r="A565" s="10" t="inlineStr">
        <x:f xml:space="preserve">HYPERLINK("http://sipi.sic.gov.co/sipi/View.ashx?4431848","SD2022/0112020")</x:f>
      </x:c>
      <x:c r="B565" s="3" t="inlineStr">
        <x:is>
          <x:t>HALEON For Health. With Humanity.</x:t>
        </x:is>
      </x:c>
      <x:c r="C565" s="9" t="inlineStr">
        <x:is>
          <x:t/>
        </x:is>
      </x:c>
      <x:c r="D565" s="3" t="inlineStr">
        <x:is>
          <x:t>31 oct. 2022</x:t>
        </x:is>
      </x:c>
      <x:c r="E565" s="3" t="inlineStr">
        <x:is>
          <x:t/>
        </x:is>
      </x:c>
      <x:c r="F565" s="3" t="inlineStr">
        <x:is>
          <x:t>Negada</x:t>
        </x:is>
      </x:c>
      <x:c r="G565" s="3" t="inlineStr">
        <x:is>
          <x:t>M 2022/33927</x:t>
        </x:is>
      </x:c>
      <x:c r="H565" s="3" t="inlineStr">
        <x:is>
          <x:t> Haleon UK IP Limited, Building 5, First Floor, The Heights, Weybridge, Surrey, WEYBRIDGE, INGLATERRA KT13 0NY, GB</x:t>
        </x:is>
      </x:c>
      <x:c r="I565" s="3" t="inlineStr">
        <x:is>
          <x:t>3, 5</x:t>
        </x:is>
      </x:c>
      <x:c r="J565" s="3" t="inlineStr">
        <x:is>
          <x:t>11</x:t>
        </x:is>
      </x:c>
      <x:c r="K565" s="3" t="inlineStr">
        <x:is>
          <x:t>3. Preparaciones para limpiar, pulir, desengrasar y raspar; jabones; perfumería; aceites esenciales; cosméticos; champús para el cuero cabelludo y el cabello; preparaciones no medicinales para el cuidado y la limpieza de la piel; cremas para la piel, lociones para la piel y el cabello, geles para la piel, ungüentos para la piel, crema para el frío; preparaciones para el cuidado de la piel; preparaciones para la protección solar; preparaciones para blanquear la piel; dentífricos y colutorios no destinados a usos médicos; refrescantes del aliento; geles dentales; pastas dentífricas; preparaciones para el blanqueamiento dental, preparaciones para el pulido dental, preparaciones y aceleradores del blanqueamiento dental, preparaciones cosméticas para la eliminación de manchas dentales; preparaciones de tocador no medicadas; preparaciones para el cuidado bucal no medicadas; preparaciones para la limpieza, el lavado, el pulido y la desodorización de prótesis dentales.
5. Preparaciones y sustancias farmacéuticas y medicinales, excluyendo las preparaciones y sustancias para el cuidado de la visión quirúrgica y/o profesional; agentes terapéuticos (médicos), excluyendo los agentes para el cuidado de la visión quirúrgica y/o profesional; parches adhesivos para fines médicos, excluyendo los parches adhesivos para uso en el campo de la cirugía y/o del cuidado de la visión profesional; parches adhesivos que incorporan una preparación farmacéutica, excluyendo los parches adhesivos para uso en el campo de la cirugía y/o del cuidado de la visión profesional; parches, emplastos y apósitos medicinales para el tratamiento de enfermedades, afecciones y trastornos de la piel; vacunas; vitaminas, minerales y complementos alimenticios; preparados dietéticos; sustancias dietéticas, incluidos los alimentos y bebidas adaptados para uso médico; alimentos para lactantes; preparados para adelgazar preparaciones medicinales para el cuidado bucal, a saber, dentífricos medicinales, colutorios medicinales; preparaciones medicinales para el blanqueo; preparaciones para la esterilización de prótesis dentales; chicles y pastillas medicinales para la higiene dental; adhesivos para prótesis dentales, fijadores de prótesis dentales, geles dentales medicinales; preparaciones para dejar de fumar.
</x:t>
        </x:is>
      </x:c>
      <x:c r="L565" s="3" t="inlineStr">
        <x:is>
          <x:t>No</x:t>
        </x:is>
      </x:c>
      <x:c r="M565" s="3" t="inlineStr">
        <x:is>
          <x:t>JUAN PABLO CONCHA DELGADO, AVENIDA 82 No. 10-62 PISO 5, BOGOTÁ, D.C., CO</x:t>
        </x:is>
      </x:c>
      <x:c r="N565" s="3" t="inlineStr">
        <x:is>
          <x:t/>
        </x:is>
      </x:c>
      <x:c r="O565" s="3" t="inlineStr">
        <x:is>
          <x:t>26 ene. 2023</x:t>
        </x:is>
      </x:c>
      <x:c r="P565" s="3" t="inlineStr">
        <x:is>
          <x:t>29 abr. 2022</x:t>
        </x:is>
      </x:c>
      <x:c r="Q565" s="3" t="inlineStr">
        <x:is>
          <x:t/>
        </x:is>
      </x:c>
    </x:row>
    <x:row r="566">
      <x:c r="A566" s="10" t="inlineStr">
        <x:f xml:space="preserve">HYPERLINK("http://sipi.sic.gov.co/sipi/View.ashx?4432350","SD2022/0119065")</x:f>
      </x:c>
      <x:c r="B566" s="3" t="inlineStr">
        <x:is>
          <x:t>BIS RUTINAS BOTÁNICAS BOTANY INSPIRED SOLUTIONS</x:t>
        </x:is>
      </x:c>
      <x:c r="C566" s="9" t="inlineStr">
        <x:is>
          <x:t/>
        </x:is>
      </x:c>
      <x:c r="D566" s="3" t="inlineStr">
        <x:is>
          <x:t>18 nov. 2022</x:t>
        </x:is>
      </x:c>
      <x:c r="E566" s="3" t="inlineStr">
        <x:is>
          <x:t/>
        </x:is>
      </x:c>
      <x:c r="F566" s="3" t="inlineStr">
        <x:is>
          <x:t>Negada</x:t>
        </x:is>
      </x:c>
      <x:c r="G566" s="3" t="inlineStr">
        <x:is>
          <x:t>bis </x:t>
        </x:is>
      </x:c>
      <x:c r="H566" s="3" t="inlineStr">
        <x:is>
          <x:t> GRUPO GLOBAL ESMERALDA S.A.S., Calle 20 A SUR 22 A 205, MEDELLIN, ANTIOQUIA, CO</x:t>
        </x:is>
      </x:c>
      <x:c r="I566" s="3" t="inlineStr">
        <x:is>
          <x:t>3</x:t>
        </x:is>
      </x:c>
      <x:c r="J566" s="3" t="inlineStr">
        <x:is>
          <x:t>11</x:t>
        </x:is>
      </x:c>
      <x:c r="K56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Cosméticos de belleza; cosméticos ecológicos; cosméticos en forma de cremas; cosméticos en forma de polvos; cosméticos naturales; cosméticos no medicinales; cosméticos para el cuidado del cuerpo; cosméticos para las cejas; cosméticos para los; labios; cosméticos para pestañas; cosméticos para polveras; cremas y geles cosméticos; para rostro, manos y cuerpo; pañitos cosméticos prehumedecidos; productos cosméticos; para el baño y la ducha; cosméticos; cosméticos a base de cannabis; cosméticos a base; de cáñamo; cosméticos biológicos; cosméticos orgánicos; cosméticos para broncear la; piel; cosméticos para el cabello; cremas corporales [cosméticos]; cremas hidratantes para; la piel [cosméticos]; cremas para el cuerpo [cosméticos]; cremas para la cara; [cosméticos]; cremas reparadoras para la piel [cosméticos]; cremas tonificantes; [cosméticos]; filtro solar [cosméticos]; geles bronceadores [cosméticos]; geles corporales; y faciales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jabones cosméticos; leches bronceadoras [cosméticos]; leches para después del sol; [productos cosméticos]; tintes cosméticos.
</x:t>
        </x:is>
      </x:c>
      <x:c r="L566" s="3" t="inlineStr">
        <x:is>
          <x:t>No</x:t>
        </x:is>
      </x:c>
      <x:c r="M566" s="3" t="inlineStr">
        <x:is>
          <x:t>JUAN CAMILO VILLA BETANCOURT, Calle 1 #29-110 - Medellín, MEDELLIN, ANTIOQUIA, CO</x:t>
        </x:is>
      </x:c>
      <x:c r="N566" s="3" t="inlineStr">
        <x:is>
          <x:t/>
        </x:is>
      </x:c>
      <x:c r="O566" s="3" t="inlineStr">
        <x:is>
          <x:t>06 feb. 2023</x:t>
        </x:is>
      </x:c>
      <x:c r="P566" s="3" t="inlineStr">
        <x:is>
          <x:t/>
        </x:is>
      </x:c>
      <x:c r="Q566" s="3" t="inlineStr">
        <x:is>
          <x:t/>
        </x:is>
      </x:c>
    </x:row>
    <x:row r="567">
      <x:c r="A567" s="10" t="inlineStr">
        <x:f xml:space="preserve">HYPERLINK("http://sipi.sic.gov.co/sipi/View.ashx?4432778","SD2022/0112270")</x:f>
      </x:c>
      <x:c r="B567" s="3" t="inlineStr">
        <x:is>
          <x:t>BOTANICAL SPA</x:t>
        </x:is>
      </x:c>
      <x:c r="C567" s="3" t="inlineStr">
        <x:is>
          <x:t/>
        </x:is>
      </x:c>
      <x:c r="D567" s="3" t="inlineStr">
        <x:is>
          <x:t>01 nov. 2022</x:t>
        </x:is>
      </x:c>
      <x:c r="E567" s="3" t="inlineStr">
        <x:is>
          <x:t/>
        </x:is>
      </x:c>
      <x:c r="F567" s="3" t="inlineStr">
        <x:is>
          <x:t>Negada</x:t>
        </x:is>
      </x:c>
      <x:c r="G567" s="3" t="inlineStr">
        <x:is>
          <x:t/>
        </x:is>
      </x:c>
      <x:c r="H567" s="3" t="inlineStr">
        <x:is>
          <x:t> TIENDAS TRES B S.A. DE C.V., Avenida Presidente Masaryk 8, Polanco V Sección, Miguel Hidalgo, Ciudad de México, 11560, México, CIUDAD DE MEXICO, CIUDAD DE MEXICO, MX</x:t>
        </x:is>
      </x:c>
      <x:c r="I567" s="3" t="inlineStr">
        <x:is>
          <x:t>3</x:t>
        </x:is>
      </x:c>
      <x:c r="J567" s="3" t="inlineStr">
        <x:is>
          <x:t>11</x:t>
        </x:is>
      </x:c>
      <x:c r="K567" s="3" t="inlineStr">
        <x:is>
          <x:t>3. Cremas cosméticas, cremas cosméticas faciales, cremas corporales, cremas de tratamiento que no sean para uso médico, champús, pastillas de jabón, crema de manos, jabón líquido.
</x:t>
        </x:is>
      </x:c>
      <x:c r="L567" s="3" t="inlineStr">
        <x:is>
          <x:t>No</x:t>
        </x:is>
      </x:c>
      <x:c r="M567" s="3" t="inlineStr">
        <x:is>
          <x:t>CAROLINA VERA MATIZ, CALLE 70A No. 11-43, BOGOTÁ, D.C., CO</x:t>
        </x:is>
      </x:c>
      <x:c r="N567" s="3" t="inlineStr">
        <x:is>
          <x:t/>
        </x:is>
      </x:c>
      <x:c r="O567" s="3" t="inlineStr">
        <x:is>
          <x:t>20 dic. 2022</x:t>
        </x:is>
      </x:c>
      <x:c r="P567" s="3" t="inlineStr">
        <x:is>
          <x:t/>
        </x:is>
      </x:c>
      <x:c r="Q567" s="3" t="inlineStr">
        <x:is>
          <x:t/>
        </x:is>
      </x:c>
    </x:row>
    <x:row r="568">
      <x:c r="A568" s="10" t="inlineStr">
        <x:f xml:space="preserve">HYPERLINK("http://sipi.sic.gov.co/sipi/View.ashx?4433482","SD2022/0112517")</x:f>
      </x:c>
      <x:c r="B568" s="3" t="inlineStr">
        <x:is>
          <x:t>ECCO BELLA</x:t>
        </x:is>
      </x:c>
      <x:c r="C568" s="3" t="inlineStr">
        <x:is>
          <x:t/>
        </x:is>
      </x:c>
      <x:c r="D568" s="3" t="inlineStr">
        <x:is>
          <x:t>01 nov. 2022</x:t>
        </x:is>
      </x:c>
      <x:c r="E568" s="3" t="inlineStr">
        <x:is>
          <x:t/>
        </x:is>
      </x:c>
      <x:c r="F568" s="3" t="inlineStr">
        <x:is>
          <x:t>Negada</x:t>
        </x:is>
      </x:c>
      <x:c r="G568" s="3" t="inlineStr">
        <x:is>
          <x:t/>
        </x:is>
      </x:c>
      <x:c r="H568" s="3" t="inlineStr">
        <x:is>
          <x:t> TIENDAS TRES B S.A. DE C.V., Avenida Presidente Masaryk 8, Polanco V Sección, Miguel Hidalgo, Ciudad de México, 11560, México, CIUDAD DE MEXICO, CIUDAD DE MEXICO, MX</x:t>
        </x:is>
      </x:c>
      <x:c r="I568" s="3" t="inlineStr">
        <x:is>
          <x:t>3</x:t>
        </x:is>
      </x:c>
      <x:c r="J568" s="3" t="inlineStr">
        <x:is>
          <x:t>11</x:t>
        </x:is>
      </x:c>
      <x:c r="K568" s="3" t="inlineStr">
        <x:is>
          <x:t>3. Shampoo para cabello; hisopos para uso cosmetico; toallitas impregnadas de lociones cosméticas; esponjas de tocador impregnadas de lociones cosméticas para maquillar o desmaquillar, desmaquilladores, jabones*, preparaciones cosméticas para el baño, preparaciones de tocador*, preparaciones para el baño que no sean para uso médico, productos para perfumar el ambiente, productos de afeitar, productos cosméticos para el cuidado de la piel, talco de tocador, toallitas impregnadas de lociones cosméticas, toallitas impregnadas de preparaciones desmaquillantes, toallitas para bebés impregnadas de preparaciones de limpieza.
</x:t>
        </x:is>
      </x:c>
      <x:c r="L568" s="3" t="inlineStr">
        <x:is>
          <x:t>No</x:t>
        </x:is>
      </x:c>
      <x:c r="M568" s="3" t="inlineStr">
        <x:is>
          <x:t>CAROLINA VERA MATIZ, CALLE 70A No. 11-43, BOGOTÁ, D.C., CO</x:t>
        </x:is>
      </x:c>
      <x:c r="N568" s="3" t="inlineStr">
        <x:is>
          <x:t/>
        </x:is>
      </x:c>
      <x:c r="O568" s="3" t="inlineStr">
        <x:is>
          <x:t>09 dic. 2022</x:t>
        </x:is>
      </x:c>
      <x:c r="P568" s="3" t="inlineStr">
        <x:is>
          <x:t/>
        </x:is>
      </x:c>
      <x:c r="Q568" s="3" t="inlineStr">
        <x:is>
          <x:t/>
        </x:is>
      </x:c>
    </x:row>
    <x:row r="569">
      <x:c r="A569" s="10" t="inlineStr">
        <x:f xml:space="preserve">HYPERLINK("http://sipi.sic.gov.co/sipi/View.ashx?4434472","SD2022/0112786")</x:f>
      </x:c>
      <x:c r="B569" s="3" t="inlineStr">
        <x:is>
          <x:t>Bonis Little Shop</x:t>
        </x:is>
      </x:c>
      <x:c r="C569" s="9" t="inlineStr">
        <x:is>
          <x:t/>
        </x:is>
      </x:c>
      <x:c r="D569" s="3" t="inlineStr">
        <x:is>
          <x:t>02 nov. 2022</x:t>
        </x:is>
      </x:c>
      <x:c r="E569" s="3" t="inlineStr">
        <x:is>
          <x:t/>
        </x:is>
      </x:c>
      <x:c r="F569" s="3" t="inlineStr">
        <x:is>
          <x:t>Negada</x:t>
        </x:is>
      </x:c>
      <x:c r="G569" s="3" t="inlineStr">
        <x:is>
          <x:t>COLCAMIBONIS2022</x:t>
        </x:is>
      </x:c>
      <x:c r="H569" s="3" t="inlineStr">
        <x:is>
          <x:t>CAMILA XIMENA QUINTANA FONSECA, Calle 22 sur No. 41-64 sur, BOGOTÁ, D.C., CO</x:t>
        </x:is>
      </x:c>
      <x:c r="I569" s="3" t="inlineStr">
        <x:is>
          <x:t>3</x:t>
        </x:is>
      </x:c>
      <x:c r="J569" s="3" t="inlineStr">
        <x:is>
          <x:t>11</x:t>
        </x:is>
      </x:c>
      <x:c r="K569" s="3" t="inlineStr">
        <x:is>
          <x:t>3. Maquillaje; preparaciones para el depilado; preparaciones para el depilado y el afeitado; productos para el depilado y el afeitado; cosméticos para pestañas; productos cosméticos para las pestañas; productos de limpieza para las pestañas; champús; champúes para bebés; champúes para el cabello; champú para bebé; champús acondicionadores.
</x:t>
        </x:is>
      </x:c>
      <x:c r="L569" s="3" t="inlineStr">
        <x:is>
          <x:t>No</x:t>
        </x:is>
      </x:c>
      <x:c r="M569" s="3" t="inlineStr">
        <x:is>
          <x:t>Alejandro Quintana Vega, Calle 131 No. 19-31 apto 413, BOGOTÁ, D.C., CO</x:t>
        </x:is>
      </x:c>
      <x:c r="N569" s="3" t="inlineStr">
        <x:is>
          <x:t/>
        </x:is>
      </x:c>
      <x:c r="O569" s="3" t="inlineStr">
        <x:is>
          <x:t>27 mar. 2023</x:t>
        </x:is>
      </x:c>
      <x:c r="P569" s="3" t="inlineStr">
        <x:is>
          <x:t/>
        </x:is>
      </x:c>
      <x:c r="Q569" s="3" t="inlineStr">
        <x:is>
          <x:t/>
        </x:is>
      </x:c>
    </x:row>
    <x:row r="570">
      <x:c r="A570" s="10" t="inlineStr">
        <x:f xml:space="preserve">HYPERLINK("http://sipi.sic.gov.co/sipi/View.ashx?4434568","SD2022/0112799")</x:f>
      </x:c>
      <x:c r="B570" s="3" t="inlineStr">
        <x:is>
          <x:t>MALLY</x:t>
        </x:is>
      </x:c>
      <x:c r="C570" s="3" t="inlineStr">
        <x:is>
          <x:t/>
        </x:is>
      </x:c>
      <x:c r="D570" s="3" t="inlineStr">
        <x:is>
          <x:t>02 nov. 2022</x:t>
        </x:is>
      </x:c>
      <x:c r="E570" s="3" t="inlineStr">
        <x:is>
          <x:t/>
        </x:is>
      </x:c>
      <x:c r="F570" s="3" t="inlineStr">
        <x:is>
          <x:t>Negada</x:t>
        </x:is>
      </x:c>
      <x:c r="G570" s="3" t="inlineStr">
        <x:is>
          <x:t/>
        </x:is>
      </x:c>
      <x:c r="H570" s="3" t="inlineStr">
        <x:is>
          <x:t> AS Beauty Group LLC, 42 West 39th Street New York, New York 10018, NEW YORK, NEW YORK, US</x:t>
        </x:is>
      </x:c>
      <x:c r="I570" s="3" t="inlineStr">
        <x:is>
          <x:t>3, 21</x:t>
        </x:is>
      </x:c>
      <x:c r="J570" s="3" t="inlineStr">
        <x:is>
          <x:t>11</x:t>
        </x:is>
      </x:c>
      <x:c r="K570" s="3" t="inlineStr">
        <x:is>
          <x:t>3. Cosméticos; maquillaje; productos para el cuidado personal; preparaciones y tratamientos para el cuidado de la piel; preparaciones y tratamientos para el cuidado del cabello; preparaciones y tratamientos para el cuidado de las uñas; esmalte de uñas; estuches de maquillaje; productos para el cuidado del sol; fragancias y perfumes; pestañas artificiales y adhesivos para pegar pestañas artificiales.
21. Herramientas, a saber, brochas de maquillaje, estuches de brochas de maquillaje, brochas cosméticas, estuches de brochas cosméticas, herramientas de limpieza con esponja exfoliante y estuches para cosméticos, estuches para maquillaje, estuches para productos para el cuidado personal, estuches para preparaciones y tratamientos para el cuidado de la piel, estuches para preparaciones y tratamientos para el cuidado del cabello, estuches para preparaciones y tratamientos para el cuidado de las uñas.
</x:t>
        </x:is>
      </x:c>
      <x:c r="L570" s="3" t="inlineStr">
        <x:is>
          <x:t>No</x:t>
        </x:is>
      </x:c>
      <x:c r="M570" s="3" t="inlineStr">
        <x:is>
          <x:t>ANDRÉS JERONIMO CASTILLO BONILLA, CALLE 93A No. 14-17 OFICINA 311 BOGOTÁ D.C. (CO), BOGOTÁ, D.C., CO</x:t>
        </x:is>
      </x:c>
      <x:c r="N570" s="3" t="inlineStr">
        <x:is>
          <x:t/>
        </x:is>
      </x:c>
      <x:c r="O570" s="3" t="inlineStr">
        <x:is>
          <x:t>25 ene. 2024</x:t>
        </x:is>
      </x:c>
      <x:c r="P570" s="3" t="inlineStr">
        <x:is>
          <x:t/>
        </x:is>
      </x:c>
      <x:c r="Q570" s="3" t="inlineStr">
        <x:is>
          <x:t/>
        </x:is>
      </x:c>
    </x:row>
    <x:row r="571">
      <x:c r="A571" s="10" t="inlineStr">
        <x:f xml:space="preserve">HYPERLINK("http://sipi.sic.gov.co/sipi/View.ashx?4437034","SD2022/0113635")</x:f>
      </x:c>
      <x:c r="B571" s="3" t="inlineStr">
        <x:is>
          <x:t>PERLATTO</x:t>
        </x:is>
      </x:c>
      <x:c r="C571" s="3" t="inlineStr">
        <x:is>
          <x:t/>
        </x:is>
      </x:c>
      <x:c r="D571" s="3" t="inlineStr">
        <x:is>
          <x:t>03 nov. 2022</x:t>
        </x:is>
      </x:c>
      <x:c r="E571" s="3" t="inlineStr">
        <x:is>
          <x:t/>
        </x:is>
      </x:c>
      <x:c r="F571" s="3" t="inlineStr">
        <x:is>
          <x:t>Negada</x:t>
        </x:is>
      </x:c>
      <x:c r="G571" s="3" t="inlineStr">
        <x:is>
          <x:t>20221103</x:t>
        </x:is>
      </x:c>
      <x:c r="H571" s="3" t="inlineStr">
        <x:is>
          <x:t> INVERSIONES SOEMA S.A.S, CR 34 A  42 40, MEDELLIN, ANTIOQUIA 050016, CO</x:t>
        </x:is>
      </x:c>
      <x:c r="I571" s="3" t="inlineStr">
        <x:is>
          <x:t>3</x:t>
        </x:is>
      </x:c>
      <x:c r="J571" s="3" t="inlineStr">
        <x:is>
          <x:t>11</x:t>
        </x:is>
      </x:c>
      <x:c r="K571" s="3" t="inlineStr">
        <x:is>
          <x:t>3. Productos cosméticos y de belleza.
</x:t>
        </x:is>
      </x:c>
      <x:c r="L571" s="3" t="inlineStr">
        <x:is>
          <x:t>No</x:t>
        </x:is>
      </x:c>
      <x:c r="M571" s="3" t="inlineStr">
        <x:is>
          <x:t>YAQUELINE ANDREA VASQUEZ MARIN, CR 34 A  42 40, MEDELLIN, ANTIOQUIA 050016, CO</x:t>
        </x:is>
      </x:c>
      <x:c r="N571" s="3" t="inlineStr">
        <x:is>
          <x:t/>
        </x:is>
      </x:c>
      <x:c r="O571" s="3" t="inlineStr">
        <x:is>
          <x:t>08 nov. 2022</x:t>
        </x:is>
      </x:c>
      <x:c r="P571" s="3" t="inlineStr">
        <x:is>
          <x:t/>
        </x:is>
      </x:c>
      <x:c r="Q571" s="3" t="inlineStr">
        <x:is>
          <x:t/>
        </x:is>
      </x:c>
    </x:row>
    <x:row r="572">
      <x:c r="A572" s="10" t="inlineStr">
        <x:f xml:space="preserve">HYPERLINK("http://sipi.sic.gov.co/sipi/View.ashx?4437331","SD2022/0114154")</x:f>
      </x:c>
      <x:c r="B572" s="3" t="inlineStr">
        <x:is>
          <x:t>MAGIK KERATINE </x:t>
        </x:is>
      </x:c>
      <x:c r="C572" s="9" t="inlineStr">
        <x:is>
          <x:t/>
        </x:is>
      </x:c>
      <x:c r="D572" s="3" t="inlineStr">
        <x:is>
          <x:t>04 nov. 2022</x:t>
        </x:is>
      </x:c>
      <x:c r="E572" s="3" t="inlineStr">
        <x:is>
          <x:t/>
        </x:is>
      </x:c>
      <x:c r="F572" s="3" t="inlineStr">
        <x:is>
          <x:t>Negada</x:t>
        </x:is>
      </x:c>
      <x:c r="G572" s="3" t="inlineStr">
        <x:is>
          <x:t>MAGIKKERATINE</x:t>
        </x:is>
      </x:c>
      <x:c r="H572" s="3" t="inlineStr">
        <x:is>
          <x:t>CATALINA CORREA QUINTERO, Carrera 33 No 72 Sur - 62, SABANETA, ANTIOQUIA, CO</x:t>
        </x:is>
      </x:c>
      <x:c r="I572" s="3" t="inlineStr">
        <x:is>
          <x:t>3, 5</x:t>
        </x:is>
      </x:c>
      <x:c r="J572" s="3" t="inlineStr">
        <x:is>
          <x:t>11</x:t>
        </x:is>
      </x:c>
      <x:c r="K572" s="3" t="inlineStr">
        <x:is>
          <x:t>3. Aceites de baño no medicinales; aceites de baño que no sean medicinales; aceites de masaje, no medicinales; aceites no medicinales para masajes; aerosoles bucales no medicinales; antitranspirantes no medicinales; baños no medicinales para el cuerpo; baños no medicinales para los pies; bálsamos capilares no medicinales; bálsamos labiales no medicinales; bálsamos no medicinales para después de afeitar; bálsamos no medicinales para después del afeitado; champús no medicinales; champús no medicinales contra la caspa; champús no medicinales para animales de compañía; champús no medicinales para animales de compañía [preparaciones de aseo, que no sean para uso veterinario]; champús para animales [preparaciones higiénicas no medicinales]; champús para animales de compañía [preparaciones higiénicas no medicinales]; champús y acondicionadores para animales de compañía [preparaciones de peluquería no medicinales ni veterinarias]; cosméticos no medicinales; cremas de masaje no medicinales; cremas de protección capilar, no medicinales; cremas de protección para el cabello, no medicinales;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para después de afeitar (no medicinales); cremas para después del afeitado (no medicinales); cremas para el cuidado de la piel, no medicinales; cremas para la piel no medicinales a base de aceites esenciales para uso en aromaterapia; cremas para limpiar la piel [no medicinales]; dentífricos no medicinales; dentífricos y enjuagues bucales no medicinales; duchas no medicinales; duchas vaginales no medicinales; enjuagues bucales no medicinales; enjuagues bucales no medicinales para animales de compañía; esponjas impregnadas con productos de tocador no medicinales; esprays bucales no medicinales; exfoliantes faciales y corporales no medicinales; geles de baño no medicinales; geles de baño y de ducha no medicinales; geles exfoliantes, no medicinales; geles no medicinales; geles no medicinales para después de afeitar; geles no medicinales para después del afeitado; geles para el baño [no medicinales]; geles y sales de baño y de ducha no medicinales; jabones de tocador no medicinales; jabones en polvo no medicinales; jabones líquidos no medicinales; jabones no medicinales; lavados no medicinales; lavados vaginales no medicinales; limpiadores cutáneos no medicinales; limpiadores de la piel no medicinales; limpiadores no medicinales para la piel; lociones capilares no medicinales; lociones capilares reparadoras no medicinales; lociones estimulantes no medicinales para la piel; lociones no medicinales para aclarar la piel; lociones no medicinales para el cuidado de la piel [cosméticos]; lociones no medicinales para la piel; lociones no medicinales para los pies; líquidos para lavarse las manos no medicinales a base de jabón; parches que contienen preparaciones no medicinales para el cuidado de la pie; pastas de dientes no medicinales; polvos de baño no medicinales; polvos no medicinales para los pies; pomadas no medicinales para prevenir y tratar las quemaduras solares; pomadas y lociones no medicinales contra la dermatitis del pañal; preparaciones capilares no medicinales; preparaciones cosméticas no medicinales para tratamientos capilares; preparaciones de baño no medicinales para animales; preparaciones de burbujas no medicinales; preparaciones de cuidado corporal no medicinales; preparaciones de jabón no medicinales; preparaciones de tocador no medicinales; preparaciones higiénicas en cuanto productos de tocador no medicinales; preparaciones limpiadoras no medicinales para la higiene íntima; preparaciones limpiadoras no medicinales para la piel; preparaciones líquidas no medicinales para limpiar las manos; preparaciones no medicinales para aliviar las quemaduras solares; preparaciones no medicinales para el aseo de animales que no sean productos para lavarlos; preparaciones no medicinales para el baño; preparaciones no medicinales para el cuidado bucal; preparaciones no medicinales para el cuidado de la piel; preparaciones no medicinales para el cuidado de la piel, el cabello y el cuero cabelludo; preparaciones no medicinales para el cuidado de los labios; preparaciones no medicinales para el cuidado de los pies; preparaciones no medicinales para el cuidado del cabello; preparaciones no medicinales para el cuidado dental; preparaciones no medicinales para el cuidado dental de los animales; preparaciones no medicinales para masajes; preparaciones para el cuidado bucal [no medicinales]; preparaciones para el cuidado bucal, no medicinales; preparaciones para el cuidado de la piel, no medicinales; preparaciones sanitarias en cuanto productos de tocador no medicinales; preparacioness no medicinales para después de afeitar; preparacioness no medicinales para después del afeitado; preparados no medicinales para el cuidado de la piel; productos cosméticos no medicinales; productos cosméticos y preparaciones de tocador no medicinales; productos de jabón no medicinales; productos de perfumería, aceites esenciales, cosméticos no medicinales, lociones capilares no medicinales; productos de tocador no medicinales; productos no medicinales para el cuidado de la piel; productos no medicinales para enjuagarse la boca y hacer gargarismos; productos no medicinales para lavarse las manos; productos no medicinales para lavarse y enjuagarse la boca; productos para el cuidado de la piel, no medicinales; productos y preparaciones no medicinales para el cuidado de la piel; protectores labiales no medicinales; sales de baño no medicinales; soluciones para el lavado de la cara a base de gel, no medicinales; soluciones para el lavado de la cara a base de jabón, no medicinales; soluciones para el lavado de la cara sin aclarado, no medicinales; soluciones para el lavado de manos a base de gel, no medicinales; soluciones para el lavado de manos a base de jabón, no medicinales; soluciones para el lavado de manos sin aclarado, no medicinales; sueros no medicinales para la piel; tónicos no medicinales para la piel; aceites esenciales para aromatizar bebidas; aceites esenciales para aromatizar las bebidas; aromatizantes alimentarios o para bebidas en cuanto aceites esenciales; aromatizantes para bebidas [aceites esenciales]; aromatizantes para bebidas en cuanto aceites esenciales; saborizantes para bebidas [aceites esenciales]; saborizantes para bebidas en cuanto aceites esenciales.
5. Aceites de masaje no medicinales; aceites medicinales para bebés; aceites medicinales para masajes; aceites para el cuidado de la piel [medicinales]; aceites para el cuidado de la piel, medicinales; aditivos alimentarios medicinales para uso farmacéutico; aditivos alimentarios medicinales para uso veterinario; aerosoles medicinales; aerosoles medicinales para la garganta; aerosoles medicinales para uso bucal; aerosoles y cremas de hierbas medicinales de uso externo; agua de mar para baños medicinales; alcoholes medicinales; alimentos dietéticos medicinales para animales; alimentos medicinales para animales; apitoxina [veneno de abeja melífera] con fines medicinales o terapéuticos; apitoxina [veneno de abeja melífera] con fines terapéuticos o medicinales; barros medicinales; baños medicinales; baños medicinales para uso terapéutico;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bolsas para lavados internos prellenadas que contienen preparaciones medicinales para la limpieza; bálsamos analgésicos medicinales polivalentes; bálsamos medicinales para los labios; bálsamos medicinales para los pies; caramelos medicinales; champús en seco medicinales; champús medicinales; champús medicinales anticaspa; champús medicinales para animales de compañía; chicles medicinales con sabor a menta; complementos alimenticios medicinales a base de colágeno; complementos alimenticios medicinales para consumo humano; complementos medicinales para alimentos destinados a los animales; complementos medicinales para productos alimenticios de consumo humano; compresas medicinales; cremas labiales medicinales;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el cuidado de la piel, medicinales; decocciones de hierbas medicinales; dentífricos medicinales; duchas medicinales; duchas vaginales medicinales; ejuagues bucales medicinales anticaries; ejuagues dentales medicinales anticaries; emplastos medicinales; enjuagues bucales medicinales; enjuagues bucales medicinales anticaries; enjuagues bucales medicinales para animales de compañía; enjuagues medicinales anti caries para uso dental; esparadrapos que incorporan sustancias medicinales; espráis medicinales; espráis y cremas de hierbas medicinales de uso externo; extractos de hierbas medicinales; extractos de hierbas medicinales para uso médico; extractos de plantas medicinales; gasas impregnadas de cremas medicinales; geles de limpieza dental medicinales; geles exfoliantes, medicinales; geles medicinales aplicables con cepillo para el cuidado bucal; geles medicinales para el cuerpo; geles medicinales para el cuidado bucal; hierbas medicinales; hierbas medicinales secas o conservadas; hierbas medicinales tradicionales chinas; infusiones de hierbas medicinales; infusiones medicinales; jabones medicinales; jabones y detergentes medicinales y desinfectantes; lavados medicinales; lavados vaginales medicinales; licores medicinales; limpiadores faciales antibacterianos medicinales; lociones capilares medicinales; lociones faciales medicinales; lociones medicinales; lociones medicinales contra la dermatitis del pañal; lociones medicinales contra las quemaduras solares; lociones medicinales para después del afeitado; lociones medicinales para el cuerpo; lociones medicinales para el tratamiento de afecciones cutáneas; lociones medicinales para tratar afecciones dermatológicas; lociones y cremas medicinales para el cuerpo, piel, cara y manos; lodos medicinales; lubricantes medicinales a base de aloe vera; líquidos medicinales para cigarrillos electrónicos; parches medicinales; pastas de dientes medicinales; pastillas medicinales; paños impregnados con sustancias medicinales; pociones medicinales; polvos medicinales para bebés; polvos medicinales para el cuerpo; polvos medicinales para los pies; pomadas labiales medicinales; pomadas medicinales contra la dermatitis del pañal; pomadas mentoladas medicinales polivalentes; preparaciones con filtro solar, medicinales; preparaciones de tocador medicinales; preparaciones medicinales; preparaciones medicinales de oligoelementos para uso humano; preparaciones medicinales de protección solar; preparaciones medicinales de uso bucal en gotas, cápsulas, pastillas y comprimidos; preparaciones medicinales en cuanto aditivos alimentarios para el consumo humano; preparaciones medicinales orales para su administración en forma de comprimidos; preparaciones medicinales orales para su administración en forma de cápsulas; preparaciones medicinales orales para su administración en forma de gotas; preparaciones medicinales orales para su administración en forma de pastillas comprimidas; preparaciones medicinales para adelgazar; preparaciones medicinales para baños oculares; preparaciones medicinales para el afeitado; preparaciones medicinales para el aseo de animales; preparaciones medicinales para el baño; preparaciones medicinales para el baño de los animales; preparaciones medicinales para el crecimiento del cabello; preparaciones medicinales para el cuidado bucal; preparaciones medicinales para el cuidado capilar; preparaciones medicinales para el cuidado de la boca; preparaciones medicinales para el cuidado de la piel; preparaciones medicinales para el cuidado de la piel en forma de geles; preparaciones medicinales para el cuidado de la salud; preparaciones medicinales para el cuidado de las uñas; preparaciones medicinales para el cuidado de los labios; preparaciones medicinales para el cuidado de los pies; preparaciones medicinales para el cuidado dental; preparaciones medicinales para el cuidado dental de los animales; preparaciones medicinales para el cuidado y el tratamiento bucal; preparaciones medicinales para el tratamiento bucal; preparaciones medicinales para el tratamiento de la halitosis; preparaciones medicinales para eliminar verrugas; preparaciones medicinales para limpiar la piel y las heridas; preparaciones medicinales para pulverización nasal; preparaciones medicinales para tratamientos bucales; preparaciones medicinales para tratamientos cutáneos; preparaciones medicinales para tratar enfermedades infecciosas; preparaciones medicinales para uso en cuanto aditivos alimenticios para consumo humano; preparaciones medicinales para uso oncológico; preparaciones para el cuidado bucal, medicinales; preparaciones para el cuidado dental, medicinales; preparaciones para elaborar bebidas medicinales; preparaciones terapéuticas medicinales para baños; preparaciones y sustancias medicinales; preparados medicinales de protección solar; preparados medicinales para baños de pies; preparados medicinales para uso en cuanto aditivos alimenticios para consumo humano; productos medicinales para el cuidado de la piel; productos medicinales para lavarse las manos; productos para el cuidado de la piel, medicinales; productos y preparaciones medicinales para el cuidado de la piel; raíces medicinales; relajantes musculares medicinales para el baño; sales de baño medicinales; sales y preparaciones medicinales para el baño; serum calmante para la piel [medicinales]; serum calmante para la piel, medicinales; serum de alivio para la piel [medicinales]; serum de alivio para la piel, medicinales; soluciones de aceites medicinales; soluciones líquidas medicinales que contienen vitaminas, para los cigarrillos electrónicos; soluciones medicinales inyectables; sprays medicinales para aliviar de las mordeduras y picaduras de insectos; suplementos alimenticios medicinales a base de colágeno; suplementos alimenticios medicinales para consumo humano; suplementos medicinales para productos alimenticios de consumo humano; suplementos nutricionales no medicinales para alimentos para animales; tiritas que incorporan sustancias medicinales; tisanas medicinales; toallitas impregnadas con sustancias medicinales; toallitas impregnadas de cremas medicinales; toallitas o gasas impregnadas de cremas medicinales; tónicos medicinales; tónicos medicinales para la piel; ungüentos medicinales para el tratamiento de afecciones cutáneas; ungüentos medicinales para tratar afecciones dermatológicas; velas de masaje medicinales; veneno de abeja con fines medicinales o terapéuticos; veneno de abeja con fines terapéuticos o medicinales; adhesivos médicos para suturar heridas; adhesivos médicos para suturar tejidos internos; adhesivos médicos para unir tejido interno; agentes de detoxificación de cloro para fines médicos; alimentos sin gluten adaptados a fines médicos; alimentos y aditivos alimentarios sin gluten, todos adecuados a fines médicos; alimentos y suplementos alimenticios sin gluten, todos adecuados a fines médicos; apósitos médicos y quirúrgicos; barritas nutricionales utilizadas como sustitutos de las comidas para uso médico para pacientes sometidos a tratamientos médicos; bebidas para diabéticos a base de zumos de frutas, adaptadas a fines médicos; carbón activado para la adsorción de toxinas con fines médicos; cereales adaptados para minusválidos con fines dietéticos o médicos; complementos nutricionales a base de almidón, adaptados a fines médicos; desinfectantes para equipos e instrumentos médicos; desinfectantes para equipos e instrumentos médicos y odontológicos; emplastos médicos; medios de contraste para aparatos médicos de ultrasonidos; medios de contraste para equipos médicos; medios de contraste para equipos médicos de imaginología; néctares de frutas para diabéticos, adaptados a fines médicos; parches médicos; parches transdérmicos para tratamientos médicos; preparaciones de diagnóstico para uso en laboratorios médicos; preparados médicos de oligoelementos para uso humano; preparados no médicos de oligoelementos para uso humano; productos dietéticos para usos médicos especiales [dietas equilibradas]; reactivos de diagnóstico para uso en laboratorios médicos; alimentos y bebidas dietéticos para uso médico; alimentos y bebidas dietéticos para uso médico o veterinario; alimentos y bebidas dietéticos para uso veterinario; bebidas a base de hierbas para uso médico; bebidas de electrolito para uso médico; bebidas de electrolitos para uso médico;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de leche malteada para bebés; bebidas de leche malteada para minusválidos; bebidas de leche malteada para uso médico; bebidas de restitución de electrolitos para uso médico; bebidas dietéticas para bebés para uso médico; bebidas dietéticas para uso médico; bebidas dietéticas para uso veterinario; bebidas enriquecidas con elementos nutricionales para uso médico; bebidas enriquecidas con vitaminas para uso médico; bebidas nutricionales en cuanto complementos alimenticios;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nutricionales para uso médico; bebidas para bebés; bebidas para uso médico; bebidas utilizadas como complementos dietéticos; bebidas utilizadas como sustitutos de las comidas para uso médico; complementos dietéticos en polvo con sabor a frutas para elaborar bebidas; complementos dietéticos para animales de compañía, a saber, bebidas en polvo; complementos vitamínicos en comprimidos que disueltos en agua sirven para elaborar bebidas efervescentes; hierbas y bebidas a base de hierbas para uso médico;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el aumento de peso; mezclas de bebidas dietéticas para el aumento de peso para uso nutricional; mezclas de bebidas dietéticas para el control de peso; mezclas de bebidas dietéticas para el control de peso para uso nutricional; mezclas de bebidas dietéticas para la pérdida de peso; mezclas de bebidas dietéticas para la pérdida de peso para uso nutricional; mezclas de bebidas dietéticas para mejorar el rendimiento; mezclas de bebidas dietéticas para mejorar el rendimiento para uso nutricional; mezclas de complementos nutricionales en polvo para bebidas; mezclas nutricionales para bebidas utilizadas como sustitutos de las comidas para uso médico; mezclas para bebidas dietéticas utilizadas como sustitutivos de las comidas, para uso médico; mezclas para bebidas dietéticas utilizadas como sustitutos de comidas para uso médico; mezclas para bebidas en cuanto complementos dietéticos; mezclas para bebidas utilizadas como sustitutos de las comidas para uso médico; mezclas para bebidas utilizadas como sustitutos de las comidas y complementos dietéticos para uso médico; preparaciones para elaborar bebidas dietéticas de uso médico; preparaciones para la producción de bebidas para uso médico; proteína vegana en cuanto complemento nutricional de bebidas listas para beber; proteína vegana en cuanto suplemento nutricional de bebidas listas para beber.
</x:t>
        </x:is>
      </x:c>
      <x:c r="L572" s="3" t="inlineStr">
        <x:is>
          <x:t>Sí</x:t>
        </x:is>
      </x:c>
      <x:c r="M572" s="3" t="inlineStr">
        <x:is>
          <x:t/>
        </x:is>
      </x:c>
      <x:c r="N572" s="3" t="inlineStr">
        <x:is>
          <x:t/>
        </x:is>
      </x:c>
      <x:c r="O572" s="3" t="inlineStr">
        <x:is>
          <x:t>18 nov. 2022</x:t>
        </x:is>
      </x:c>
      <x:c r="P572" s="3" t="inlineStr">
        <x:is>
          <x:t/>
        </x:is>
      </x:c>
      <x:c r="Q572" s="3" t="inlineStr">
        <x:is>
          <x:t/>
        </x:is>
      </x:c>
    </x:row>
    <x:row r="573">
      <x:c r="A573" s="10" t="inlineStr">
        <x:f xml:space="preserve">HYPERLINK("http://sipi.sic.gov.co/sipi/View.ashx?4437708","SD2022/0113906")</x:f>
      </x:c>
      <x:c r="B573" s="3" t="inlineStr">
        <x:is>
          <x:t>PINKEE’S PRO</x:t>
        </x:is>
      </x:c>
      <x:c r="C573" s="9" t="inlineStr">
        <x:is>
          <x:t/>
        </x:is>
      </x:c>
      <x:c r="D573" s="3" t="inlineStr">
        <x:is>
          <x:t>03 nov. 2022</x:t>
        </x:is>
      </x:c>
      <x:c r="E573" s="3" t="inlineStr">
        <x:is>
          <x:t/>
        </x:is>
      </x:c>
      <x:c r="F573" s="3" t="inlineStr">
        <x:is>
          <x:t>Negada</x:t>
        </x:is>
      </x:c>
      <x:c r="G573" s="3" t="inlineStr">
        <x:is>
          <x:t>PINKEE'S PRO</x:t>
        </x:is>
      </x:c>
      <x:c r="H573" s="3" t="inlineStr">
        <x:is>
          <x:t> ELITE IMPORTACIONES SAS, AUT. MEDELLIN KM 3 TCB ETAP. 1 BOG 14 SIBERIA, COTA, CUNDINAMARCA, CO</x:t>
        </x:is>
      </x:c>
      <x:c r="I573" s="3" t="inlineStr">
        <x:is>
          <x:t>3</x:t>
        </x:is>
      </x:c>
      <x:c r="J573" s="3" t="inlineStr">
        <x:is>
          <x:t>11</x:t>
        </x:is>
      </x:c>
      <x:c r="K573" s="3" t="inlineStr">
        <x:is>
          <x:t>3. Pestañas artificiales magnéticas; pestañas postizas; pestañas postizas magnéticas.
</x:t>
        </x:is>
      </x:c>
      <x:c r="L573" s="3" t="inlineStr">
        <x:is>
          <x:t>No</x:t>
        </x:is>
      </x:c>
      <x:c r="M573" s="3" t="inlineStr">
        <x:is>
          <x:t>HUGO FABIAN  GIRALDO GRIJALBA, autopista medellin km3 via siberia, BOGOTÁ, D.C., CO</x:t>
        </x:is>
      </x:c>
      <x:c r="N573" s="3" t="inlineStr">
        <x:is>
          <x:t/>
        </x:is>
      </x:c>
      <x:c r="O573" s="3" t="inlineStr">
        <x:is>
          <x:t>11 dic. 2023</x:t>
        </x:is>
      </x:c>
      <x:c r="P573" s="3" t="inlineStr">
        <x:is>
          <x:t/>
        </x:is>
      </x:c>
      <x:c r="Q573" s="3" t="inlineStr">
        <x:is>
          <x:t/>
        </x:is>
      </x:c>
    </x:row>
    <x:row r="574">
      <x:c r="A574" s="10" t="inlineStr">
        <x:f xml:space="preserve">HYPERLINK("http://sipi.sic.gov.co/sipi/View.ashx?4437891","SD2022/0113908")</x:f>
      </x:c>
      <x:c r="B574" s="3" t="inlineStr">
        <x:is>
          <x:t>Kimi Woman</x:t>
        </x:is>
      </x:c>
      <x:c r="C574" s="9" t="inlineStr">
        <x:is>
          <x:t/>
        </x:is>
      </x:c>
      <x:c r="D574" s="3" t="inlineStr">
        <x:is>
          <x:t>03 nov. 2022</x:t>
        </x:is>
      </x:c>
      <x:c r="E574" s="3" t="inlineStr">
        <x:is>
          <x:t/>
        </x:is>
      </x:c>
      <x:c r="F574" s="3" t="inlineStr">
        <x:is>
          <x:t>Negada</x:t>
        </x:is>
      </x:c>
      <x:c r="G574" s="3" t="inlineStr">
        <x:is>
          <x:t>1018485772</x:t>
        </x:is>
      </x:c>
      <x:c r="H574" s="3" t="inlineStr">
        <x:is>
          <x:t>Luisa Fernanda Urieta Huertas, CALLE 6 SUR 23 137 APTO 505 TORRE 10, MADRID, CUNDINAMARCA, CO</x:t>
        </x:is>
      </x:c>
      <x:c r="I574" s="3" t="inlineStr">
        <x:is>
          <x:t>3</x:t>
        </x:is>
      </x:c>
      <x:c r="J574" s="3" t="inlineStr">
        <x:is>
          <x:t>11</x:t>
        </x:is>
      </x:c>
      <x:c r="K574" s="3" t="inlineStr">
        <x:is>
          <x:t>3.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que consisten principalmente en bases de maquillaje, rímeles, coloretes, brillos de labios y lápices de labios [sin incluir pinceles ni esponjas]; maquillaje [cosméticos].
</x:t>
        </x:is>
      </x:c>
      <x:c r="L574" s="3" t="inlineStr">
        <x:is>
          <x:t>No</x:t>
        </x:is>
      </x:c>
      <x:c r="M574" s="3" t="inlineStr">
        <x:is>
          <x:t/>
        </x:is>
      </x:c>
      <x:c r="N574" s="3" t="inlineStr">
        <x:is>
          <x:t/>
        </x:is>
      </x:c>
      <x:c r="O574" s="3" t="inlineStr">
        <x:is>
          <x:t>20 dic. 2022</x:t>
        </x:is>
      </x:c>
      <x:c r="P574" s="3" t="inlineStr">
        <x:is>
          <x:t/>
        </x:is>
      </x:c>
      <x:c r="Q574" s="3" t="inlineStr">
        <x:is>
          <x:t/>
        </x:is>
      </x:c>
    </x:row>
    <x:row r="575">
      <x:c r="A575" s="10" t="inlineStr">
        <x:f xml:space="preserve">HYPERLINK("http://sipi.sic.gov.co/sipi/View.ashx?4438170","SD2022/0113974")</x:f>
      </x:c>
      <x:c r="B575" s="3" t="inlineStr">
        <x:is>
          <x:t>ROSSY SKIN- A FLOR DE PIEL</x:t>
        </x:is>
      </x:c>
      <x:c r="C575" s="9" t="inlineStr">
        <x:is>
          <x:t/>
        </x:is>
      </x:c>
      <x:c r="D575" s="3" t="inlineStr">
        <x:is>
          <x:t>03 nov. 2022</x:t>
        </x:is>
      </x:c>
      <x:c r="E575" s="3" t="inlineStr">
        <x:is>
          <x:t/>
        </x:is>
      </x:c>
      <x:c r="F575" s="3" t="inlineStr">
        <x:is>
          <x:t>Negada</x:t>
        </x:is>
      </x:c>
      <x:c r="G575" s="3" t="inlineStr">
        <x:is>
          <x:t>ROSSY SKIN</x:t>
        </x:is>
      </x:c>
      <x:c r="H575" s="3" t="inlineStr">
        <x:is>
          <x:t>ROCIO  LONDOÑO BUSTAMANTE, carrera 63 numero 33-60 t 3 AP 510, ITAGUI,, ANTIOQUIA 05441, CO</x:t>
        </x:is>
      </x:c>
      <x:c r="I575" s="3" t="inlineStr">
        <x:is>
          <x:t>3</x:t>
        </x:is>
      </x:c>
      <x:c r="J575" s="3" t="inlineStr">
        <x:is>
          <x:t>11</x:t>
        </x:is>
      </x:c>
      <x:c r="K575" s="3" t="inlineStr">
        <x:is>
          <x:t>3. Composiciones para aclarar la piel [cosméticos]; cosméticos; cosméticos a base de cannabis; cosméticos a base de cáñamo; cosméticos a base de hierbas; cosméticos biológicos; cosméticos de belleza; cosméticos ecológicos; cosméticos en forma de cremas; cosméticos funcionales en cuanto preparaciones para blanquear la piel; cosméticos naturales; cosméticos no medicinales;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crema corporal para uso cosmético; cremas acondicionadoras para la piel, de uso cosmético; cremas antiarrugas para uso cosmético; cremas antienvejecimiento para uso cosmético; cremas con vitamina a para uso cosmético; cremas corporales [cosméticos]; cremas de limpieza [cosméticos]; cremas de limpieza [para uso cosmético]; cremas de limpieza [productos cosméticos]; cremas de limpieza para uso cosmético; cremas de protección solar para uso cosmético; cremas exfoliantes para uso cosmético; cremas faciales para uso cosmético; cremas hidratantes para la piel [cosméticos]; cremas limpiadoras [cosméticos]; cremas limpiadoras [productos cosméticos]; cremas limpiadoras para uso cosmético; cremas para atenuar las manchas de la vejez de uso cosmético; cremas para después del sol de uso cosmético; cremas para el cabello de uso cosmético; cremas para el cabello para uso cosmético; cremas para el cuerpo [cosméticos]; cremas para el rostro de uso cosmético; cremas para el rostro y el cuerpo de uso cosmético; cremas para la cara [cosméticos]; cremas para la piel de uso cosmético; cremas para las manos de uso cosmético; cremas para las uñas de uso cosmético; cremas para los labios de uso cosmético; cremas para los ojos de uso cosmético; cremas para reducir la celulitis de uso cosmético; cremas para tez clara de uso cosmético; cremas perfumadas para uso cosmético; cremas reparadoras para la piel [cosméticos]; cremas reparadoras para la piel de uso cosmético; cremas tonificantes [cosméticos]; cremas y geles cosméticos para cara, manos y cuerpo; cremas y geles cosméticos para rostro, manos y cuerpo; cremas, aceites, lociones, aerosoles, lápices y bálsamos para uso cosmético; cremas, leches, lociones, geles y polvos cosméticos para la cara, el cuerpo y las manos.
</x:t>
        </x:is>
      </x:c>
      <x:c r="L575" s="3" t="inlineStr">
        <x:is>
          <x:t>No</x:t>
        </x:is>
      </x:c>
      <x:c r="M575" s="3" t="inlineStr">
        <x:is>
          <x:t>Mauricio Castro Orjuela, Avenida Carrera 19 # 95 - 20, BOGOTA, CUNDINAMARCA 00000, CO</x:t>
        </x:is>
      </x:c>
      <x:c r="N575" s="3" t="inlineStr">
        <x:is>
          <x:t/>
        </x:is>
      </x:c>
      <x:c r="O575" s="3" t="inlineStr">
        <x:is>
          <x:t>16 feb. 2023</x:t>
        </x:is>
      </x:c>
      <x:c r="P575" s="3" t="inlineStr">
        <x:is>
          <x:t/>
        </x:is>
      </x:c>
      <x:c r="Q575" s="3" t="inlineStr">
        <x:is>
          <x:t/>
        </x:is>
      </x:c>
    </x:row>
    <x:row r="576">
      <x:c r="A576" s="10" t="inlineStr">
        <x:f xml:space="preserve">HYPERLINK("http://sipi.sic.gov.co/sipi/View.ashx?4438979","SD2022/0114109")</x:f>
      </x:c>
      <x:c r="B576" s="3" t="inlineStr">
        <x:is>
          <x:t>KIYDO COSMETICS</x:t>
        </x:is>
      </x:c>
      <x:c r="C576" s="9" t="inlineStr">
        <x:is>
          <x:t/>
        </x:is>
      </x:c>
      <x:c r="D576" s="3" t="inlineStr">
        <x:is>
          <x:t>04 nov. 2022</x:t>
        </x:is>
      </x:c>
      <x:c r="E576" s="3" t="inlineStr">
        <x:is>
          <x:t/>
        </x:is>
      </x:c>
      <x:c r="F576" s="3" t="inlineStr">
        <x:is>
          <x:t>Negada</x:t>
        </x:is>
      </x:c>
      <x:c r="G576" s="3" t="inlineStr">
        <x:is>
          <x:t>KIYDO COSMETICS</x:t>
        </x:is>
      </x:c>
      <x:c r="H576" s="3" t="inlineStr">
        <x:is>
          <x:t>YISED NATALIA GAITAN RODRIGUEZ, Calle 77b # 129 - 70 T3 APTO 1406, BOGOTÁ, D.C., CO</x:t>
        </x:is>
      </x:c>
      <x:c r="I576" s="3" t="inlineStr">
        <x:is>
          <x:t>3</x:t>
        </x:is>
      </x:c>
      <x:c r="J576" s="3" t="inlineStr">
        <x:is>
          <x:t>11</x:t>
        </x:is>
      </x:c>
      <x:c r="K576" s="3" t="inlineStr">
        <x:is>
          <x:t>3. Productos cosméticos y preparaciones de tocador no medicinales; dentífricos no medicinales; productos de perfumería, aceites esenciales.
</x:t>
        </x:is>
      </x:c>
      <x:c r="L576" s="3" t="inlineStr">
        <x:is>
          <x:t>No</x:t>
        </x:is>
      </x:c>
      <x:c r="M576" s="3" t="inlineStr">
        <x:is>
          <x:t>WILLIAM ORLANDO  QUIROGA, Carrera 13 No. 32-93. Torre 3, Oficina 708. Parque Central Baviera., BOGOTA, CUNDINAMARCA, CO</x:t>
        </x:is>
      </x:c>
      <x:c r="N576" s="3" t="inlineStr">
        <x:is>
          <x:t/>
        </x:is>
      </x:c>
      <x:c r="O576" s="3" t="inlineStr">
        <x:is>
          <x:t>27 feb. 2023</x:t>
        </x:is>
      </x:c>
      <x:c r="P576" s="3" t="inlineStr">
        <x:is>
          <x:t/>
        </x:is>
      </x:c>
      <x:c r="Q576" s="3" t="inlineStr">
        <x:is>
          <x:t/>
        </x:is>
      </x:c>
    </x:row>
    <x:row r="577">
      <x:c r="A577" s="10" t="inlineStr">
        <x:f xml:space="preserve">HYPERLINK("http://sipi.sic.gov.co/sipi/View.ashx?4439169","SD2022/0114161")</x:f>
      </x:c>
      <x:c r="B577" s="3" t="inlineStr">
        <x:is>
          <x:t>LEIDY MAV</x:t>
        </x:is>
      </x:c>
      <x:c r="C577" s="9" t="inlineStr">
        <x:is>
          <x:t/>
        </x:is>
      </x:c>
      <x:c r="D577" s="3" t="inlineStr">
        <x:is>
          <x:t>04 nov. 2022</x:t>
        </x:is>
      </x:c>
      <x:c r="E577" s="3" t="inlineStr">
        <x:is>
          <x:t/>
        </x:is>
      </x:c>
      <x:c r="F577" s="3" t="inlineStr">
        <x:is>
          <x:t>Negada</x:t>
        </x:is>
      </x:c>
      <x:c r="G577" s="3" t="inlineStr">
        <x:is>
          <x:t>LEIDY MAV</x:t>
        </x:is>
      </x:c>
      <x:c r="H577" s="3" t="inlineStr">
        <x:is>
          <x:t>ANLLY LORENA  CUERVO ALVAREZ, CRA 69D  NO. 33 B 01 INT 301, MEDELLIN,, ANTIOQUIA, CO</x:t>
        </x:is>
      </x:c>
      <x:c r="I577" s="3" t="inlineStr">
        <x:is>
          <x:t>3, 44</x:t>
        </x:is>
      </x:c>
      <x:c r="J577" s="3" t="inlineStr">
        <x:is>
          <x:t>11</x:t>
        </x:is>
      </x:c>
      <x:c r="K577" s="3" t="inlineStr">
        <x:is>
          <x:t>3. Aceite de almendras; aceite de lavanda para uso cosmético; aceite de menta [perfumería]; aceite de rosas; aceite fijador para el cabello; aceite para el peinado del cabello; aceites brillantes para el cuerpo; aceites bronceadores; aceites bronceadores [cosméticos]; aceites bronceadores de uso cosmético; aceites cosméticos; aceites cosméticos para la piel; aceites de perfumería; aceites esenciales; aceites esenciales para uso cosmético; aceites faciales; aceites para bronceado [cosméticos]; aceites para después del sol; aceites para después del sol [productos cosméticos]; aceites para el bronceado de la piel; aceites para el cabello; aceites para el cuerpo; aceites para el cuerpo de uso cosmético; aceites para masajes; aceites para uso cosmético; aceites perfumados para el cuidado de la piel; aceites solares de uso cosmético; aceites suavizantes para el cabello; aceites y lociones bronceadoras; acondicionadores de cabello; acondicionadores labiales; acondicionadores para la piel; aerosoles cosméticos de uso tópico para la piel; agua de rosas [destilados de hierbas]; agua micelar; agua oxigenada para el cabello; aguas de tocador; algodón e hisopos de algodón para uso cosmético; algodón impregnado de preparaciones desmaquillantes; alheña para uso cosmético; almizcle [producto de perfumería]; almohadillas de algodón para uso cosmético; almohadillas de limpieza impregnadas con productos cosméticos; almohadillas limpiadoras impregnadas de preparaciones de tocador; almohadillas limpiadoras impregnadas de productos cosméticos; antiojeras; aromas [aceites esenciales]; astringentes para uso cosmético; autobronceadores; autobronceadores [cosméticos]; barras de labios con protección solar [cosméticos]; barras de labios en stick con protección solar [cosméticos]; bases de maquillaje; bases de maquillaje cremosas; bases de maquillaje en crema; bases de maquillaje líquidas; bases de maquillaje para la piel; bases neutralizantes para labios; basma para uso cosmético; baños de aceite para el cuidado del cabello; baños de aceite para el cuidado del cabello de uso cosmético; bloqueador solar [cosméticos]; brillantina para el cabello; brillos corporales; brillos de labios; brillos para uso cosmético; bronceadores para la piel; bálsamo acondicionador; bálsamos [cremas] para disimular las imperfecciones de la piel; bálsamos capilares; bálsamos de belleza (cremas); bálsamos labiales; bálsamos labiales no medicinales; bálsamos para el cabello; cera depilatoria; cera para el bigote; ceras de masaje, que no sean para uso médico; ceras para el peinado del cabello; champoo para el cabello; champús acondicionadores; champús anticaspa; champús capilares; champús corporales; champús en seco*; champús no medicinales; champús y acondicionadores; cold creams; cold creams para uso cosmético; colonias, perfumes y productos cosméticos; colorantes de labios [cosméticos]; colorantes para el cabello; colorete; colorete en lápiz; colorete líquido; coloretes; coloretes en crema; composiciones para aclarar la piel [cosméticos]; correctores antiojeras; correctores de imperfecciones [productos cosméticos]; correctores de líneas y arrugas faciales; correctores de ojeras; correctores para disimular manchas e imperfecciones de la piel; cosméticos; cosméticos de belleza; cosméticos en forma de polvos; cosméticos para broncear la piel; cosméticos para cuidados corporales y estéticos; cosméticos para el cabello; cosméticos para las cejas; cosméticos para los labios; cosméticos para pestañas; cosméticos para tratamiento de belleza cosméticos para el cuidado de belleza; cosméticos y preparaciones de cuidado personal; crema corporal; crema para aclarar la piel; cremas acondicionadoras; cremas antiarrugas; cremas antienvejecimiento; cremas autobronceadoras; cremas bronceadoras; cremas bronceadoras para la piel; cremas capilares; cremas con filtro solar; cremas contra las pecas; cremas corporales; cremas cosméticas para el cuidado de la piel; cremas de afeitar; cremas de belleza para el rostro y el cuerpo; cremas de noche; cremas de protección solar; cremas depilatorias; cremas desmaquillantes; cremas emolientes reparadoras para el cuidado diario de la piel; cremas exfoliantes; cremas faciales; cremas hidratantes; cremas limpiadoras para la piel; cremas para aclarar la piel; cremas para después del afeitado; cremas para el cabello; cremas para el cuero; cremas para el rostro y el cuerpo; cremas para los labios; cremas para los ojos; cremas para reducir la celulitis; cremas reparadoras para la piel [cosméticos]; cremas tonificantes [cosméticos]; cremas y geles cosméticos para cara, manos y cuerpo; cremas, aceites, lociones y preparaciones limpiadoras e hidratantes; cremas, aceites, lociones, aerosoles, lápices y bálsamos para uso cosmético; cremas, leches, lociones, geles y polvos cosméticos para la cara, el cuerpo y las manos; decolorantes capilares; decolorantes para uso cosmético; depilatorios; desmaquilladores; desmaquillantes de ojos; desodorantes para el cuerpo; desodorantes y antitranspirantes para uso personal; emulsiones faciales; emulsiones para el cuerpo; emulsiones para el cuerpo de uso cosmético; enjuagues de color para el cabello; espumas [cosméticas]; espumas limpiadoras para uso personal; exfoliantes [preparaciones cosméticas]; fijadores para el cabello; geles antienvejecimiento; geles bronceadores; geles capilares; geles cosméticos; geles para el bronceado de la piel; geles para el cuerpo y la cara [cosméticos]; geles para uso cosmético; henna para uso cosmético; hidratantes [cosméticos]; jabones cosméticos; jabones para el cuidado del cuerpo; jabones para uso personal; kits de maquillaje; leches bronceadoras; leches de limpieza facial; leches desmaquillantes; leches hidratantes; leches para después del sol; leches y lociones para el rostro; limpiadores faciales; lociones bronceadoras; lociones capilares cosméticas; lociones para el cuidado del rostro y del cuerpo; manteca corporal para uso cosmético; maquillaje [cosméticos]; mascarillas corporales; mascarillas cosméticas; mascarillas faciales; mascarillas para el cabello; paños impregnados con sustancias cosméticas; paños impregnados de productos de limpieza para la piel; perfumería y fragancias; polvos cosméticos; pomadas para uso cosmético; preparaciones con filtro solar; preparaciones cosméticas; preparaciones de cuidado corporal y de belleza para uso cosmético; preparaciones de maquillaje para el rostro y el cuerpo; preparaciones hidratantes; preparaciones limpiadoras de uso personal; productos cosméticos para uso personal; productos de maquillaje; productos de perfumería; reafirmantes en gel para el cuerpo para uso cosmético; revitalizantes para el cabello; revitalizantes para la piel [cosméticos]; rubores para las mejillas; sales de baño cosméticas; sombras de ojos; sueros de belleza; sueros faciales; sueros para uso cosmético; tintes cosméticos; tiras para eliminar los puntos negros; toallitas cosméticas impregnadas; tónicos para uso cosmético.
44. Servicios médicos; servicios veterinarios; spa, tratamientos de higiene y de belleza para personas o animales; servicios de agricultura, horticultura y silvicultura.
</x:t>
        </x:is>
      </x:c>
      <x:c r="L577" s="3" t="inlineStr">
        <x:is>
          <x:t>No</x:t>
        </x:is>
      </x:c>
      <x:c r="M577" s="3" t="inlineStr">
        <x:is>
          <x:t/>
        </x:is>
      </x:c>
      <x:c r="N577" s="3" t="inlineStr">
        <x:is>
          <x:t/>
        </x:is>
      </x:c>
      <x:c r="O577" s="3" t="inlineStr">
        <x:is>
          <x:t>27 feb. 2023</x:t>
        </x:is>
      </x:c>
      <x:c r="P577" s="3" t="inlineStr">
        <x:is>
          <x:t/>
        </x:is>
      </x:c>
      <x:c r="Q577" s="3" t="inlineStr">
        <x:is>
          <x:t/>
        </x:is>
      </x:c>
    </x:row>
    <x:row r="578">
      <x:c r="A578" s="10" t="inlineStr">
        <x:f xml:space="preserve">HYPERLINK("http://sipi.sic.gov.co/sipi/View.ashx?4439374","SD2022/0114202")</x:f>
      </x:c>
      <x:c r="B578" s="3" t="inlineStr">
        <x:is>
          <x:t>Serux</x:t>
        </x:is>
      </x:c>
      <x:c r="C578" s="9" t="inlineStr">
        <x:is>
          <x:t/>
        </x:is>
      </x:c>
      <x:c r="D578" s="3" t="inlineStr">
        <x:is>
          <x:t>04 nov. 2022</x:t>
        </x:is>
      </x:c>
      <x:c r="E578" s="3" t="inlineStr">
        <x:is>
          <x:t/>
        </x:is>
      </x:c>
      <x:c r="F578" s="3" t="inlineStr">
        <x:is>
          <x:t>Negada</x:t>
        </x:is>
      </x:c>
      <x:c r="G578" s="3" t="inlineStr">
        <x:is>
          <x:t/>
        </x:is>
      </x:c>
      <x:c r="H578" s="3" t="inlineStr">
        <x:is>
          <x:t>ANDREA URIBE LLANO, Carrera 21 # 106A-31 Apto 601, BOGOTÁ, D.C., CO</x:t>
        </x:is>
      </x:c>
      <x:c r="I578" s="3" t="inlineStr">
        <x:is>
          <x:t>3</x:t>
        </x:is>
      </x:c>
      <x:c r="J578" s="3" t="inlineStr">
        <x:is>
          <x:t>11</x:t>
        </x:is>
      </x:c>
      <x:c r="K578" s="3" t="inlineStr">
        <x:is>
          <x:t>3. Aceites cosméticos; aceites de protección solar [cosméticos]; cosméticos; cosméticos de belleza; cosméticos para el cabello; cosméticos para tratamiento de belleza cosméticos para el cuidado de belleza; cosméticos y preparaciones de cuidado personal; cremas corporales [cosméticos]; cremas hidratantes para la piel [cosméticos]; hidratantes faciales [cosméticos]; jabones cosméticos; lociones hidratantes [cosméticos]; preparaciones de cuidado facial [cosméticos].
</x:t>
        </x:is>
      </x:c>
      <x:c r="L578" s="3" t="inlineStr">
        <x:is>
          <x:t>No</x:t>
        </x:is>
      </x:c>
      <x:c r="M578" s="3" t="inlineStr">
        <x:is>
          <x:t/>
        </x:is>
      </x:c>
      <x:c r="N578" s="3" t="inlineStr">
        <x:is>
          <x:t/>
        </x:is>
      </x:c>
      <x:c r="O578" s="3" t="inlineStr">
        <x:is>
          <x:t>18 nov. 2022</x:t>
        </x:is>
      </x:c>
      <x:c r="P578" s="3" t="inlineStr">
        <x:is>
          <x:t/>
        </x:is>
      </x:c>
      <x:c r="Q578" s="3" t="inlineStr">
        <x:is>
          <x:t/>
        </x:is>
      </x:c>
    </x:row>
    <x:row r="579">
      <x:c r="A579" s="10" t="inlineStr">
        <x:f xml:space="preserve">HYPERLINK("http://sipi.sic.gov.co/sipi/View.ashx?4439630","SD2022/0114337")</x:f>
      </x:c>
      <x:c r="B579" s="3" t="inlineStr">
        <x:is>
          <x:t>VITA ESPELETIA</x:t>
        </x:is>
      </x:c>
      <x:c r="C579" s="9" t="inlineStr">
        <x:is>
          <x:t/>
        </x:is>
      </x:c>
      <x:c r="D579" s="3" t="inlineStr">
        <x:is>
          <x:t>04 nov. 2022</x:t>
        </x:is>
      </x:c>
      <x:c r="E579" s="3" t="inlineStr">
        <x:is>
          <x:t/>
        </x:is>
      </x:c>
      <x:c r="F579" s="3" t="inlineStr">
        <x:is>
          <x:t>Negada</x:t>
        </x:is>
      </x:c>
      <x:c r="G579" s="3" t="inlineStr">
        <x:is>
          <x:t/>
        </x:is>
      </x:c>
      <x:c r="H579" s="3" t="inlineStr">
        <x:is>
          <x:t>LINA MARIA TORRES VARGAS, CR 83 N 95 34 BL C5 APT 513, BOGOTÁ, D.C., CO</x:t>
        </x:is>
      </x:c>
      <x:c r="I579" s="3" t="inlineStr">
        <x:is>
          <x:t>3, 21</x:t>
        </x:is>
      </x:c>
      <x:c r="J579" s="3" t="inlineStr">
        <x:is>
          <x:t>11</x:t>
        </x:is>
      </x:c>
      <x:c r="K579" s="3" t="inlineStr">
        <x:is>
          <x:t>3. Cosméticos ecológicos.
21. Utensilios y recipientes para uso doméstico y culinario.
</x:t>
        </x:is>
      </x:c>
      <x:c r="L579" s="3" t="inlineStr">
        <x:is>
          <x:t>No</x:t>
        </x:is>
      </x:c>
      <x:c r="M579" s="3" t="inlineStr">
        <x:is>
          <x:t/>
        </x:is>
      </x:c>
      <x:c r="N579" s="3" t="inlineStr">
        <x:is>
          <x:t/>
        </x:is>
      </x:c>
      <x:c r="O579" s="3" t="inlineStr">
        <x:is>
          <x:t>29 may. 2023</x:t>
        </x:is>
      </x:c>
      <x:c r="P579" s="3" t="inlineStr">
        <x:is>
          <x:t/>
        </x:is>
      </x:c>
      <x:c r="Q579" s="3" t="inlineStr">
        <x:is>
          <x:t/>
        </x:is>
      </x:c>
    </x:row>
    <x:row r="580">
      <x:c r="A580" s="10" t="inlineStr">
        <x:f xml:space="preserve">HYPERLINK("http://sipi.sic.gov.co/sipi/View.ashx?4440169","SD2022/0114497")</x:f>
      </x:c>
      <x:c r="B580" s="3" t="inlineStr">
        <x:is>
          <x:t>CEROSSO</x:t>
        </x:is>
      </x:c>
      <x:c r="C580" s="9" t="inlineStr">
        <x:is>
          <x:t/>
        </x:is>
      </x:c>
      <x:c r="D580" s="3" t="inlineStr">
        <x:is>
          <x:t>04 nov. 2022</x:t>
        </x:is>
      </x:c>
      <x:c r="E580" s="3" t="inlineStr">
        <x:is>
          <x:t/>
        </x:is>
      </x:c>
      <x:c r="F580" s="3" t="inlineStr">
        <x:is>
          <x:t>Negada</x:t>
        </x:is>
      </x:c>
      <x:c r="G580" s="3" t="inlineStr">
        <x:is>
          <x:t>CEROSSO</x:t>
        </x:is>
      </x:c>
      <x:c r="H580" s="3" t="inlineStr">
        <x:is>
          <x:t> Global de Cosméticos y Esenciales Ltda, Calle 84 42 -132, ITAGÜI, ANTIOQUIA, CO</x:t>
        </x:is>
      </x:c>
      <x:c r="I580" s="3" t="inlineStr">
        <x:is>
          <x:t>3</x:t>
        </x:is>
      </x:c>
      <x:c r="J580" s="3" t="inlineStr">
        <x:is>
          <x:t>11</x:t>
        </x:is>
      </x:c>
      <x:c r="K580" s="3" t="inlineStr">
        <x:is>
          <x:t>3. Productos cosméticos y de belleza; productos cosméticos y de maquillaje; productos cosméticos y de tocador; aceites cosméticos para la piel; cosméticos y preparaciones de cuidado personal.
</x:t>
        </x:is>
      </x:c>
      <x:c r="L580" s="3" t="inlineStr">
        <x:is>
          <x:t>No</x:t>
        </x:is>
      </x:c>
      <x:c r="M580" s="3" t="inlineStr">
        <x:is>
          <x:t>ANDRÉS FELIPE ZAPATA OCAMPO, Crr 11 # 86 -32 Ofc 602, BOGOTÁ, D.C., CO</x:t>
        </x:is>
      </x:c>
      <x:c r="N580" s="3" t="inlineStr">
        <x:is>
          <x:t/>
        </x:is>
      </x:c>
      <x:c r="O580" s="3" t="inlineStr">
        <x:is>
          <x:t>18 nov. 2022</x:t>
        </x:is>
      </x:c>
      <x:c r="P580" s="3" t="inlineStr">
        <x:is>
          <x:t/>
        </x:is>
      </x:c>
      <x:c r="Q580" s="3" t="inlineStr">
        <x:is>
          <x:t/>
        </x:is>
      </x:c>
    </x:row>
    <x:row r="581">
      <x:c r="A581" s="10" t="inlineStr">
        <x:f xml:space="preserve">HYPERLINK("http://sipi.sic.gov.co/sipi/View.ashx?4440329","SD2022/0114514")</x:f>
      </x:c>
      <x:c r="B581" s="3" t="inlineStr">
        <x:is>
          <x:t>HEDEN</x:t>
        </x:is>
      </x:c>
      <x:c r="C581" s="9" t="inlineStr">
        <x:is>
          <x:t/>
        </x:is>
      </x:c>
      <x:c r="D581" s="3" t="inlineStr">
        <x:is>
          <x:t>04 nov. 2022</x:t>
        </x:is>
      </x:c>
      <x:c r="E581" s="3" t="inlineStr">
        <x:is>
          <x:t/>
        </x:is>
      </x:c>
      <x:c r="F581" s="3" t="inlineStr">
        <x:is>
          <x:t>Negada</x:t>
        </x:is>
      </x:c>
      <x:c r="G581" s="3" t="inlineStr">
        <x:is>
          <x:t>COLSTEVENHEDEN2022</x:t>
        </x:is>
      </x:c>
      <x:c r="H581" s="3" t="inlineStr">
        <x:is>
          <x:t>HERZER STEVEN ROMERO GOMEZ, carrera 38 #34a-37 apartamento 403 torre 4 Soacha ciudad verde Conjunto Magnolia, SOACHA, CUNDINAMARCA, CO</x:t>
        </x:is>
      </x:c>
      <x:c r="I581" s="3" t="inlineStr">
        <x:is>
          <x:t>3</x:t>
        </x:is>
      </x:c>
      <x:c r="J581" s="3" t="inlineStr">
        <x:is>
          <x:t>11</x:t>
        </x:is>
      </x:c>
      <x:c r="K581" s="3" t="inlineStr">
        <x:is>
          <x:t>3. Fragancias para automóviles; fragancias para carros; fragancias para la industria manufacturera; perfumes. Todos los anteriores excluyendo expresamente productos de limpieza.
</x:t>
        </x:is>
      </x:c>
      <x:c r="L581" s="3" t="inlineStr">
        <x:is>
          <x:t>Sí</x:t>
        </x:is>
      </x:c>
      <x:c r="M581" s="3" t="inlineStr">
        <x:is>
          <x:t>Alejandro Quintana Vega, Calle 131 No. 19-31 apto 413, BOGOTÁ, D.C., CO</x:t>
        </x:is>
      </x:c>
      <x:c r="N581" s="3" t="inlineStr">
        <x:is>
          <x:t/>
        </x:is>
      </x:c>
      <x:c r="O581" s="3" t="inlineStr">
        <x:is>
          <x:t>06 feb. 2023</x:t>
        </x:is>
      </x:c>
      <x:c r="P581" s="3" t="inlineStr">
        <x:is>
          <x:t/>
        </x:is>
      </x:c>
      <x:c r="Q581" s="3" t="inlineStr">
        <x:is>
          <x:t/>
        </x:is>
      </x:c>
    </x:row>
    <x:row r="582">
      <x:c r="A582" s="10" t="inlineStr">
        <x:f xml:space="preserve">HYPERLINK("http://sipi.sic.gov.co/sipi/View.ashx?4441976","SD2022/0114764")</x:f>
      </x:c>
      <x:c r="B582" s="3" t="inlineStr">
        <x:is>
          <x:t>Clipperaide</x:t>
        </x:is>
      </x:c>
      <x:c r="C582" s="9" t="inlineStr">
        <x:is>
          <x:t/>
        </x:is>
      </x:c>
      <x:c r="D582" s="3" t="inlineStr">
        <x:is>
          <x:t>08 nov. 2022</x:t>
        </x:is>
      </x:c>
      <x:c r="E582" s="3" t="inlineStr">
        <x:is>
          <x:t/>
        </x:is>
      </x:c>
      <x:c r="F582" s="3" t="inlineStr">
        <x:is>
          <x:t>Negada</x:t>
        </x:is>
      </x:c>
      <x:c r="G582" s="3" t="inlineStr">
        <x:is>
          <x:t>Clipperaide</x:t>
        </x:is>
      </x:c>
      <x:c r="H582" s="3" t="inlineStr">
        <x:is>
          <x:t> King Research International GmbH, Am Sägewerk 1a, BAVARIA, BAVIERA 85107, DE</x:t>
        </x:is>
      </x:c>
      <x:c r="I582" s="3" t="inlineStr">
        <x:is>
          <x:t>3, 5</x:t>
        </x:is>
      </x:c>
      <x:c r="J582" s="3" t="inlineStr">
        <x:is>
          <x:t>11</x:t>
        </x:is>
      </x:c>
      <x:c r="K582" s="3" t="inlineStr">
        <x:is>
          <x:t>3. Paños húmedos para limpiar, desempolvar o lustrar; preparaciones para limpiar cristales; preparaciones para limpiar dentaduras postizas;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fregar y raspar; preparaciones para limpiar, lavar y pulir; preparaciones para limpiar, lustrar y fregar; preparaciones para limpiar, pulir, desengrasar y raspar; preparaciones para limpiar, pulir, fregar y raspar; preparaciones para limpiar, teñir, colorear, decolorar, marcar y peinar el cabello; preparaciones para limpiarse las manos; preparaciones y sustancias para limpiar y lavar; preparaciones y sustancias para limpiar, fregar y pulir; detergentes para uso doméstico con propiedades desinfectantes; lavados no medicinales; preparaciones para el lavado; preparaciones para el lavado para uso doméstico; agentes de limpieza para uso doméstico; agentes y preparaciones de limpieza; espumas de limpieza; líquidos de limpieza; líquidos de limpieza en seco; preparaciones de limpieza; preparaciones de limpieza para cristales; preparaciones de limpieza para el hogar; preparaciones de limpieza para uso doméstico; preparaciones para la limpieza del cabello; productos de limpieza; productos de limpieza en spray; productos de limpieza para uso doméstico; preparaciones de higiene en cuanto productos de tocador; preparaciones higiénicas en cuanto productos de tocador no medicinales; preparaciones sanitarias en cuanto productos de tocador no medicinales; productos cosméticos y de tocador; productos cosméticos y preparaciones de tocador no medicinales; productos de tocador no medicinales; detergente líquido; espumas limpiadoras; limpiadores cosméticos cutáneos; limpiadores cutáneos; limpiadores cutáneos no medicinales; limpiadores de la piel; materiales de chorreado para la limpieza de superficies; preparaciones para la limpieza de superficies duras; jabones cosméticos; jabones de tocador; jabones de tocador no medicinales; jabones desodorizantes; jabones detergentes; jabones líquidos; jabones líquidos no medicinales; jabones líquidos para el baño; jabones líquidos para el cabello y el cuerpo; jabones para uso doméstico; jabones para uso personal; champúes para el cabello; champús 3 en 1; champús capilares; champús corporales; champús no medicinales; champús para el cabello humano; champús y acondicionadores; productos de enjuague para el cabello [champús acondicionadores]; aceites de perfumería; fragancias y productos de perfumería; perfumería y fragancias; productos de perfumería; dentífricos que no sean para uso médico; dentífricos*.
5. Desinfectantes; desinfectantes domésticos; desinfectantes multiuso; desinfectantes para equipos e instrumentos médicos; desinfectantes para equipos e instrumentos médicos y odontológicos; desinfectantes para equipos e instrumentos odontológicos; desinfectantes para instrumental médico; desinfectantes para uso doméstico; desinfectantes para uso sanitario; desinfectantes y antisépticos; esponjas impregnadas con productos químicos desinfectantes para uso en hospitales; esponjas impregnadas con productos químicos desinfectantes para uso en laboratorios; jabones desinfectantes; jabones desinfectantes perfumados; paños desinfectantes; preparaciones desinfectantes para uso doméstico; preparaciones desinfectantes para uso hospitalario; fungicidas; fungicidas para uso doméstico; lavados desinfectantes que no sean jabones; preparados antisépticos para el lavado; productos de limpieza antibacterianos; detergentes germicidas; germicidas; biocidas; preparaciones de tocador medicinales; preparaciones sanitarias de higiene personal que no sean productos de tocador; limpiadoras antisépticas; preparados limpiadores antisépticos; limpiadores antisépticos; sprays antisépticos; sprays antisépticos en forma de aerosol para uso en superficies duras; jabones antibacterianos.
</x:t>
        </x:is>
      </x:c>
      <x:c r="L582" s="3" t="inlineStr">
        <x:is>
          <x:t>Sí</x:t>
        </x:is>
      </x:c>
      <x:c r="M582" s="3" t="inlineStr">
        <x:is>
          <x:t>PABLO MARCELO CARDENAS BENAVIDES , Calle 12 # 7 32 oficina 1005, BOGOTÁ, D.C., CO</x:t>
        </x:is>
      </x:c>
      <x:c r="N582" s="3" t="inlineStr">
        <x:is>
          <x:t/>
        </x:is>
      </x:c>
      <x:c r="O582" s="3" t="inlineStr">
        <x:is>
          <x:t>18 nov. 2022</x:t>
        </x:is>
      </x:c>
      <x:c r="P582" s="3" t="inlineStr">
        <x:is>
          <x:t/>
        </x:is>
      </x:c>
      <x:c r="Q582" s="3" t="inlineStr">
        <x:is>
          <x:t/>
        </x:is>
      </x:c>
    </x:row>
    <x:row r="583">
      <x:c r="A583" s="10" t="inlineStr">
        <x:f xml:space="preserve">HYPERLINK("http://sipi.sic.gov.co/sipi/View.ashx?4442532","SD2022/0114840")</x:f>
      </x:c>
      <x:c r="B583" s="3" t="inlineStr">
        <x:is>
          <x:t>NEVA</x:t>
        </x:is>
      </x:c>
      <x:c r="C583" s="9" t="inlineStr">
        <x:is>
          <x:t/>
        </x:is>
      </x:c>
      <x:c r="D583" s="3" t="inlineStr">
        <x:is>
          <x:t>08 nov. 2022</x:t>
        </x:is>
      </x:c>
      <x:c r="E583" s="3" t="inlineStr">
        <x:is>
          <x:t/>
        </x:is>
      </x:c>
      <x:c r="F583" s="3" t="inlineStr">
        <x:is>
          <x:t>Negada</x:t>
        </x:is>
      </x:c>
      <x:c r="G583" s="3" t="inlineStr">
        <x:is>
          <x:t>SD - NEVA</x:t>
        </x:is>
      </x:c>
      <x:c r="H583" s="3" t="inlineStr">
        <x:is>
          <x:t> NEVADA GROUP S.A.S., Av Calle 26 No. 85D-55 Local 102, BOGOTÁ, D.C., CO</x:t>
        </x:is>
      </x:c>
      <x:c r="I583" s="3" t="inlineStr">
        <x:is>
          <x:t>3</x:t>
        </x:is>
      </x:c>
      <x:c r="J583" s="3" t="inlineStr">
        <x:is>
          <x:t>11</x:t>
        </x:is>
      </x:c>
      <x:c r="K583" s="3" t="inlineStr">
        <x:is>
          <x:t>3. Productos cosméticos y preparaciones de tocador no medicinales; dentífricos no medicinales; productos de perfumería, aceites esenciales; preparaciones para blanquear y otras sustancias para lavar la ropa; preparaciones para limpiar, pulir, desengrasar y raspar.
</x:t>
        </x:is>
      </x:c>
      <x:c r="L583" s="3" t="inlineStr">
        <x:is>
          <x:t>Sí</x:t>
        </x:is>
      </x:c>
      <x:c r="M583" s="3" t="inlineStr">
        <x:is>
          <x:t>WILLIAM ORLANDO  QUIROGA, Carrera 13 No. 32-93. Torre 3, Oficina 708. Parque Central Baviera., BOGOTA, CUNDINAMARCA, CO</x:t>
        </x:is>
      </x:c>
      <x:c r="N583" s="3" t="inlineStr">
        <x:is>
          <x:t/>
        </x:is>
      </x:c>
      <x:c r="O583" s="3" t="inlineStr">
        <x:is>
          <x:t>20 dic. 2022</x:t>
        </x:is>
      </x:c>
      <x:c r="P583" s="3" t="inlineStr">
        <x:is>
          <x:t/>
        </x:is>
      </x:c>
      <x:c r="Q583" s="3" t="inlineStr">
        <x:is>
          <x:t/>
        </x:is>
      </x:c>
    </x:row>
    <x:row r="584">
      <x:c r="A584" s="10" t="inlineStr">
        <x:f xml:space="preserve">HYPERLINK("http://sipi.sic.gov.co/sipi/View.ashx?4443828","SD2022/0116114")</x:f>
      </x:c>
      <x:c r="B584" s="3" t="inlineStr">
        <x:is>
          <x:t>RH RHOI</x:t>
        </x:is>
      </x:c>
      <x:c r="C584" s="9" t="inlineStr">
        <x:is>
          <x:t/>
        </x:is>
      </x:c>
      <x:c r="D584" s="3" t="inlineStr">
        <x:is>
          <x:t>10 nov. 2022</x:t>
        </x:is>
      </x:c>
      <x:c r="E584" s="3" t="inlineStr">
        <x:is>
          <x:t/>
        </x:is>
      </x:c>
      <x:c r="F584" s="3" t="inlineStr">
        <x:is>
          <x:t>Negada</x:t>
        </x:is>
      </x:c>
      <x:c r="G584" s="3" t="inlineStr">
        <x:is>
          <x:t>RHOI</x:t>
        </x:is>
      </x:c>
      <x:c r="H584" s="3" t="inlineStr">
        <x:is>
          <x:t> SBQ COLOMBIA S.A.S., Carrera 42 14 11, MEDELLIN, ANTIOQUIA, CO</x:t>
        </x:is>
      </x:c>
      <x:c r="I584" s="3" t="inlineStr">
        <x:is>
          <x:t>3</x:t>
        </x:is>
      </x:c>
      <x:c r="J584" s="3" t="inlineStr">
        <x:is>
          <x:t>11</x:t>
        </x:is>
      </x:c>
      <x:c r="K584" s="3" t="inlineStr">
        <x:is>
          <x:t>3. Colonias, perfumes y productos cosméticos.
</x:t>
        </x:is>
      </x:c>
      <x:c r="L584" s="3" t="inlineStr">
        <x:is>
          <x:t>No</x:t>
        </x:is>
      </x:c>
      <x:c r="M584" s="3" t="inlineStr">
        <x:is>
          <x:t>Sebastián Barrientos Quintero, Carrera 42 14 11 INT 701, MEDELLIN, ANTIOQUIA, CO</x:t>
        </x:is>
      </x:c>
      <x:c r="N584" s="3" t="inlineStr">
        <x:is>
          <x:t/>
        </x:is>
      </x:c>
      <x:c r="O584" s="3" t="inlineStr">
        <x:is>
          <x:t>18 nov. 2022</x:t>
        </x:is>
      </x:c>
      <x:c r="P584" s="3" t="inlineStr">
        <x:is>
          <x:t/>
        </x:is>
      </x:c>
      <x:c r="Q584" s="3" t="inlineStr">
        <x:is>
          <x:t/>
        </x:is>
      </x:c>
    </x:row>
    <x:row r="585">
      <x:c r="A585" s="10" t="inlineStr">
        <x:f xml:space="preserve">HYPERLINK("http://sipi.sic.gov.co/sipi/View.ashx?4444851","SD2022/0115313")</x:f>
      </x:c>
      <x:c r="B585" s="3" t="inlineStr">
        <x:is>
          <x:t>Alma Selva</x:t>
        </x:is>
      </x:c>
      <x:c r="C585" s="3" t="inlineStr">
        <x:is>
          <x:t/>
        </x:is>
      </x:c>
      <x:c r="D585" s="3" t="inlineStr">
        <x:is>
          <x:t>09 nov. 2022</x:t>
        </x:is>
      </x:c>
      <x:c r="E585" s="3" t="inlineStr">
        <x:is>
          <x:t/>
        </x:is>
      </x:c>
      <x:c r="F585" s="3" t="inlineStr">
        <x:is>
          <x:t>Negada</x:t>
        </x:is>
      </x:c>
      <x:c r="G585" s="3" t="inlineStr">
        <x:is>
          <x:t>Nombre Alma Selva</x:t>
        </x:is>
      </x:c>
      <x:c r="H585" s="3" t="inlineStr">
        <x:is>
          <x:t>Paula Jimena Africano Carrero, Calle 81 # 21a - 25, BOGOTÁ, D.C. 111211, CO</x:t>
        </x:is>
      </x:c>
      <x:c r="I585" s="3" t="inlineStr">
        <x:is>
          <x:t>3</x:t>
        </x:is>
      </x:c>
      <x:c r="J585" s="3" t="inlineStr">
        <x:is>
          <x:t>11</x:t>
        </x:is>
      </x:c>
      <x:c r="K585" s="3" t="inlineStr">
        <x:is>
          <x:t>3. Cosméticos de belleza.
</x:t>
        </x:is>
      </x:c>
      <x:c r="L585" s="3" t="inlineStr">
        <x:is>
          <x:t>No</x:t>
        </x:is>
      </x:c>
      <x:c r="M585" s="3" t="inlineStr">
        <x:is>
          <x:t/>
        </x:is>
      </x:c>
      <x:c r="N585" s="3" t="inlineStr">
        <x:is>
          <x:t/>
        </x:is>
      </x:c>
      <x:c r="O585" s="3" t="inlineStr">
        <x:is>
          <x:t>09 dic. 2022</x:t>
        </x:is>
      </x:c>
      <x:c r="P585" s="3" t="inlineStr">
        <x:is>
          <x:t/>
        </x:is>
      </x:c>
      <x:c r="Q585" s="3" t="inlineStr">
        <x:is>
          <x:t/>
        </x:is>
      </x:c>
    </x:row>
    <x:row r="586">
      <x:c r="A586" s="10" t="inlineStr">
        <x:f xml:space="preserve">HYPERLINK("http://sipi.sic.gov.co/sipi/View.ashx?4445061","SD2022/0115348")</x:f>
      </x:c>
      <x:c r="B586" s="3" t="inlineStr">
        <x:is>
          <x:t>LCH LEIDY CHARRY</x:t>
        </x:is>
      </x:c>
      <x:c r="C586" s="9" t="inlineStr">
        <x:is>
          <x:t/>
        </x:is>
      </x:c>
      <x:c r="D586" s="3" t="inlineStr">
        <x:is>
          <x:t>09 nov. 2022</x:t>
        </x:is>
      </x:c>
      <x:c r="E586" s="3" t="inlineStr">
        <x:is>
          <x:t/>
        </x:is>
      </x:c>
      <x:c r="F586" s="3" t="inlineStr">
        <x:is>
          <x:t>Negada</x:t>
        </x:is>
      </x:c>
      <x:c r="G586" s="3" t="inlineStr">
        <x:is>
          <x:t/>
        </x:is>
      </x:c>
      <x:c r="H586" s="3" t="inlineStr">
        <x:is>
          <x:t>DAYANA VANESA CHARRY SANCHEZ, CL 39A SUR NO 43A 161, ENVIGADO, ANTIOQUIA, CO</x:t>
        </x:is>
      </x:c>
      <x:c r="I586" s="3" t="inlineStr">
        <x:is>
          <x:t>3, 44</x:t>
        </x:is>
      </x:c>
      <x:c r="J586" s="3" t="inlineStr">
        <x:is>
          <x:t>11</x:t>
        </x:is>
      </x:c>
      <x:c r="K586" s="3" t="inlineStr">
        <x:is>
          <x:t>3. Cremas faciales; tónicos clarificadores faciales; tónicos faciales; tónicos faciales clarificantes.
44. Servicios de tratamientos cosméticos faciales y corporales; servicios de tratamientos faciales; masajes; servicios de masajes.
</x:t>
        </x:is>
      </x:c>
      <x:c r="L586" s="3" t="inlineStr">
        <x:is>
          <x:t>Sí</x:t>
        </x:is>
      </x:c>
      <x:c r="M586" s="3" t="inlineStr">
        <x:is>
          <x:t/>
        </x:is>
      </x:c>
      <x:c r="N586" s="3" t="inlineStr">
        <x:is>
          <x:t/>
        </x:is>
      </x:c>
      <x:c r="O586" s="3" t="inlineStr">
        <x:is>
          <x:t>18 nov. 2022</x:t>
        </x:is>
      </x:c>
      <x:c r="P586" s="3" t="inlineStr">
        <x:is>
          <x:t/>
        </x:is>
      </x:c>
      <x:c r="Q586" s="3" t="inlineStr">
        <x:is>
          <x:t/>
        </x:is>
      </x:c>
    </x:row>
    <x:row r="587">
      <x:c r="A587" s="10" t="inlineStr">
        <x:f xml:space="preserve">HYPERLINK("http://sipi.sic.gov.co/sipi/View.ashx?4445647","SD2022/0115524")</x:f>
      </x:c>
      <x:c r="B587" s="3" t="inlineStr">
        <x:is>
          <x:t>SUKI</x:t>
        </x:is>
      </x:c>
      <x:c r="C587" s="9" t="inlineStr">
        <x:is>
          <x:t/>
        </x:is>
      </x:c>
      <x:c r="D587" s="3" t="inlineStr">
        <x:is>
          <x:t>09 nov. 2022</x:t>
        </x:is>
      </x:c>
      <x:c r="E587" s="3" t="inlineStr">
        <x:is>
          <x:t/>
        </x:is>
      </x:c>
      <x:c r="F587" s="3" t="inlineStr">
        <x:is>
          <x:t>Negada</x:t>
        </x:is>
      </x:c>
      <x:c r="G587" s="3" t="inlineStr">
        <x:is>
          <x:t>SUKI 3</x:t>
        </x:is>
      </x:c>
      <x:c r="H587" s="3" t="inlineStr">
        <x:is>
          <x:t>JUAN SANTIAGO CORRALES QUINTERO, calle 27 # 77 - 137 casa 145, MEDELLIN, ANTIOQUIA, CO</x:t>
        </x:is>
      </x:c>
      <x:c r="I587" s="3" t="inlineStr">
        <x:is>
          <x:t>3</x:t>
        </x:is>
      </x:c>
      <x:c r="J587" s="3" t="inlineStr">
        <x:is>
          <x:t>11</x:t>
        </x:is>
      </x:c>
      <x:c r="K587" s="3" t="inlineStr">
        <x:is>
          <x:t>3. Cosméticos de belleza; cosméticos para tratamiento de belleza cosméticos para el cuidado de belleza; preparaciones de cuidado corporal y de belleza para uso cosmético; productos cosméticos y de belleza; kits de cosméticos que comprenden principalmente máscara de pestañas, lápices de labios, lápices de cejas, maquillaje, fundación de maquillaje y brillos de labios; kits de maquillaje; maquillaje para la cara y el cuerpo; maquillajes de ojos; productos cosméticos y de maquillaje; esmaltes de base para las uñas [productos cosméticos]; esmaltes de uñas; esmaltes de uñas en gel; preparaciones cosméticas para el cuidado de las uñas; endurecedores de uñas; kits para el cuidado de las uñas que comprenden principalmente esmaltes de uñas, quitaesmaltes y uñas postizas; lociones, cremas y preparaciones para el cuidado de la cara, cuerpo, cuero cabelludo, uñas y cabello; lápices para aplicar el esmalte de uñas; adhesivos para fijar uñas y pestañas postizas; cosméticos para pestañas; extensiones de pestañas; máscara de pestañas; neceseres de cosmética que contienen principalmente máscara de pestañas, lápices de labios, lápices de cejas, maquillaje, fundación de maquillaje y brillos de labios; cosméticos para las cejas; geles para el peinado de las cejas; geles para el teñido de las cejas; kits de cosméticos que contienen principalmente máscara de pestañas, lápices de labios, lápices de cejas, maquillaje, fundación de maquillaje y brillos de labios; lápices de cejas.
</x:t>
        </x:is>
      </x:c>
      <x:c r="L587" s="3" t="inlineStr">
        <x:is>
          <x:t>No</x:t>
        </x:is>
      </x:c>
      <x:c r="M587" s="3" t="inlineStr">
        <x:is>
          <x:t/>
        </x:is>
      </x:c>
      <x:c r="N587" s="3" t="inlineStr">
        <x:is>
          <x:t/>
        </x:is>
      </x:c>
      <x:c r="O587" s="3" t="inlineStr">
        <x:is>
          <x:t>16 ene. 2023</x:t>
        </x:is>
      </x:c>
      <x:c r="P587" s="3" t="inlineStr">
        <x:is>
          <x:t/>
        </x:is>
      </x:c>
      <x:c r="Q587" s="3" t="inlineStr">
        <x:is>
          <x:t/>
        </x:is>
      </x:c>
    </x:row>
    <x:row r="588">
      <x:c r="A588" s="10" t="inlineStr">
        <x:f xml:space="preserve">HYPERLINK("http://sipi.sic.gov.co/sipi/View.ashx?4446690","SD2022/0115923")</x:f>
      </x:c>
      <x:c r="B588" s="3" t="inlineStr">
        <x:is>
          <x:t>MONCLEER</x:t>
        </x:is>
      </x:c>
      <x:c r="C588" s="3" t="inlineStr">
        <x:is>
          <x:t/>
        </x:is>
      </x:c>
      <x:c r="D588" s="3" t="inlineStr">
        <x:is>
          <x:t>10 nov. 2022</x:t>
        </x:is>
      </x:c>
      <x:c r="E588" s="3" t="inlineStr">
        <x:is>
          <x:t/>
        </x:is>
      </x:c>
      <x:c r="F588" s="3" t="inlineStr">
        <x:is>
          <x:t>Negada</x:t>
        </x:is>
      </x:c>
      <x:c r="G588" s="3" t="inlineStr">
        <x:is>
          <x:t/>
        </x:is>
      </x:c>
      <x:c r="H588" s="3" t="inlineStr">
        <x:is>
          <x:t>ANGIE PAOLA  CANTILLO VERGARA, Carrera 76 No. 53 - 89 Apto 704, MEDELLIN, ANTIOQUIA, CO</x:t>
        </x:is>
      </x:c>
      <x:c r="I588" s="3" t="inlineStr">
        <x:is>
          <x:t>3</x:t>
        </x:is>
      </x:c>
      <x:c r="J588" s="3" t="inlineStr">
        <x:is>
          <x:t>11</x:t>
        </x:is>
      </x:c>
      <x:c r="K588" s="3" t="inlineStr">
        <x:is>
          <x:t>3. Kits de maquillaje; maquillaje; maquillaje [cosméticos]; maquillaje para el rostro y el cuerpo; maquillaje para la cara; maquillaje para la piel; productos cosméticos y de maquillaje; productos de maquillaje.
</x:t>
        </x:is>
      </x:c>
      <x:c r="L588" s="3" t="inlineStr">
        <x:is>
          <x:t>Sí</x:t>
        </x:is>
      </x:c>
      <x:c r="M588" s="3" t="inlineStr">
        <x:is>
          <x:t>Ana Maria Gomez Pineda, cra 48 # 17 a sur 47 , MEDELLIN, ANTIOQUIA, CO</x:t>
        </x:is>
      </x:c>
      <x:c r="N588" s="3" t="inlineStr">
        <x:is>
          <x:t/>
        </x:is>
      </x:c>
      <x:c r="O588" s="3" t="inlineStr">
        <x:is>
          <x:t>06 feb. 2023</x:t>
        </x:is>
      </x:c>
      <x:c r="P588" s="3" t="inlineStr">
        <x:is>
          <x:t/>
        </x:is>
      </x:c>
      <x:c r="Q588" s="3" t="inlineStr">
        <x:is>
          <x:t/>
        </x:is>
      </x:c>
    </x:row>
    <x:row r="589">
      <x:c r="A589" s="10" t="inlineStr">
        <x:f xml:space="preserve">HYPERLINK("http://sipi.sic.gov.co/sipi/View.ashx?4446855","SD2022/0115895")</x:f>
      </x:c>
      <x:c r="B589" s="3" t="inlineStr">
        <x:is>
          <x:t>ShapeUpwear</x:t>
        </x:is>
      </x:c>
      <x:c r="C589" s="9" t="inlineStr">
        <x:is>
          <x:t/>
        </x:is>
      </x:c>
      <x:c r="D589" s="3" t="inlineStr">
        <x:is>
          <x:t>10 nov. 2022</x:t>
        </x:is>
      </x:c>
      <x:c r="E589" s="3" t="inlineStr">
        <x:is>
          <x:t/>
        </x:is>
      </x:c>
      <x:c r="F589" s="3" t="inlineStr">
        <x:is>
          <x:t>Negada</x:t>
        </x:is>
      </x:c>
      <x:c r="G589" s="3" t="inlineStr">
        <x:is>
          <x:t>SHAPEUPWEAR</x:t>
        </x:is>
      </x:c>
      <x:c r="H589" s="3" t="inlineStr">
        <x:is>
          <x:t>MARÍA PILAR MC CLAVE, 148 GREENS FARMS ROAD; WESTPORT CT 06880; ESTADOS UNIDOS, WESTPORT, CONNECTICUT, US</x:t>
        </x:is>
      </x:c>
      <x:c r="I589" s="3" t="inlineStr">
        <x:is>
          <x:t>3, 14, 25</x:t>
        </x:is>
      </x:c>
      <x:c r="J589" s="3" t="inlineStr">
        <x:is>
          <x:t>11</x:t>
        </x:is>
      </x:c>
      <x:c r="K589" s="3" t="inlineStr">
        <x:is>
          <x:t>3. Preparaciones cosméticas adelgazantes; cremas y geles cosméticos para cara, manos y cuerpo; cremas, lociones y geles hidratantes; geles de belleza; geles no medicinales; geles para el cuerpo [cosméticos]; geles para el cuerpo y la cara [cosméticos]; geles para uso cosmético.
14. Adornos de joyería; adornos de joyería para las orejas; amuletos [joyería]; anillos [joyería]; artículos de joyería; bisutería [joyería]; brazaletes [joyería]; broches (joyería); cadenas [joyería]; colgantes [joyería]; collares [joyería]; dijes [joyería]; joyería de fantasía; pulseras [joyería]; sortijas [joyería].
25. Fajas [corsés]; fajas [ropa interior]; fajas de pecho en cuanto ropa interior; zapatos; zapatos para hombres; zapatos para señora; zapatos y botas; lencería; lencería femenina; modeladores del cuerpo [lencería]; suspensorios [lencería]; modeladores del cuerpo [ropa interior]; ropa interior modeladora modeladores del cuerpo; pantalones; pantalones cortos; pantalones de mujer; pantalones informales; pantalones para adultos; pantalones vaqueros; pantalones de jogging; pantalones de vestir; leggings; leggings [pantalones]; mallas [leggings]; ajustadores [ropa interior]; bodis [ropa interior]; bragas [ropa interior]; calzones [ropa interior]; corpiños [ropa interior]; corsés [ropa interior]; corsés en cuanto ropa interior; ropa interior; ropa interior de hombre; ropa interior de mujer; ropa interior femenina; ropa interior para niños; sujetadores [ropa interior].
</x:t>
        </x:is>
      </x:c>
      <x:c r="L589" s="3" t="inlineStr">
        <x:is>
          <x:t>No</x:t>
        </x:is>
      </x:c>
      <x:c r="M589" s="3" t="inlineStr">
        <x:is>
          <x:t>LUIS FERNANDO  PATRON FUENTES, Carrera 17 No. 150 - 52, Oficina 303, BOGOTÁ, D.C., CO</x:t>
        </x:is>
      </x:c>
      <x:c r="N589" s="3" t="inlineStr">
        <x:is>
          <x:t/>
        </x:is>
      </x:c>
      <x:c r="O589" s="3" t="inlineStr">
        <x:is>
          <x:t>18 nov. 2022</x:t>
        </x:is>
      </x:c>
      <x:c r="P589" s="3" t="inlineStr">
        <x:is>
          <x:t/>
        </x:is>
      </x:c>
      <x:c r="Q589" s="3" t="inlineStr">
        <x:is>
          <x:t/>
        </x:is>
      </x:c>
    </x:row>
    <x:row r="590">
      <x:c r="A590" s="10" t="inlineStr">
        <x:f xml:space="preserve">HYPERLINK("http://sipi.sic.gov.co/sipi/View.ashx?4447076","SD2022/0115921")</x:f>
      </x:c>
      <x:c r="B590" s="3" t="inlineStr">
        <x:is>
          <x:t>MI PIEL SALUD Y BELLEZA</x:t>
        </x:is>
      </x:c>
      <x:c r="C590" s="9" t="inlineStr">
        <x:is>
          <x:t/>
        </x:is>
      </x:c>
      <x:c r="D590" s="3" t="inlineStr">
        <x:is>
          <x:t>10 nov. 2022</x:t>
        </x:is>
      </x:c>
      <x:c r="E590" s="3" t="inlineStr">
        <x:is>
          <x:t/>
        </x:is>
      </x:c>
      <x:c r="F590" s="3" t="inlineStr">
        <x:is>
          <x:t>Negada</x:t>
        </x:is>
      </x:c>
      <x:c r="G590" s="3" t="inlineStr">
        <x:is>
          <x:t>MI PIEL</x:t>
        </x:is>
      </x:c>
      <x:c r="H590" s="3" t="inlineStr">
        <x:is>
          <x:t> DISTRIBUCIONES PROVEMEDICS S.A.S, Calle 60 No 47 - 73, BARRANQUILLA, ATLÁNTICO 08001, CO</x:t>
        </x:is>
      </x:c>
      <x:c r="I590" s="3" t="inlineStr">
        <x:is>
          <x:t>3, 5</x:t>
        </x:is>
      </x:c>
      <x:c r="J590" s="3" t="inlineStr">
        <x:is>
          <x:t>11</x:t>
        </x:is>
      </x:c>
      <x:c r="K590" s="3" t="inlineStr">
        <x:is>
          <x:t>3. Cremas cosméticas; jabones cosméticos.
5. Cremas medicinales; jabones medicinales.
</x:t>
        </x:is>
      </x:c>
      <x:c r="L590" s="3" t="inlineStr">
        <x:is>
          <x:t>Sí</x:t>
        </x:is>
      </x:c>
      <x:c r="M590" s="3" t="inlineStr">
        <x:is>
          <x:t>Jesús David  Polanco Bustillo, Carrera 57 No 77 - 24, BARRANQUILLA, ATLÁNTICO 08001, CO</x:t>
        </x:is>
      </x:c>
      <x:c r="N590" s="3" t="inlineStr">
        <x:is>
          <x:t/>
        </x:is>
      </x:c>
      <x:c r="O590" s="3" t="inlineStr">
        <x:is>
          <x:t>06 feb. 2023</x:t>
        </x:is>
      </x:c>
      <x:c r="P590" s="3" t="inlineStr">
        <x:is>
          <x:t/>
        </x:is>
      </x:c>
      <x:c r="Q590" s="3" t="inlineStr">
        <x:is>
          <x:t/>
        </x:is>
      </x:c>
    </x:row>
    <x:row r="591">
      <x:c r="A591" s="10" t="inlineStr">
        <x:f xml:space="preserve">HYPERLINK("http://sipi.sic.gov.co/sipi/View.ashx?4448368","SD2022/0119945")</x:f>
      </x:c>
      <x:c r="B591" s="3" t="inlineStr">
        <x:is>
          <x:t>ONIS SKIN CARE</x:t>
        </x:is>
      </x:c>
      <x:c r="C591" s="9" t="inlineStr">
        <x:is>
          <x:t/>
        </x:is>
      </x:c>
      <x:c r="D591" s="3" t="inlineStr">
        <x:is>
          <x:t>21 nov. 2022</x:t>
        </x:is>
      </x:c>
      <x:c r="E591" s="3" t="inlineStr">
        <x:is>
          <x:t/>
        </x:is>
      </x:c>
      <x:c r="F591" s="3" t="inlineStr">
        <x:is>
          <x:t>Negada</x:t>
        </x:is>
      </x:c>
      <x:c r="G591" s="3" t="inlineStr">
        <x:is>
          <x:t>ONIS</x:t>
        </x:is>
      </x:c>
      <x:c r="H591" s="3" t="inlineStr">
        <x:is>
          <x:t>Ana Maria Rodriguez Fernandez, Calle 5 Sur 37 128, MEDELLIN, ANTIOQUIA, CO</x:t>
        </x:is>
      </x:c>
      <x:c r="I591" s="3" t="inlineStr">
        <x:is>
          <x:t>3, 5</x:t>
        </x:is>
      </x:c>
      <x:c r="J591" s="3" t="inlineStr">
        <x:is>
          <x:t>11</x:t>
        </x:is>
      </x:c>
      <x:c r="K591" s="3" t="inlineStr">
        <x:is>
          <x:t>3. Cosméticos; cosméticos a base de cannabis; emulsiones, geles y lociones para el cuidado de la piel; maquillaje [cosméticos].
5. Geles, cremas y soluciones para uso dermatológico.
</x:t>
        </x:is>
      </x:c>
      <x:c r="L591" s="3" t="inlineStr">
        <x:is>
          <x:t>Sí</x:t>
        </x:is>
      </x:c>
      <x:c r="M591" s="3" t="inlineStr">
        <x:is>
          <x:t/>
        </x:is>
      </x:c>
      <x:c r="N591" s="3" t="inlineStr">
        <x:is>
          <x:t/>
        </x:is>
      </x:c>
      <x:c r="O591" s="3" t="inlineStr">
        <x:is>
          <x:t>29 nov. 2022</x:t>
        </x:is>
      </x:c>
      <x:c r="P591" s="3" t="inlineStr">
        <x:is>
          <x:t/>
        </x:is>
      </x:c>
      <x:c r="Q591" s="3" t="inlineStr">
        <x:is>
          <x:t/>
        </x:is>
      </x:c>
    </x:row>
    <x:row r="592">
      <x:c r="A592" s="10" t="inlineStr">
        <x:f xml:space="preserve">HYPERLINK("http://sipi.sic.gov.co/sipi/View.ashx?4448604","SD2022/0116344")</x:f>
      </x:c>
      <x:c r="B592" s="3" t="inlineStr">
        <x:is>
          <x:t>Asbell</x:t>
        </x:is>
      </x:c>
      <x:c r="C592" s="9" t="inlineStr">
        <x:is>
          <x:t/>
        </x:is>
      </x:c>
      <x:c r="D592" s="3" t="inlineStr">
        <x:is>
          <x:t>10 nov. 2022</x:t>
        </x:is>
      </x:c>
      <x:c r="E592" s="3" t="inlineStr">
        <x:is>
          <x:t/>
        </x:is>
      </x:c>
      <x:c r="F592" s="3" t="inlineStr">
        <x:is>
          <x:t>Negada</x:t>
        </x:is>
      </x:c>
      <x:c r="G592" s="3" t="inlineStr">
        <x:is>
          <x:t/>
        </x:is>
      </x:c>
      <x:c r="H592" s="3" t="inlineStr">
        <x:is>
          <x:t>DIANA LIZETH RESTREPO RODRIGUEZ, CARRERA 13A NO. 12-50 LOCAL 15, BOGOTÁ, D.C., CO; LAURA MILENA MARTINEZ ALZATE, Cra 21 #63b -22, BOGOTÁ, D.C., CO</x:t>
        </x:is>
      </x:c>
      <x:c r="I592" s="3" t="inlineStr">
        <x:is>
          <x:t>3</x:t>
        </x:is>
      </x:c>
      <x:c r="J592" s="3" t="inlineStr">
        <x:is>
          <x:t>11</x:t>
        </x:is>
      </x:c>
      <x:c r="K592" s="3" t="inlineStr">
        <x:is>
          <x:t>3. Aceites brillantes para el cuerpo; aceites bronceadores; aceites bronceadores de uso cosmético; aceites cosméticos para la piel; aceites de baño; aceites de baño para uso cosmético; aceites de ducha a base de cáñamo; aceites de limpieza; aceites de masaje, no medicinales; aceites de perfumería; aceites de tocador; aceites esenciales aromáticos; aceites esenciales para uso personal; cremas exfoliantes; cremas exfoliantes para uso cosmético; cremas no medicadas para exfoliantes faciales; exfoliante corporal; exfoliantes; exfoliantes [preparaciones cosméticas]; exfoliantes corporales; exfoliantes corporales cosméticos; exfoliantes corporales para uso cosmético; exfoliantes faciales; exfoliantes faciales y corporales no medicamentosos; exfoliantes faciales y corporales no medicinales; exfoliantes iluminadores; exfoliantes para el cuerpo; exfoliantes para el cuerpo de uso cosmético; exfoliantes para la cara; exfoliantes para la piel; exfoliantes para labios; exfoliantes para las manos; exfoliantes para los pies; exfoliantes para uso cosmético; gel exfoliante, no medicinal; geles exfoliantes, no medicinales; preparaciones depilatorias y exfoliantes; preparaciones exfoliantes faciales para uso cosmético; preparaciones exfoliantes y de limpieza para la piel; mascarillas corporales; mascarillas corporales en forma de cremas; mascarillas corporales en forma de cremas para uso cosmético; mascarillas corporales en forma de lociones; mascarillas corporales en forma de lociones para uso cosmético; mascarillas corporales en polvo; mascarillas corporales en polvo para uso cosmético; mascarillas corporales para uso cosmético; mascarillas cosméticas; mascarillas cosméticas para el cutis; mascarillas de belleza; mascarillas de belleza para el cabello; mascarillas de belleza para el contorno de los ojos; mascarillas de belleza para las manos; mascarillas desechables calentadas al vapor, que no sean para uso médico; mascarillas envasadas para uso cosmético;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hidratantes para la piel; mascarillas limpiadoras; mascarillas limpiadoras para corporales; mascarillas limpiadoras para faciales; mascarillas oculares para uso cosmético; mascarillas para el cabello; mascarillas para el cabello y el cuero cabelludo; mascarillas para el cuero cabelludo; mascarillas para el cuidado capilar; mascarillas para el cuidado de la piel de las manos; mascarillas para el cuidado de la piel de los pies; mascarillas para el cuidado del cabello; mascarillas para el cutis; mascarillas para el cutis [cosméticos]; mascarillas para el peinado del cabello; mascarillas para eliminar los comedones; mascarillas para eliminar los puntos negros; mascarillas para hidratar la piel; mascarillas para la cara; mascarillas para la piel; mascarillas para la piel [cosméticos]; mascarillas para la piel de uso cosmético; mascarillas para pieles grasas; limpiadores faciales [cosméticos]; limpiadores faciales [productos cosméticos]; limpiadores líquidos para la piel; limpiadores para la cara; toallitas o paños impregnados de productos limpiadores para la piel; tónicos clarificadores faciales; tónicos cosméticos; tónicos cosméticos para el rostro; tónicos cosméticos para la cara; tónicos faciales; tónicos faciales [cosméticos]; tónicos faciales clarificantes; tónicos faciales revitalizantes; tónicos no medicinales para la piel; tónicos para la piel para uso cosmético; tónicos para uso cosmético; tónicos revitalizantes faciales; protectores solares en barra; protectores solares en stick; protectores solares para bebés.
</x:t>
        </x:is>
      </x:c>
      <x:c r="L592" s="3" t="inlineStr">
        <x:is>
          <x:t>No</x:t>
        </x:is>
      </x:c>
      <x:c r="M592" s="3" t="inlineStr">
        <x:is>
          <x:t/>
        </x:is>
      </x:c>
      <x:c r="N592" s="3" t="inlineStr">
        <x:is>
          <x:t/>
        </x:is>
      </x:c>
      <x:c r="O592" s="3" t="inlineStr">
        <x:is>
          <x:t>16 ene. 2023</x:t>
        </x:is>
      </x:c>
      <x:c r="P592" s="3" t="inlineStr">
        <x:is>
          <x:t/>
        </x:is>
      </x:c>
      <x:c r="Q592" s="3" t="inlineStr">
        <x:is>
          <x:t/>
        </x:is>
      </x:c>
    </x:row>
    <x:row r="593">
      <x:c r="A593" s="10" t="inlineStr">
        <x:f xml:space="preserve">HYPERLINK("http://sipi.sic.gov.co/sipi/View.ashx?4450476","SD2022/0117107")</x:f>
      </x:c>
      <x:c r="B593" s="3" t="inlineStr">
        <x:is>
          <x:t>B Belatec</x:t>
        </x:is>
      </x:c>
      <x:c r="C593" s="9" t="inlineStr">
        <x:is>
          <x:t/>
        </x:is>
      </x:c>
      <x:c r="D593" s="3" t="inlineStr">
        <x:is>
          <x:t>12 nov. 2022</x:t>
        </x:is>
      </x:c>
      <x:c r="E593" s="3" t="inlineStr">
        <x:is>
          <x:t/>
        </x:is>
      </x:c>
      <x:c r="F593" s="3" t="inlineStr">
        <x:is>
          <x:t>Negada</x:t>
        </x:is>
      </x:c>
      <x:c r="G593" s="3" t="inlineStr">
        <x:is>
          <x:t/>
        </x:is>
      </x:c>
      <x:c r="H593" s="3" t="inlineStr">
        <x:is>
          <x:t>Laura Manuela García Rodríguez, Calle 147 # 11 - 89, BOGOTÁ, D.C. 110131 , CO</x:t>
        </x:is>
      </x:c>
      <x:c r="I593" s="3" t="inlineStr">
        <x:is>
          <x:t>3</x:t>
        </x:is>
      </x:c>
      <x:c r="J593" s="3" t="inlineStr">
        <x:is>
          <x:t>11</x:t>
        </x:is>
      </x:c>
      <x:c r="K593" s="3" t="inlineStr">
        <x:is>
          <x:t>3. Cosméticos y; cosméticos y preparaciones de cuidado personal; cremas, aceites, lociones y preparaciones limpiadoras e hidratantes; cremas, lociones y otras bronceadoras; exfoliantes [preparaciones cosméticas]; lociones, cremas y preparaciones para el cuidado de la cara, cuerpo, cuero cabelludo, uñas y cabello; preparaciones antiarrugas para el cuidado de la piel; preparaciones antienvejecimiento para el cuidado de la piel; preparaciones bronceadoras y de protección solar; preparaciones capilares no medicamentosas; preparaciones con filtro solar; adelgazantes; antienvejecimiento; de cuidado facial; de peluquería; y la ducha; para el cuidado bucal; preparaciones de cuidado facial [cosméticos]; preparaciones de higiene personal para refrescar el aliento; preparaciones de limpieza dental; preparaciones hidratantes [cosméticos]; preparaciones no medicinales para el cuidado bucal; preparaciones para alisar el cabello; preparaciones para antes y después de afeitar; productos y preparaciones cosméticos para el cuidado de la piel; dentífricos y enjuagues bucales; dentífricos y enjuagues bucales no medicinales.
</x:t>
        </x:is>
      </x:c>
      <x:c r="L593" s="3" t="inlineStr">
        <x:is>
          <x:t>No</x:t>
        </x:is>
      </x:c>
      <x:c r="M593" s="3" t="inlineStr">
        <x:is>
          <x:t>ANDREA MEJIA URIBE, CALLE 6 SUR No. 43A - 200, OF 1401, MEDELLIN, ANTIOQUIA, CO</x:t>
        </x:is>
      </x:c>
      <x:c r="N593" s="3" t="inlineStr">
        <x:is>
          <x:t/>
        </x:is>
      </x:c>
      <x:c r="O593" s="3" t="inlineStr">
        <x:is>
          <x:t>10 jul. 2023</x:t>
        </x:is>
      </x:c>
      <x:c r="P593" s="3" t="inlineStr">
        <x:is>
          <x:t/>
        </x:is>
      </x:c>
      <x:c r="Q593" s="3" t="inlineStr">
        <x:is>
          <x:t/>
        </x:is>
      </x:c>
    </x:row>
    <x:row r="594">
      <x:c r="A594" s="10" t="inlineStr">
        <x:f xml:space="preserve">HYPERLINK("http://sipi.sic.gov.co/sipi/View.ashx?4451529","SD2022/0117155")</x:f>
      </x:c>
      <x:c r="B594" s="3" t="inlineStr">
        <x:is>
          <x:t>MIA TIENDA DE MAQUILLAJE</x:t>
        </x:is>
      </x:c>
      <x:c r="C594" s="9" t="inlineStr">
        <x:is>
          <x:t/>
        </x:is>
      </x:c>
      <x:c r="D594" s="3" t="inlineStr">
        <x:is>
          <x:t>13 nov. 2022</x:t>
        </x:is>
      </x:c>
      <x:c r="E594" s="3" t="inlineStr">
        <x:is>
          <x:t/>
        </x:is>
      </x:c>
      <x:c r="F594" s="3" t="inlineStr">
        <x:is>
          <x:t>Negada</x:t>
        </x:is>
      </x:c>
      <x:c r="G594" s="3" t="inlineStr">
        <x:is>
          <x:t>MIA1040759356</x:t>
        </x:is>
      </x:c>
      <x:c r="H594" s="3" t="inlineStr">
        <x:is>
          <x:t>MARIA FERNANDA MONTOYA ESCOBAR, Calle 75 AA sur # 52 E 340, ITAGÜI, ANTIOQUIA 055413, CO</x:t>
        </x:is>
      </x:c>
      <x:c r="I594" s="3" t="inlineStr">
        <x:is>
          <x:t>3</x:t>
        </x:is>
      </x:c>
      <x:c r="J594" s="3" t="inlineStr">
        <x:is>
          <x:t>11</x:t>
        </x:is>
      </x:c>
      <x:c r="K594" s="3" t="inlineStr">
        <x:is>
          <x:t>3. Bases de maquillaje;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lápices de maquillaje; maquillaje; maquillaje para el cuerpo; maquillaje para el rostro; maquillaje para el rostro y el cuerpo; maquillaje para los ojos; maquillajes de ojos; neceseres de cosmética que contienen principalmente máscara de pestañas, lápices de labios, lápices de cejas, maquillaje, fundación de maquillaje y brillos de labios; polvos de maquillaje; preparaciones de maquillaje para el rostro y el cuerpo; productos cosméticos y de maquillaje; productos de maquillaje; sprays para fijar el maquillaje.
</x:t>
        </x:is>
      </x:c>
      <x:c r="L594" s="3" t="inlineStr">
        <x:is>
          <x:t>No</x:t>
        </x:is>
      </x:c>
      <x:c r="M594" s="3" t="inlineStr">
        <x:is>
          <x:t/>
        </x:is>
      </x:c>
      <x:c r="N594" s="3" t="inlineStr">
        <x:is>
          <x:t/>
        </x:is>
      </x:c>
      <x:c r="O594" s="3" t="inlineStr">
        <x:is>
          <x:t>28 ago. 2023</x:t>
        </x:is>
      </x:c>
      <x:c r="P594" s="3" t="inlineStr">
        <x:is>
          <x:t/>
        </x:is>
      </x:c>
      <x:c r="Q594" s="3" t="inlineStr">
        <x:is>
          <x:t/>
        </x:is>
      </x:c>
    </x:row>
    <x:row r="595">
      <x:c r="A595" s="10" t="inlineStr">
        <x:f xml:space="preserve">HYPERLINK("http://sipi.sic.gov.co/sipi/View.ashx?4454871","SD2022/0123727")</x:f>
      </x:c>
      <x:c r="B595" s="3" t="inlineStr">
        <x:is>
          <x:t>Gelitas E.U.</x:t>
        </x:is>
      </x:c>
      <x:c r="C595" s="9" t="inlineStr">
        <x:is>
          <x:t/>
        </x:is>
      </x:c>
      <x:c r="D595" s="3" t="inlineStr">
        <x:is>
          <x:t>02 dic. 2022</x:t>
        </x:is>
      </x:c>
      <x:c r="E595" s="3" t="inlineStr">
        <x:is>
          <x:t/>
        </x:is>
      </x:c>
      <x:c r="F595" s="3" t="inlineStr">
        <x:is>
          <x:t>Negada</x:t>
        </x:is>
      </x:c>
      <x:c r="G595" s="3" t="inlineStr">
        <x:is>
          <x:t>gelitas1</x:t>
        </x:is>
      </x:c>
      <x:c r="H595" s="3" t="inlineStr">
        <x:is>
          <x:t> EMPRESA GELITAS E.U., CARRERA 9 N° 24A - 35, IPIALES, NARIÑO, CO</x:t>
        </x:is>
      </x:c>
      <x:c r="I595" s="3" t="inlineStr">
        <x:is>
          <x:t>3, 5, 29</x:t>
        </x:is>
      </x:c>
      <x:c r="J595" s="3" t="inlineStr">
        <x:is>
          <x:t>11</x:t>
        </x:is>
      </x:c>
      <x:c r="K595" s="3" t="inlineStr">
        <x:is>
          <x:t>3. Lociones capilares*.
5. Aceites medicinales para masajes; complementos alimenticios medicinales a base de colágeno; suplementos alimenticios medicinales a base de colágeno.
29. Gelatina*; gelatinas de carne.
</x:t>
        </x:is>
      </x:c>
      <x:c r="L595" s="3" t="inlineStr">
        <x:is>
          <x:t>Sí</x:t>
        </x:is>
      </x:c>
      <x:c r="M595" s="3" t="inlineStr">
        <x:is>
          <x:t>Aura Ermina Mora Molina, Carrera 9 # 24 a- 35 Barrio Porvenir, IPIALES, NARIÑO, CO</x:t>
        </x:is>
      </x:c>
      <x:c r="N595" s="3" t="inlineStr">
        <x:is>
          <x:t/>
        </x:is>
      </x:c>
      <x:c r="O595" s="3" t="inlineStr">
        <x:is>
          <x:t>26 ene. 2023</x:t>
        </x:is>
      </x:c>
      <x:c r="P595" s="3" t="inlineStr">
        <x:is>
          <x:t/>
        </x:is>
      </x:c>
      <x:c r="Q595" s="3" t="inlineStr">
        <x:is>
          <x:t/>
        </x:is>
      </x:c>
    </x:row>
    <x:row r="596">
      <x:c r="A596" s="10" t="inlineStr">
        <x:f xml:space="preserve">HYPERLINK("http://sipi.sic.gov.co/sipi/View.ashx?4454967","SD2022/0117883")</x:f>
      </x:c>
      <x:c r="B596" s="3" t="inlineStr">
        <x:is>
          <x:t>ANYONE</x:t>
        </x:is>
      </x:c>
      <x:c r="C596" s="3" t="inlineStr">
        <x:is>
          <x:t/>
        </x:is>
      </x:c>
      <x:c r="D596" s="3" t="inlineStr">
        <x:is>
          <x:t>16 nov. 2022</x:t>
        </x:is>
      </x:c>
      <x:c r="E596" s="3" t="inlineStr">
        <x:is>
          <x:t/>
        </x:is>
      </x:c>
      <x:c r="F596" s="3" t="inlineStr">
        <x:is>
          <x:t>Negada</x:t>
        </x:is>
      </x:c>
      <x:c r="G596" s="3" t="inlineStr">
        <x:is>
          <x:t>ACO-ENSENADA-ANYONE CL.3</x:t>
        </x:is>
      </x:c>
      <x:c r="H596" s="3" t="inlineStr">
        <x:is>
          <x:t> ENSENADA S.A.S, CARRERA 25 A # 1 - 31 Oficina 1501, MEDELLIN, ANTIOQUIA, CO</x:t>
        </x:is>
      </x:c>
      <x:c r="I596" s="3" t="inlineStr">
        <x:is>
          <x:t>3</x:t>
        </x:is>
      </x:c>
      <x:c r="J596" s="3" t="inlineStr">
        <x:is>
          <x:t>11</x:t>
        </x:is>
      </x:c>
      <x:c r="K596" s="3" t="inlineStr">
        <x:is>
          <x:t>3. PERFUMES, AGUA DE TOCADOR, AGUAS DE COLONIA, COLONIAS, GELES, SALES PARA EL BANO Y LA DUCHA; JABONES DE TOCADOR, DESODORANTES PARA EL CUERPO; COSMETICOS A SABER: CREMAS, LECHES, LOCIONES, GELES Y POLVOS PARA LA CARA EL CUERPO Y LAS MANOS; PREPARACIONES PARA EL CUIDADO DEL SOL; PREPARACIONES DE MAQUILLAJE; CHAMPUS, GELES ATOMIZADORES, ESPUMAS Y BALSAMOS PARA EL CUIDADO Y PEINADO DEL CABELLO; ACEITES ESENCIALES PARA USO PERSONAL; DENTIFRICOS.
</x:t>
        </x:is>
      </x:c>
      <x:c r="L596" s="3" t="inlineStr">
        <x:is>
          <x:t>No</x:t>
        </x:is>
      </x:c>
      <x:c r="M596" s="3" t="inlineStr">
        <x:is>
          <x:t>ALVARO CORREA ORDOÑEZ, Crr 16 No 88 -81 of 404, BOGOTÁ, D.C., CO</x:t>
        </x:is>
      </x:c>
      <x:c r="N596" s="3" t="inlineStr">
        <x:is>
          <x:t/>
        </x:is>
      </x:c>
      <x:c r="O596" s="3" t="inlineStr">
        <x:is>
          <x:t>26 ene. 2023</x:t>
        </x:is>
      </x:c>
      <x:c r="P596" s="3" t="inlineStr">
        <x:is>
          <x:t/>
        </x:is>
      </x:c>
      <x:c r="Q596" s="3" t="inlineStr">
        <x:is>
          <x:t/>
        </x:is>
      </x:c>
    </x:row>
    <x:row r="597">
      <x:c r="A597" s="10" t="inlineStr">
        <x:f xml:space="preserve">HYPERLINK("http://sipi.sic.gov.co/sipi/View.ashx?4455131","SD2022/0117937")</x:f>
      </x:c>
      <x:c r="B597" s="3" t="inlineStr">
        <x:is>
          <x:t>CAREZZA </x:t>
        </x:is>
      </x:c>
      <x:c r="C597" s="9" t="inlineStr">
        <x:is>
          <x:t/>
        </x:is>
      </x:c>
      <x:c r="D597" s="3" t="inlineStr">
        <x:is>
          <x:t>16 nov. 2022</x:t>
        </x:is>
      </x:c>
      <x:c r="E597" s="3" t="inlineStr">
        <x:is>
          <x:t/>
        </x:is>
      </x:c>
      <x:c r="F597" s="3" t="inlineStr">
        <x:is>
          <x:t>Negada</x:t>
        </x:is>
      </x:c>
      <x:c r="G597" s="3" t="inlineStr">
        <x:is>
          <x:t/>
        </x:is>
      </x:c>
      <x:c r="H597" s="3" t="inlineStr">
        <x:is>
          <x:t>paula valentina galan lopez, cll 54 36b 137, BARRANCABERMEJA, SANTANDER, CO</x:t>
        </x:is>
      </x:c>
      <x:c r="I597" s="3" t="inlineStr">
        <x:is>
          <x:t>3</x:t>
        </x:is>
      </x:c>
      <x:c r="J597" s="3" t="inlineStr">
        <x:is>
          <x:t>11</x:t>
        </x:is>
      </x:c>
      <x:c r="K59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97" s="3" t="inlineStr">
        <x:is>
          <x:t>Sí</x:t>
        </x:is>
      </x:c>
      <x:c r="M597" s="3" t="inlineStr">
        <x:is>
          <x:t/>
        </x:is>
      </x:c>
      <x:c r="N597" s="3" t="inlineStr">
        <x:is>
          <x:t/>
        </x:is>
      </x:c>
      <x:c r="O597" s="3" t="inlineStr">
        <x:is>
          <x:t>26 ene. 2023</x:t>
        </x:is>
      </x:c>
      <x:c r="P597" s="3" t="inlineStr">
        <x:is>
          <x:t/>
        </x:is>
      </x:c>
      <x:c r="Q597" s="3" t="inlineStr">
        <x:is>
          <x:t/>
        </x:is>
      </x:c>
    </x:row>
    <x:row r="598">
      <x:c r="A598" s="10" t="inlineStr">
        <x:f xml:space="preserve">HYPERLINK("http://sipi.sic.gov.co/sipi/View.ashx?4455859","SD2022/0118612")</x:f>
      </x:c>
      <x:c r="B598" s="3" t="inlineStr">
        <x:is>
          <x:t>LE GAZELLE</x:t>
        </x:is>
      </x:c>
      <x:c r="C598" s="9" t="inlineStr">
        <x:is>
          <x:t/>
        </x:is>
      </x:c>
      <x:c r="D598" s="3" t="inlineStr">
        <x:is>
          <x:t>17 nov. 2022</x:t>
        </x:is>
      </x:c>
      <x:c r="E598" s="3" t="inlineStr">
        <x:is>
          <x:t/>
        </x:is>
      </x:c>
      <x:c r="F598" s="3" t="inlineStr">
        <x:is>
          <x:t>Negada</x:t>
        </x:is>
      </x:c>
      <x:c r="G598" s="3" t="inlineStr">
        <x:is>
          <x:t>Registro LE GAZELLE</x:t>
        </x:is>
      </x:c>
      <x:c r="H598" s="3" t="inlineStr">
        <x:is>
          <x:t> SUSHMAA INTERNATIONAL INC, 2500-A HAMILTON BLVD, SOUTH PLAINFIELD, NEW JERSEY 07080, US</x:t>
        </x:is>
      </x:c>
      <x:c r="I598" s="3" t="inlineStr">
        <x:is>
          <x:t>3</x:t>
        </x:is>
      </x:c>
      <x:c r="J598" s="3" t="inlineStr">
        <x:is>
          <x:t>11</x:t>
        </x:is>
      </x:c>
      <x:c r="K59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598" s="3" t="inlineStr">
        <x:is>
          <x:t>No</x:t>
        </x:is>
      </x:c>
      <x:c r="M598" s="3" t="inlineStr">
        <x:is>
          <x:t>RAUL HERNANDO BURITICA SANDOVAL, CALLE 69 No. 4 - 48 OFICINA 401, BOGOTÁ, D.C., CO</x:t>
        </x:is>
      </x:c>
      <x:c r="N598" s="3" t="inlineStr">
        <x:is>
          <x:t/>
        </x:is>
      </x:c>
      <x:c r="O598" s="3" t="inlineStr">
        <x:is>
          <x:t>08 may. 2023</x:t>
        </x:is>
      </x:c>
      <x:c r="P598" s="3" t="inlineStr">
        <x:is>
          <x:t/>
        </x:is>
      </x:c>
      <x:c r="Q598" s="3" t="inlineStr">
        <x:is>
          <x:t/>
        </x:is>
      </x:c>
    </x:row>
    <x:row r="599">
      <x:c r="A599" s="10" t="inlineStr">
        <x:f xml:space="preserve">HYPERLINK("http://sipi.sic.gov.co/sipi/View.ashx?4457128","SD2022/0119022")</x:f>
      </x:c>
      <x:c r="B599" s="3" t="inlineStr">
        <x:is>
          <x:t>B.</x:t>
        </x:is>
      </x:c>
      <x:c r="C599" s="3" t="inlineStr">
        <x:is>
          <x:t/>
        </x:is>
      </x:c>
      <x:c r="D599" s="3" t="inlineStr">
        <x:is>
          <x:t>18 nov. 2022</x:t>
        </x:is>
      </x:c>
      <x:c r="E599" s="3" t="inlineStr">
        <x:is>
          <x:t/>
        </x:is>
      </x:c>
      <x:c r="F599" s="3" t="inlineStr">
        <x:is>
          <x:t>Negada</x:t>
        </x:is>
      </x:c>
      <x:c r="G599" s="3" t="inlineStr">
        <x:is>
          <x:t>B.</x:t>
        </x:is>
      </x:c>
      <x:c r="H599" s="3" t="inlineStr">
        <x:is>
          <x:t>Andrés David Botero Duque, Calle 10a # 10-190 edificio paradisia apto 1503, MEDELLIN, ANTIOQUIA, CO</x:t>
        </x:is>
      </x:c>
      <x:c r="I599" s="3" t="inlineStr">
        <x:is>
          <x:t>3, 5</x:t>
        </x:is>
      </x:c>
      <x:c r="J599" s="3" t="inlineStr">
        <x:is>
          <x:t>11</x:t>
        </x:is>
      </x:c>
      <x:c r="K59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599" s="3" t="inlineStr">
        <x:is>
          <x:t>Sí</x:t>
        </x:is>
      </x:c>
      <x:c r="M599" s="3" t="inlineStr">
        <x:is>
          <x:t>Esteban  Berrio Lopez, calle 8 # 84f - 155 casa 1090 , MEDELLIN, ANTIOQUIA, CO</x:t>
        </x:is>
      </x:c>
      <x:c r="N599" s="3" t="inlineStr">
        <x:is>
          <x:t/>
        </x:is>
      </x:c>
      <x:c r="O599" s="3" t="inlineStr">
        <x:is>
          <x:t>16 feb. 2023</x:t>
        </x:is>
      </x:c>
      <x:c r="P599" s="3" t="inlineStr">
        <x:is>
          <x:t/>
        </x:is>
      </x:c>
      <x:c r="Q599" s="3" t="inlineStr">
        <x:is>
          <x:t/>
        </x:is>
      </x:c>
    </x:row>
    <x:row r="600">
      <x:c r="A600" s="10" t="inlineStr">
        <x:f xml:space="preserve">HYPERLINK("http://sipi.sic.gov.co/sipi/View.ashx?4457205","SD2022/0118534")</x:f>
      </x:c>
      <x:c r="B600" s="3" t="inlineStr">
        <x:is>
          <x:t>BOOSTER+ Aporta vitalidad y brillo a la piel cansada</x:t>
        </x:is>
      </x:c>
      <x:c r="C600" s="9" t="inlineStr">
        <x:is>
          <x:t/>
        </x:is>
      </x:c>
      <x:c r="D600" s="3" t="inlineStr">
        <x:is>
          <x:t>17 nov. 2022</x:t>
        </x:is>
      </x:c>
      <x:c r="E600" s="3" t="inlineStr">
        <x:is>
          <x:t/>
        </x:is>
      </x:c>
      <x:c r="F600" s="3" t="inlineStr">
        <x:is>
          <x:t>Negada</x:t>
        </x:is>
      </x:c>
      <x:c r="G600" s="3" t="inlineStr">
        <x:is>
          <x:t>Tibelle BOOSTER+</x:t>
        </x:is>
      </x:c>
      <x:c r="H600" s="3" t="inlineStr">
        <x:is>
          <x:t> IMA GROUP S A S, CARRERA 24 # 51 - 81 TERCER PISO, BOGOTÁ, D.C., CO</x:t>
        </x:is>
      </x:c>
      <x:c r="I600" s="3" t="inlineStr">
        <x:is>
          <x:t>3</x:t>
        </x:is>
      </x:c>
      <x:c r="J600" s="3" t="inlineStr">
        <x:is>
          <x:t>11</x:t>
        </x:is>
      </x:c>
      <x:c r="K600" s="3" t="inlineStr">
        <x:is>
          <x:t>3. Cosméticos; cosméticos para cuidados corporales y estéticos; cosméticos para tratamiento de belleza cosméticos para el cuidado de belleza.
</x:t>
        </x:is>
      </x:c>
      <x:c r="L600" s="3" t="inlineStr">
        <x:is>
          <x:t>No</x:t>
        </x:is>
      </x:c>
      <x:c r="M600" s="3" t="inlineStr">
        <x:is>
          <x:t>Daniela Acosta Acevedo, Carrera 28A No. 52-15, BOGOTA, CUNDINAMARCA, CO</x:t>
        </x:is>
      </x:c>
      <x:c r="N600" s="3" t="inlineStr">
        <x:is>
          <x:t/>
        </x:is>
      </x:c>
      <x:c r="O600" s="3" t="inlineStr">
        <x:is>
          <x:t>07 mar. 2024</x:t>
        </x:is>
      </x:c>
      <x:c r="P600" s="3" t="inlineStr">
        <x:is>
          <x:t/>
        </x:is>
      </x:c>
      <x:c r="Q600" s="3" t="inlineStr">
        <x:is>
          <x:t/>
        </x:is>
      </x:c>
    </x:row>
    <x:row r="601">
      <x:c r="A601" s="10" t="inlineStr">
        <x:f xml:space="preserve">HYPERLINK("http://sipi.sic.gov.co/sipi/View.ashx?4458205","SD2022/0118752")</x:f>
      </x:c>
      <x:c r="B601" s="3" t="inlineStr">
        <x:is>
          <x:t>CAPSULA DE CHISPAS    </x:t>
        </x:is>
      </x:c>
      <x:c r="C601" s="9" t="inlineStr">
        <x:is>
          <x:t/>
        </x:is>
      </x:c>
      <x:c r="D601" s="3" t="inlineStr">
        <x:is>
          <x:t>17 nov. 2022</x:t>
        </x:is>
      </x:c>
      <x:c r="E601" s="3" t="inlineStr">
        <x:is>
          <x:t/>
        </x:is>
      </x:c>
      <x:c r="F601" s="3" t="inlineStr">
        <x:is>
          <x:t>Negada</x:t>
        </x:is>
      </x:c>
      <x:c r="G601" s="3" t="inlineStr">
        <x:is>
          <x:t>F759</x:t>
        </x:is>
      </x:c>
      <x:c r="H601" s="3" t="inlineStr">
        <x:is>
          <x:t>DANIEL ESTEBAN      MONTAÑO ESCOBAR , DIRECCIÓN. aV 6 Norte # 27 - 15 , CALI, VALLE DEL CAUCA, CO</x:t>
        </x:is>
      </x:c>
      <x:c r="I601" s="3" t="inlineStr">
        <x:is>
          <x:t>3</x:t>
        </x:is>
      </x:c>
      <x:c r="J601" s="3" t="inlineStr">
        <x:is>
          <x:t>11</x:t>
        </x:is>
      </x:c>
      <x:c r="K601" s="3" t="inlineStr">
        <x:is>
          <x:t>3. BRILLOS CORPORALES Y BRILLOS PARA USO COSMÉTICO.
</x:t>
        </x:is>
      </x:c>
      <x:c r="L601" s="3" t="inlineStr">
        <x:is>
          <x:t>No</x:t>
        </x:is>
      </x:c>
      <x:c r="M601" s="3" t="inlineStr">
        <x:is>
          <x:t>MARTHA AMPARO FONSECA FIERRO, CRA 7 No. 17-01 Oficina 435, BOGOTÁ, D.C., CO</x:t>
        </x:is>
      </x:c>
      <x:c r="N601" s="3" t="inlineStr">
        <x:is>
          <x:t/>
        </x:is>
      </x:c>
      <x:c r="O601" s="3" t="inlineStr">
        <x:is>
          <x:t>16 feb. 2023</x:t>
        </x:is>
      </x:c>
      <x:c r="P601" s="3" t="inlineStr">
        <x:is>
          <x:t/>
        </x:is>
      </x:c>
      <x:c r="Q601" s="3" t="inlineStr">
        <x:is>
          <x:t/>
        </x:is>
      </x:c>
    </x:row>
    <x:row r="602">
      <x:c r="A602" s="10" t="inlineStr">
        <x:f xml:space="preserve">HYPERLINK("http://sipi.sic.gov.co/sipi/View.ashx?4458877","SD2022/0118918")</x:f>
      </x:c>
      <x:c r="B602" s="3" t="inlineStr">
        <x:is>
          <x:t>Salud Capilar</x:t>
        </x:is>
      </x:c>
      <x:c r="C602" s="9" t="inlineStr">
        <x:is>
          <x:t/>
        </x:is>
      </x:c>
      <x:c r="D602" s="3" t="inlineStr">
        <x:is>
          <x:t>17 nov. 2022</x:t>
        </x:is>
      </x:c>
      <x:c r="E602" s="3" t="inlineStr">
        <x:is>
          <x:t/>
        </x:is>
      </x:c>
      <x:c r="F602" s="3" t="inlineStr">
        <x:is>
          <x:t>Negada</x:t>
        </x:is>
      </x:c>
      <x:c r="G602" s="3" t="inlineStr">
        <x:is>
          <x:t>salud capilar</x:t>
        </x:is>
      </x:c>
      <x:c r="H602" s="3" t="inlineStr">
        <x:is>
          <x:t>MARCELA JEANNETTE BUENO HERNANDEZ, cra 7 82 66 of 215, BOGOTÁ, D.C. 110111, CO</x:t>
        </x:is>
      </x:c>
      <x:c r="I602" s="3" t="inlineStr">
        <x:is>
          <x:t>3</x:t>
        </x:is>
      </x:c>
      <x:c r="J602" s="3" t="inlineStr">
        <x:is>
          <x:t>11</x:t>
        </x:is>
      </x:c>
      <x:c r="K602" s="3" t="inlineStr">
        <x:is>
          <x:t>3. Lociones capilares reparadoras no medicamentosas.
</x:t>
        </x:is>
      </x:c>
      <x:c r="L602" s="3" t="inlineStr">
        <x:is>
          <x:t>No</x:t>
        </x:is>
      </x:c>
      <x:c r="M602" s="3" t="inlineStr">
        <x:is>
          <x:t/>
        </x:is>
      </x:c>
      <x:c r="N602" s="3" t="inlineStr">
        <x:is>
          <x:t/>
        </x:is>
      </x:c>
      <x:c r="O602" s="3" t="inlineStr">
        <x:is>
          <x:t>29 nov. 2022</x:t>
        </x:is>
      </x:c>
      <x:c r="P602" s="3" t="inlineStr">
        <x:is>
          <x:t/>
        </x:is>
      </x:c>
      <x:c r="Q602" s="3" t="inlineStr">
        <x:is>
          <x:t/>
        </x:is>
      </x:c>
    </x:row>
    <x:row r="603">
      <x:c r="A603" s="10" t="inlineStr">
        <x:f xml:space="preserve">HYPERLINK("http://sipi.sic.gov.co/sipi/View.ashx?4458881","SD2022/0118926")</x:f>
      </x:c>
      <x:c r="B603" s="3" t="inlineStr">
        <x:is>
          <x:t>FRENCHIE BONIE</x:t>
        </x:is>
      </x:c>
      <x:c r="C603" s="9" t="inlineStr">
        <x:is>
          <x:t/>
        </x:is>
      </x:c>
      <x:c r="D603" s="3" t="inlineStr">
        <x:is>
          <x:t>17 nov. 2022</x:t>
        </x:is>
      </x:c>
      <x:c r="E603" s="3" t="inlineStr">
        <x:is>
          <x:t/>
        </x:is>
      </x:c>
      <x:c r="F603" s="3" t="inlineStr">
        <x:is>
          <x:t>Negada</x:t>
        </x:is>
      </x:c>
      <x:c r="G603" s="3" t="inlineStr">
        <x:is>
          <x:t/>
        </x:is>
      </x:c>
      <x:c r="H603" s="3" t="inlineStr">
        <x:is>
          <x:t> VON DUTCH COMPANY, S.A., URBANIZACION OBARRIO CALLE 58, P.H. TIME SQUARE PLAZA, PISO 2, PANAMA, PANAMA, PA</x:t>
        </x:is>
      </x:c>
      <x:c r="I603" s="3" t="inlineStr">
        <x:is>
          <x:t>3, 18, 25, 35</x:t>
        </x:is>
      </x:c>
      <x:c r="J603" s="3" t="inlineStr">
        <x:is>
          <x:t>11</x:t>
        </x:is>
      </x:c>
      <x:c r="K603" s="3" t="inlineStr">
        <x:is>
          <x:t>3. Productos cosméticos y preparaciones de tocador no medicinales; dentífricos no medicinales; productos de perfumería, aceites esenciales; preparaciones para blanquear y otras sustancias para lavar la ropa; preparaciones para limpiar, pulir, desengrasar y raspar.
18. Cuero y cuero de imitación; pieles de animales; artículos de equipaje y bolsas de transporte; paraguas y sombrillas; bastones; fustas, arneses y artículos de guarnicionería; collares, correas y ropa para animales.
25. Prendas de vestir, calzado, artículos de sombrerería.
35. Publicidad; gestión, organización y administración de negocios comerciales; servicio de comercialización, compra y venta de Productos cosméticos y preparaciones de tocador no medicinales; dentífricos no medicinales; productos de perfumería, aceites esenciales; preparaciones para blanquear y otras sustancias para lavar la ropa; preparaciones para limpiar, pulir, desengrasar y raspar; Cuero y cuero de imitación; pieles de animales; artículos de equipaje y bolsas de transporte; paraguas y sombrillas; bastones; fustas, arneses y artículos de guarnicionería; collares, correas y ropa para animales; Prendas de vestir, calzado, artículos de sombrerería, este servicio puede ser prestado por comercios minoristas o mayoristas, puntos de venta o mediante catálogo de ventas, catálogos de venta por correo, por medio de una comunicación oral y/o visual por medio de terminales de computación, fax y por otros medios análogos y digitales, vía telefónica, por correo, por medio de una comunicación interactiva de datos, de mensajes, de imágenes, de textos y de combinaciones de estos o medios de comunicación electrónicos, por ejemplo sitios web o programas de televentas, internet, correo electrónico, world wide web y otras redes de bases de datos.
</x:t>
        </x:is>
      </x:c>
      <x:c r="L603" s="3" t="inlineStr">
        <x:is>
          <x:t>No</x:t>
        </x:is>
      </x:c>
      <x:c r="M603" s="3" t="inlineStr">
        <x:is>
          <x:t>CAROLINA VERA MATIZ, CALLE 70A No. 11-43, BOGOTÁ, D.C., CO</x:t>
        </x:is>
      </x:c>
      <x:c r="N603" s="3" t="inlineStr">
        <x:is>
          <x:t/>
        </x:is>
      </x:c>
      <x:c r="O603" s="3" t="inlineStr">
        <x:is>
          <x:t>09 dic. 2022</x:t>
        </x:is>
      </x:c>
      <x:c r="P603" s="3" t="inlineStr">
        <x:is>
          <x:t/>
        </x:is>
      </x:c>
      <x:c r="Q603" s="3" t="inlineStr">
        <x:is>
          <x:t/>
        </x:is>
      </x:c>
    </x:row>
    <x:row r="604">
      <x:c r="A604" s="10" t="inlineStr">
        <x:f xml:space="preserve">HYPERLINK("http://sipi.sic.gov.co/sipi/View.ashx?4459230","SD2022/0118972")</x:f>
      </x:c>
      <x:c r="B604" s="3" t="inlineStr">
        <x:is>
          <x:t>Ultralisso</x:t>
        </x:is>
      </x:c>
      <x:c r="C604" s="9" t="inlineStr">
        <x:is>
          <x:t/>
        </x:is>
      </x:c>
      <x:c r="D604" s="3" t="inlineStr">
        <x:is>
          <x:t>18 nov. 2022</x:t>
        </x:is>
      </x:c>
      <x:c r="E604" s="3" t="inlineStr">
        <x:is>
          <x:t/>
        </x:is>
      </x:c>
      <x:c r="F604" s="3" t="inlineStr">
        <x:is>
          <x:t>Negada</x:t>
        </x:is>
      </x:c>
      <x:c r="G604" s="3" t="inlineStr">
        <x:is>
          <x:t>390423</x:t>
        </x:is>
      </x:c>
      <x:c r="H604" s="3" t="inlineStr">
        <x:is>
          <x:t> Tecnolisso SAS, Calle 8 # 15B-26 Apt 1102 Edf Montebello Los Alpes, PEREIRA, RISARALDA, CO</x:t>
        </x:is>
      </x:c>
      <x:c r="I604" s="3" t="inlineStr">
        <x:is>
          <x:t>3</x:t>
        </x:is>
      </x:c>
      <x:c r="J604" s="3" t="inlineStr">
        <x:is>
          <x:t>11</x:t>
        </x:is>
      </x:c>
      <x:c r="K604" s="3" t="inlineStr">
        <x:is>
          <x:t>3. Emulsiones, geles y lociones para el cuidado de la piel; champúes para el cabello; champús para el cabello humano; champús y acondicionadores para el cabello; crema para peinar el cabello; champús para el cabello y el cuerpo; cremas de protección para el cabello; cremas de protección para el cabello, no medicinales; cremas para el cabello; cremas para el cabello para uso cosmético; cremas para el cuidado del cabello; hidratantes para el cabello; mascarillas de belleza para el cabello; mascarillas para el cabello; mascarillas para el cabello y el cuero cabelludo; mascarillas para el cuidado del cabello; mascarillas para el peinado del cabello; máscaras para el cabello y el cuero cabelludo; preparaciones no medicinales para el cuidado del cabello; preparaciones para alisar el cabello; preparaciones para el cuidado del cabello; tratamientos de alisado para el cabello.
</x:t>
        </x:is>
      </x:c>
      <x:c r="L604" s="3" t="inlineStr">
        <x:is>
          <x:t>No</x:t>
        </x:is>
      </x:c>
      <x:c r="M604" s="3" t="inlineStr">
        <x:is>
          <x:t>Miguel Angel  Puentes Rosabal, Calle 8 #15B-26 Apt 1102 Edf Montebello, PEREIRA, RISARALDA, CO</x:t>
        </x:is>
      </x:c>
      <x:c r="N604" s="3" t="inlineStr">
        <x:is>
          <x:t/>
        </x:is>
      </x:c>
      <x:c r="O604" s="3" t="inlineStr">
        <x:is>
          <x:t>17 mar. 2023</x:t>
        </x:is>
      </x:c>
      <x:c r="P604" s="3" t="inlineStr">
        <x:is>
          <x:t/>
        </x:is>
      </x:c>
      <x:c r="Q604" s="3" t="inlineStr">
        <x:is>
          <x:t/>
        </x:is>
      </x:c>
    </x:row>
    <x:row r="605">
      <x:c r="A605" s="10" t="inlineStr">
        <x:f xml:space="preserve">HYPERLINK("http://sipi.sic.gov.co/sipi/View.ashx?4459598","SD2022/0119081")</x:f>
      </x:c>
      <x:c r="B605" s="3" t="inlineStr">
        <x:is>
          <x:t>SANTA CALMA CBD</x:t>
        </x:is>
      </x:c>
      <x:c r="C605" s="9" t="inlineStr">
        <x:is>
          <x:t/>
        </x:is>
      </x:c>
      <x:c r="D605" s="3" t="inlineStr">
        <x:is>
          <x:t>18 nov. 2022</x:t>
        </x:is>
      </x:c>
      <x:c r="E605" s="3" t="inlineStr">
        <x:is>
          <x:t/>
        </x:is>
      </x:c>
      <x:c r="F605" s="3" t="inlineStr">
        <x:is>
          <x:t>Negada</x:t>
        </x:is>
      </x:c>
      <x:c r="G605" s="3" t="inlineStr">
        <x:is>
          <x:t>SANTA CALMA CBD</x:t>
        </x:is>
      </x:c>
      <x:c r="H605" s="3" t="inlineStr">
        <x:is>
          <x:t>laura fernanda gonzalez montes, calle 18 16-35 apto 403, DOSQUEBRADAS, RISARALDA, CO</x:t>
        </x:is>
      </x:c>
      <x:c r="I605" s="3" t="inlineStr">
        <x:is>
          <x:t>3</x:t>
        </x:is>
      </x:c>
      <x:c r="J605" s="3" t="inlineStr">
        <x:is>
          <x:t>11</x:t>
        </x:is>
      </x:c>
      <x:c r="K605" s="3" t="inlineStr">
        <x:is>
          <x:t>3. Cosméticos.
</x:t>
        </x:is>
      </x:c>
      <x:c r="L605" s="3" t="inlineStr">
        <x:is>
          <x:t>No</x:t>
        </x:is>
      </x:c>
      <x:c r="M605" s="3" t="inlineStr">
        <x:is>
          <x:t/>
        </x:is>
      </x:c>
      <x:c r="N605" s="3" t="inlineStr">
        <x:is>
          <x:t/>
        </x:is>
      </x:c>
      <x:c r="O605" s="3" t="inlineStr">
        <x:is>
          <x:t>16 ene. 2023</x:t>
        </x:is>
      </x:c>
      <x:c r="P605" s="3" t="inlineStr">
        <x:is>
          <x:t/>
        </x:is>
      </x:c>
      <x:c r="Q605" s="3" t="inlineStr">
        <x:is>
          <x:t/>
        </x:is>
      </x:c>
    </x:row>
    <x:row r="606">
      <x:c r="A606" s="10" t="inlineStr">
        <x:f xml:space="preserve">HYPERLINK("http://sipi.sic.gov.co/sipi/View.ashx?4459834","SD2022/0119170")</x:f>
      </x:c>
      <x:c r="B606" s="3" t="inlineStr">
        <x:is>
          <x:t>MELON BEAUTY</x:t>
        </x:is>
      </x:c>
      <x:c r="C606" s="9" t="inlineStr">
        <x:is>
          <x:t/>
        </x:is>
      </x:c>
      <x:c r="D606" s="3" t="inlineStr">
        <x:is>
          <x:t>18 nov. 2022</x:t>
        </x:is>
      </x:c>
      <x:c r="E606" s="3" t="inlineStr">
        <x:is>
          <x:t/>
        </x:is>
      </x:c>
      <x:c r="F606" s="3" t="inlineStr">
        <x:is>
          <x:t>Negada</x:t>
        </x:is>
      </x:c>
      <x:c r="G606" s="3" t="inlineStr">
        <x:is>
          <x:t/>
        </x:is>
      </x:c>
      <x:c r="H606" s="3" t="inlineStr">
        <x:is>
          <x:t>MICHELLE  TELLO VARON, MANZANA 31 CASA 10 ETAPA 1 CIUDADELA SIMON BOLIVAR , IBAGUE, TOLIMA, CO</x:t>
        </x:is>
      </x:c>
      <x:c r="I606" s="3" t="inlineStr">
        <x:is>
          <x:t>3, 25, 44</x:t>
        </x:is>
      </x:c>
      <x:c r="J606" s="3" t="inlineStr">
        <x:is>
          <x:t>11</x:t>
        </x:is>
      </x:c>
      <x:c r="K606" s="3" t="inlineStr">
        <x:is>
          <x:t>3. Aceites destilados para el cuidado de belleza; cosméticos de belleza; cosméticos para tratamiento de belleza cosméticos para el cuidado de belleza; cremas bálsamos de belleza; cremas de belleza; cremas de belleza para el cuerpo; cremas de belleza para el rostro y el cuerpo; geles de belleza; leches de belleza; lociones de belleza; mascarillas de belleza; mascarillas de belleza para el cabello; mascarillas de belleza para el contorno de los ojos; mascarillas de belleza para las manos; mascarillas faciales de belleza; preparaciones de cuidado corporal y de belleza para uso cosmético; preparaciones para cuidados corporales y de belleza; preparaciones para el cuidado del cuerpo y la belleza; preparaciones para el cuidado y la belleza personal; productos cosméticos y de belleza; sueros de belleza.
25. Ajustadores [ropa interior]; bodis [ropa interior]; bragas [ropa interior]; bragas con abertura [ropa interior]; calzones [ropa interior]; calzones con abertura [ropa interior]; corsés [ropa interior]; corsés en cuanto ropa interior; escudetes para ropa interior; escudetes para ropa interior [partes de prendas de vestir]; ligas [ropa interior]; ropa de mujer; ropa exterior de señora; ropa interior; ropa interior de mujer; ropa interior femenina.
44. Asesoramiento en belleza; asesoramiento en materia de cuidados de belleza; asesoría en belleza; consultas en materia de la belleza; consultoría en belleza; consultoría en tratamientos corporales y de belleza; consultoría suministrada por internet en materia de tratamientos corporales y de belleza; cuidado de belleza de los pies; cuidados de higiene y de belleza; cuidados de higiene y de belleza para personas; cuidados médicos, higiénicos y de belleza; higiene humana y cuidados de belleza; puesta a disposición de servicios de sauna, salones de belleza, peluquerías y masajes; servicios de asistencia sanitaria y belleza; servicios de asistencia sanitaria y de cuidado de belleza; servicios de atención sanitaria y belleza; servicios de atención sanitaria y de cuidado de belleza; servicios de consultas sobre belleza; servicios de consultas sobre tratamientos de belleza; servicios de consultoría en belleza; servicios de cuidados de belleza; servicios de cuidados de belleza e higiene; servicios de cuidados de belleza y peluquería; servicios de cuidados de higiene y de belleza; servicios de cuidados de higiene y de belleza para personas; servicios de institutos de belleza de la piel; servicios de peluquerías y salones de belleza; servicios de salones de belleza; servicios de salud y de belleza; servicios de salud y de belleza para personas; servicios de salud y de belleza para personas y animales; servicios de salón de belleza para mascotas; servicios de tratamientos de belleza; servicios de tratamientos de salud y de belleza; servicios de tratamientos de salud y de belleza prestados por saunas, salones de belleza, sanatorios, peluquerías y salones de masajes; suministro de información en materia de belleza; suministro de información sobre peluquerías y salones de belleza; suministro de información sobre servicios prestados por salones de belleza; terapias de belleza; tratamientos de belleza; tratamientos de higiene y belleza para personas o animales.
</x:t>
        </x:is>
      </x:c>
      <x:c r="L606" s="3" t="inlineStr">
        <x:is>
          <x:t>No</x:t>
        </x:is>
      </x:c>
      <x:c r="M606" s="3" t="inlineStr">
        <x:is>
          <x:t/>
        </x:is>
      </x:c>
      <x:c r="N606" s="3" t="inlineStr">
        <x:is>
          <x:t/>
        </x:is>
      </x:c>
      <x:c r="O606" s="3" t="inlineStr">
        <x:is>
          <x:t>16 feb. 2023</x:t>
        </x:is>
      </x:c>
      <x:c r="P606" s="3" t="inlineStr">
        <x:is>
          <x:t/>
        </x:is>
      </x:c>
      <x:c r="Q606" s="3" t="inlineStr">
        <x:is>
          <x:t/>
        </x:is>
      </x:c>
    </x:row>
    <x:row r="607">
      <x:c r="A607" s="10" t="inlineStr">
        <x:f xml:space="preserve">HYPERLINK("http://sipi.sic.gov.co/sipi/View.ashx?4460364","SD2022/0119289")</x:f>
      </x:c>
      <x:c r="B607" s="3" t="inlineStr">
        <x:is>
          <x:t>BioVita by Biosa Colombia</x:t>
        </x:is>
      </x:c>
      <x:c r="C607" s="3" t="inlineStr">
        <x:is>
          <x:t/>
        </x:is>
      </x:c>
      <x:c r="D607" s="3" t="inlineStr">
        <x:is>
          <x:t>18 nov. 2022</x:t>
        </x:is>
      </x:c>
      <x:c r="E607" s="3" t="inlineStr">
        <x:is>
          <x:t/>
        </x:is>
      </x:c>
      <x:c r="F607" s="3" t="inlineStr">
        <x:is>
          <x:t>Negada</x:t>
        </x:is>
      </x:c>
      <x:c r="G607" s="3" t="inlineStr">
        <x:is>
          <x:t/>
        </x:is>
      </x:c>
      <x:c r="H607" s="3" t="inlineStr">
        <x:is>
          <x:t> BIOSA COLOMBIA S.A.S, SIN ESTABLECER, CALI, VALLE DEL CAUCA, CO</x:t>
        </x:is>
      </x:c>
      <x:c r="I607" s="3" t="inlineStr">
        <x:is>
          <x:t>3, 5</x:t>
        </x:is>
      </x:c>
      <x:c r="J607" s="3" t="inlineStr">
        <x:is>
          <x:t>11</x:t>
        </x:is>
      </x:c>
      <x:c r="K607" s="3" t="inlineStr">
        <x:is>
          <x:t>3. Cosméticos para el cuidado del cuerpo; cosméticos y preparaciones de cuidado personal; cremas cosméticas para el cuidado de la piel; cremas para el cuidado de la piel, no medicinales; cremas y lociones cosméticas para el cuidado del rostro y el cuerpo; emulsiones, geles y lociones para el cuidado de la piel.
5. Aceites para el cuidado de la piel [medicinales]; cremas medicinales para el cuidado de la piel; cremas para el cuidado de la piel, medicinales; preparaciones antisépticas para el cuidado corporal; preparaciones antisépticas para el cuidado del cuerpo; preparaciones medicinales para el cuidado de la piel.
</x:t>
        </x:is>
      </x:c>
      <x:c r="L607" s="3" t="inlineStr">
        <x:is>
          <x:t>No</x:t>
        </x:is>
      </x:c>
      <x:c r="M607" s="3" t="inlineStr">
        <x:is>
          <x:t>AIDA LUCIA CERTUCHE CANDELO, CL 64N 5BN 145 OF 314A, CALI, VALLE DEL CAUCA, CO</x:t>
        </x:is>
      </x:c>
      <x:c r="N607" s="3" t="inlineStr">
        <x:is>
          <x:t/>
        </x:is>
      </x:c>
      <x:c r="O607" s="3" t="inlineStr">
        <x:is>
          <x:t>17 mar. 2023</x:t>
        </x:is>
      </x:c>
      <x:c r="P607" s="3" t="inlineStr">
        <x:is>
          <x:t/>
        </x:is>
      </x:c>
      <x:c r="Q607" s="3" t="inlineStr">
        <x:is>
          <x:t/>
        </x:is>
      </x:c>
    </x:row>
    <x:row r="608">
      <x:c r="A608" s="10" t="inlineStr">
        <x:f xml:space="preserve">HYPERLINK("http://sipi.sic.gov.co/sipi/View.ashx?4460702","SD2022/0119375")</x:f>
      </x:c>
      <x:c r="B608" s="3" t="inlineStr">
        <x:is>
          <x:t>Hooli </x:t>
        </x:is>
      </x:c>
      <x:c r="C608" s="9" t="inlineStr">
        <x:is>
          <x:t/>
        </x:is>
      </x:c>
      <x:c r="D608" s="3" t="inlineStr">
        <x:is>
          <x:t>18 nov. 2022</x:t>
        </x:is>
      </x:c>
      <x:c r="E608" s="3" t="inlineStr">
        <x:is>
          <x:t/>
        </x:is>
      </x:c>
      <x:c r="F608" s="3" t="inlineStr">
        <x:is>
          <x:t>Negada</x:t>
        </x:is>
      </x:c>
      <x:c r="G608" s="3" t="inlineStr">
        <x:is>
          <x:t/>
        </x:is>
      </x:c>
      <x:c r="H608" s="3" t="inlineStr">
        <x:is>
          <x:t>Felipe  Vallejo Coronado, calle 146 #6-24, BOGOTA, CUNDINAMARCA 110121, CO</x:t>
        </x:is>
      </x:c>
      <x:c r="I608" s="3" t="inlineStr">
        <x:is>
          <x:t>3</x:t>
        </x:is>
      </x:c>
      <x:c r="J608" s="3" t="inlineStr">
        <x:is>
          <x:t>11</x:t>
        </x:is>
      </x:c>
      <x:c r="K60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08" s="3" t="inlineStr">
        <x:is>
          <x:t>Sí</x:t>
        </x:is>
      </x:c>
      <x:c r="M608" s="3" t="inlineStr">
        <x:is>
          <x:t/>
        </x:is>
      </x:c>
      <x:c r="N608" s="3" t="inlineStr">
        <x:is>
          <x:t/>
        </x:is>
      </x:c>
      <x:c r="O608" s="3" t="inlineStr">
        <x:is>
          <x:t>27 feb. 2023</x:t>
        </x:is>
      </x:c>
      <x:c r="P608" s="3" t="inlineStr">
        <x:is>
          <x:t/>
        </x:is>
      </x:c>
      <x:c r="Q608" s="3" t="inlineStr">
        <x:is>
          <x:t/>
        </x:is>
      </x:c>
    </x:row>
    <x:row r="609">
      <x:c r="A609" s="10" t="inlineStr">
        <x:f xml:space="preserve">HYPERLINK("http://sipi.sic.gov.co/sipi/View.ashx?4461142","SD2022/0119506")</x:f>
      </x:c>
      <x:c r="B609" s="3" t="inlineStr">
        <x:is>
          <x:t>NEW KARE</x:t>
        </x:is>
      </x:c>
      <x:c r="C609" s="3" t="inlineStr">
        <x:is>
          <x:t/>
        </x:is>
      </x:c>
      <x:c r="D609" s="3" t="inlineStr">
        <x:is>
          <x:t>18 nov. 2022</x:t>
        </x:is>
      </x:c>
      <x:c r="E609" s="3" t="inlineStr">
        <x:is>
          <x:t/>
        </x:is>
      </x:c>
      <x:c r="F609" s="3" t="inlineStr">
        <x:is>
          <x:t>Negada</x:t>
        </x:is>
      </x:c>
      <x:c r="G609" s="3" t="inlineStr">
        <x:is>
          <x:t/>
        </x:is>
      </x:c>
      <x:c r="H609" s="3" t="inlineStr">
        <x:is>
          <x:t> BIOCARE COSMETICS S A S, CRA 81 B NO 8 A 31 PISO 2, BOGOTÁ, D.C. 111211, CO</x:t>
        </x:is>
      </x:c>
      <x:c r="I609" s="3" t="inlineStr">
        <x:is>
          <x:t>3</x:t>
        </x:is>
      </x:c>
      <x:c r="J609" s="3" t="inlineStr">
        <x:is>
          <x:t>11</x:t>
        </x:is>
      </x:c>
      <x:c r="K609" s="3" t="inlineStr">
        <x:is>
          <x:t>3. Gel masajeador corporal térmico; crema volumizante para busto y glúteos cremas; lociones, bálsamos y geles; cosméticos para el cuidado de la piel tales como hidratantes, humectantes, astringentes, desmaquilladoras, exfoliantes, limpiadoras, aclarantes, tonificantes, nutritivas, reconstituyentes, balsámicas, anti-arrugas, anti-celulíticas, anti-edad, blanqueadoras, reafirmantes; cremas, lociones, geles y preparaciones protectoras y bronceadoras de la piel expuesta a los rayos solares; champús, reacondicionadores, mousses y geles para el cuidado y estilizado del cabello; desodorantes de uso personal; antitranspirantes; maquillaje facial; esmaltes y barnices para las uñas; aceites esenciales, cremas hidratantes, lociones y espumas para el afeitado; preparaciones para blanquear y otras sustancias para la colada; preparaciones para limpiar, pulir, desengrasar y raspar, (preparaciones abrasivas) jabones; perfumería, aceites esenciales, cosméticos, lociones para el cabello; dentífricos.
</x:t>
        </x:is>
      </x:c>
      <x:c r="L609" s="3" t="inlineStr">
        <x:is>
          <x:t>No</x:t>
        </x:is>
      </x:c>
      <x:c r="M609" s="3" t="inlineStr">
        <x:is>
          <x:t>Gustavo  Florez Bautista, Carrera 63 96 66, BOGOTÁ, D.C., CO</x:t>
        </x:is>
      </x:c>
      <x:c r="N609" s="3" t="inlineStr">
        <x:is>
          <x:t/>
        </x:is>
      </x:c>
      <x:c r="O609" s="3" t="inlineStr">
        <x:is>
          <x:t>16 feb. 2023</x:t>
        </x:is>
      </x:c>
      <x:c r="P609" s="3" t="inlineStr">
        <x:is>
          <x:t/>
        </x:is>
      </x:c>
      <x:c r="Q609" s="3" t="inlineStr">
        <x:is>
          <x:t/>
        </x:is>
      </x:c>
    </x:row>
    <x:row r="610">
      <x:c r="A610" s="10" t="inlineStr">
        <x:f xml:space="preserve">HYPERLINK("http://sipi.sic.gov.co/sipi/View.ashx?4461363","SD2022/0122051")</x:f>
      </x:c>
      <x:c r="B610" s="3" t="inlineStr">
        <x:is>
          <x:t>WAYMA</x:t>
        </x:is>
      </x:c>
      <x:c r="C610" s="9" t="inlineStr">
        <x:is>
          <x:t/>
        </x:is>
      </x:c>
      <x:c r="D610" s="3" t="inlineStr">
        <x:is>
          <x:t>25 nov. 2022</x:t>
        </x:is>
      </x:c>
      <x:c r="E610" s="3" t="inlineStr">
        <x:is>
          <x:t/>
        </x:is>
      </x:c>
      <x:c r="F610" s="3" t="inlineStr">
        <x:is>
          <x:t>Negada</x:t>
        </x:is>
      </x:c>
      <x:c r="G610" s="3" t="inlineStr">
        <x:is>
          <x:t>WAYMA</x:t>
        </x:is>
      </x:c>
      <x:c r="H610" s="3" t="inlineStr">
        <x:is>
          <x:t>MARIA ANGELICA MANCERA SANCHEZ, Calle 134A No. 55A - 45, BOGOTÁ, D.C. 110110, CO</x:t>
        </x:is>
      </x:c>
      <x:c r="I610" s="3" t="inlineStr">
        <x:is>
          <x:t>3, 5, 29, 30, 32, 43</x:t>
        </x:is>
      </x:c>
      <x:c r="J610" s="3" t="inlineStr">
        <x:is>
          <x:t>11</x:t>
        </x:is>
      </x:c>
      <x:c r="K610" s="3" t="inlineStr">
        <x:is>
          <x:t>3. Exclusivamente extracto de cannabis CBD; aceite corporal con cannabis CBD.
5. Exclusivamente productos a base de cannabis medicinal; sin que se relacione con los servicios que se prestan en la Clase 44 del nomenclador.
29. Frutas y verduras, hortalizas y legumbres en conserva, congeladas, secas y cocidas; jaleas, confituras, compotas; huevos; aceites y grasas para uso alimenticio excepto leche, carne, queso, yogurt y arequipe.
30. Pastas alimenticias y fideos; chocolate; productos para sazonar, hierbas en conserva, excepto Café, té, cacao y sucedáneos del café; arroz; tapioca y sagú; harinas y preparaciones a base de cereales; pan, productos de pastelería y confitería; helados; azúcar, miel, jarabe de melaza; levadura, polvos de hornear; sal; mostaza; vinagre, salsas (condimentos); especias; hielo.
32. Exclusivamente bebidas con cannabis.
43. Exclusivamente servicios de hospedaje sin restauración.
</x:t>
        </x:is>
      </x:c>
      <x:c r="L610" s="3" t="inlineStr">
        <x:is>
          <x:t>No</x:t>
        </x:is>
      </x:c>
      <x:c r="M610" s="3" t="inlineStr">
        <x:is>
          <x:t/>
        </x:is>
      </x:c>
      <x:c r="N610" s="3" t="inlineStr">
        <x:is>
          <x:t/>
        </x:is>
      </x:c>
      <x:c r="O610" s="3" t="inlineStr">
        <x:is>
          <x:t>20 dic. 2022</x:t>
        </x:is>
      </x:c>
      <x:c r="P610" s="3" t="inlineStr">
        <x:is>
          <x:t/>
        </x:is>
      </x:c>
      <x:c r="Q610" s="3" t="inlineStr">
        <x:is>
          <x:t/>
        </x:is>
      </x:c>
    </x:row>
    <x:row r="611">
      <x:c r="A611" s="10" t="inlineStr">
        <x:f xml:space="preserve">HYPERLINK("http://sipi.sic.gov.co/sipi/View.ashx?4462391","SD2022/0119683")</x:f>
      </x:c>
      <x:c r="B611" s="3" t="inlineStr">
        <x:is>
          <x:t>NATASHA CAPILAR</x:t>
        </x:is>
      </x:c>
      <x:c r="C611" s="9" t="inlineStr">
        <x:is>
          <x:t/>
        </x:is>
      </x:c>
      <x:c r="D611" s="3" t="inlineStr">
        <x:is>
          <x:t>21 nov. 2022</x:t>
        </x:is>
      </x:c>
      <x:c r="E611" s="3" t="inlineStr">
        <x:is>
          <x:t/>
        </x:is>
      </x:c>
      <x:c r="F611" s="3" t="inlineStr">
        <x:is>
          <x:t>Negada</x:t>
        </x:is>
      </x:c>
      <x:c r="G611" s="3" t="inlineStr">
        <x:is>
          <x:t/>
        </x:is>
      </x:c>
      <x:c r="H611" s="3" t="inlineStr">
        <x:is>
          <x:t>NATACHA MANZANO PATIÑO, CALLE 50 77B 124, MEDELLIN, ANTIOQUIA, CO</x:t>
        </x:is>
      </x:c>
      <x:c r="I611" s="3" t="inlineStr">
        <x:is>
          <x:t>3</x:t>
        </x:is>
      </x:c>
      <x:c r="J611" s="3" t="inlineStr">
        <x:is>
          <x:t>11</x:t>
        </x:is>
      </x:c>
      <x:c r="K611"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11" s="3" t="inlineStr">
        <x:is>
          <x:t>No</x:t>
        </x:is>
      </x:c>
      <x:c r="M611" s="3" t="inlineStr">
        <x:is>
          <x:t/>
        </x:is>
      </x:c>
      <x:c r="N611" s="3" t="inlineStr">
        <x:is>
          <x:t/>
        </x:is>
      </x:c>
      <x:c r="O611" s="3" t="inlineStr">
        <x:is>
          <x:t>16 ene. 2023</x:t>
        </x:is>
      </x:c>
      <x:c r="P611" s="3" t="inlineStr">
        <x:is>
          <x:t/>
        </x:is>
      </x:c>
      <x:c r="Q611" s="3" t="inlineStr">
        <x:is>
          <x:t/>
        </x:is>
      </x:c>
    </x:row>
    <x:row r="612">
      <x:c r="A612" s="10" t="inlineStr">
        <x:f xml:space="preserve">HYPERLINK("http://sipi.sic.gov.co/sipi/View.ashx?4462539","SD2022/0119731")</x:f>
      </x:c>
      <x:c r="B612" s="3" t="inlineStr">
        <x:is>
          <x:t>BAUM</x:t>
        </x:is>
      </x:c>
      <x:c r="C612" s="3" t="inlineStr">
        <x:is>
          <x:t/>
        </x:is>
      </x:c>
      <x:c r="D612" s="3" t="inlineStr">
        <x:is>
          <x:t>21 nov. 2022</x:t>
        </x:is>
      </x:c>
      <x:c r="E612" s="3" t="inlineStr">
        <x:is>
          <x:t/>
        </x:is>
      </x:c>
      <x:c r="F612" s="3" t="inlineStr">
        <x:is>
          <x:t>Negada</x:t>
        </x:is>
      </x:c>
      <x:c r="G612" s="3" t="inlineStr">
        <x:is>
          <x:t>Solicitud - Baum</x:t>
        </x:is>
      </x:c>
      <x:c r="H612" s="3" t="inlineStr">
        <x:is>
          <x:t>Yarith Eliana   Gutiérrez Agudelo , calle 37 sur número 27-90, ENVIGADO, ANTIOQUIA 32837, CO</x:t>
        </x:is>
      </x:c>
      <x:c r="I612" s="3" t="inlineStr">
        <x:is>
          <x:t>3, 37</x:t>
        </x:is>
      </x:c>
      <x:c r="J612" s="3" t="inlineStr">
        <x:is>
          <x:t>11</x:t>
        </x:is>
      </x:c>
      <x:c r="K612" s="3" t="inlineStr">
        <x:is>
          <x:t>3. Detergente líquido; detergentes de espuma para uso doméstico; detergentes en polvo para la ropa; detergentes para el hogar; detergentes para la limpieza de la ropa para uso doméstico; jabones detergentes; jabones y detergentes; paños de limpieza impregnados con detergente; toallitas húmedas impregnadas con detergente; suavizantes para la ropa; preparaciones para suavizar y eliminar las manchas; productos para suavizar y eliminar las manchas; productos para suavizar y eliminar las manchas; quitamanchas; jabones para lavar la ropa; jabón líquido para lavar la ropa; preparaciones para blanquear y otras sustancias para lavar la ropa; preparaciones para el lavado de la ropa; productos blanqueadores para lavar la ropa; productos para perfumar la ropa; productos para poner la ropa en remojo.
37. Servicios de lavandería; servicios de lavandería para prendas de vestir; lavado de prendas de vestir; lavado de ropa; lavado, planchado y desinfección de ropa blanca; planchado de ropa.
</x:t>
        </x:is>
      </x:c>
      <x:c r="L612" s="3" t="inlineStr">
        <x:is>
          <x:t>No</x:t>
        </x:is>
      </x:c>
      <x:c r="M612" s="3" t="inlineStr">
        <x:is>
          <x:t>María Fernanda Duarte Correa, cra 72A no. 30A - 13, MEDELLIN, ANTIOQUIA, CO</x:t>
        </x:is>
      </x:c>
      <x:c r="N612" s="3" t="inlineStr">
        <x:is>
          <x:t/>
        </x:is>
      </x:c>
      <x:c r="O612" s="3" t="inlineStr">
        <x:is>
          <x:t>09 dic. 2022</x:t>
        </x:is>
      </x:c>
      <x:c r="P612" s="3" t="inlineStr">
        <x:is>
          <x:t/>
        </x:is>
      </x:c>
      <x:c r="Q612" s="3" t="inlineStr">
        <x:is>
          <x:t/>
        </x:is>
      </x:c>
    </x:row>
    <x:row r="613">
      <x:c r="A613" s="10" t="inlineStr">
        <x:f xml:space="preserve">HYPERLINK("http://sipi.sic.gov.co/sipi/View.ashx?4463870","SD2022/0120005")</x:f>
      </x:c>
      <x:c r="B613" s="3" t="inlineStr">
        <x:is>
          <x:t>ASHA</x:t>
        </x:is>
      </x:c>
      <x:c r="C613" s="9" t="inlineStr">
        <x:is>
          <x:t/>
        </x:is>
      </x:c>
      <x:c r="D613" s="3" t="inlineStr">
        <x:is>
          <x:t>21 nov. 2022</x:t>
        </x:is>
      </x:c>
      <x:c r="E613" s="3" t="inlineStr">
        <x:is>
          <x:t/>
        </x:is>
      </x:c>
      <x:c r="F613" s="3" t="inlineStr">
        <x:is>
          <x:t>Negada</x:t>
        </x:is>
      </x:c>
      <x:c r="G613" s="3" t="inlineStr">
        <x:is>
          <x:t>MARCA ASHA CLASES 03, 25 Y 35 INT.</x:t>
        </x:is>
      </x:c>
      <x:c r="H613" s="3" t="inlineStr">
        <x:is>
          <x:t>LUNA MARIANA PEÑA OSORIO, Carrera 66 No.19-72, BOGOTÁ, D.C., CO</x:t>
        </x:is>
      </x:c>
      <x:c r="I613" s="3" t="inlineStr">
        <x:is>
          <x:t>3, 25, 35</x:t>
        </x:is>
      </x:c>
      <x:c r="J613" s="3" t="inlineStr">
        <x:is>
          <x:t>11</x:t>
        </x:is>
      </x:c>
      <x:c r="K613" s="3" t="inlineStr">
        <x:is>
          <x:t>3. Cosméticos, preparaciones cosméticas que no sean para uso médico; preparaciones para el adelgazamiento cosmético, cremas adelgazantes, gel adelgazante, gel reductor de grasas, cremas para el cuidado de la piel que sea cosmético; cosméticos no medicinales.
25. Prendas de vestir para hombres y mujeres; fajas [ropa interior]; ropa de látex; fajas [corsés]; fajas de esmoquin; fajas de pecho en cuanto lencería; fajas de pecho en cuanto ropa interior; fajas para quimonos.
35. Publicidad; gestión de negocios comerciales; Servicios de comercialización, compra, venta, importación, exportación de productos tales como: prendas de vestir; aparatos e instrumentos terapéuticos, ortopédicos, quirúrgicos y post quirúrgicos, fajas; fajas medicas. Fajas para embarazo, faja materna, fajas post-operatorios, fajas reductoras, fajas hipogástricas, fajas ortopédicas, fajas umbilicales; artículos ortopédicos en general; vendas para hernias y de soporte para uso quirúrgico, medias para várices. Elaboración de fajas ortopédicas para dieta; cosméticos y preparaciones cosméticas para el adelgazamiento y cuidados de la piel.
</x:t>
        </x:is>
      </x:c>
      <x:c r="L613" s="3" t="inlineStr">
        <x:is>
          <x:t>No</x:t>
        </x:is>
      </x:c>
      <x:c r="M613" s="3" t="inlineStr">
        <x:is>
          <x:t>ALBA PATRICIA MUÑOZ DAZA, CALLE 85 No. 19B-22 OFC. 303, BOGOTÁ, D.C., CO</x:t>
        </x:is>
      </x:c>
      <x:c r="N613" s="3" t="inlineStr">
        <x:is>
          <x:t/>
        </x:is>
      </x:c>
      <x:c r="O613" s="3" t="inlineStr">
        <x:is>
          <x:t>18 ago. 2023</x:t>
        </x:is>
      </x:c>
      <x:c r="P613" s="3" t="inlineStr">
        <x:is>
          <x:t/>
        </x:is>
      </x:c>
      <x:c r="Q613" s="3" t="inlineStr">
        <x:is>
          <x:t/>
        </x:is>
      </x:c>
    </x:row>
    <x:row r="614">
      <x:c r="A614" s="10" t="inlineStr">
        <x:f xml:space="preserve">HYPERLINK("http://sipi.sic.gov.co/sipi/View.ashx?4464631","SD2022/0120203")</x:f>
      </x:c>
      <x:c r="B614" s="3" t="inlineStr">
        <x:is>
          <x:t>Miel</x:t>
        </x:is>
      </x:c>
      <x:c r="C614" s="9" t="inlineStr">
        <x:is>
          <x:t/>
        </x:is>
      </x:c>
      <x:c r="D614" s="3" t="inlineStr">
        <x:is>
          <x:t>22 nov. 2022</x:t>
        </x:is>
      </x:c>
      <x:c r="E614" s="3" t="inlineStr">
        <x:is>
          <x:t/>
        </x:is>
      </x:c>
      <x:c r="F614" s="3" t="inlineStr">
        <x:is>
          <x:t>Negada</x:t>
        </x:is>
      </x:c>
      <x:c r="G614" s="3" t="inlineStr">
        <x:is>
          <x:t>Miel</x:t>
        </x:is>
      </x:c>
      <x:c r="H614" s="3" t="inlineStr">
        <x:is>
          <x:t> MIEL CENTRO MEDICO ESTETICO S.A.S., Carrera 80A 32EE-72 OF 1116, MEDELLIN, ANTIOQUIA, CO</x:t>
        </x:is>
      </x:c>
      <x:c r="I614" s="3" t="inlineStr">
        <x:is>
          <x:t>3, 9, 44</x:t>
        </x:is>
      </x:c>
      <x:c r="J614" s="3" t="inlineStr">
        <x:is>
          <x:t>11</x:t>
        </x:is>
      </x:c>
      <x:c r="K614" s="3" t="inlineStr">
        <x:is>
          <x:t>3. Cremas de belleza; cremas de belleza para el rostro y el cuerpo; geles de belleza; lociones de belleza; mascarillas de belleza para el cabello; preparaciones de cuidado corporal y de belleza para uso cosmético; preparaciones para cuidados corporales y de belleza; preparaciones para el cuidado del cuerpo y la belleza; preparaciones para el cuidado y la belleza personal; cremas antiarrugas para uso cosmético; cremas antienvejecimiento para uso cosmético; cremas con filtro solar para uso cosmético; cremas con retinol para uso cosmético; cremas contra las pecas [para uso cosmético]; cremas cosméticas detoxificantes fitoactivas; cremas cosméticas nutritivas; cremas cosméticas para el cuidado de la piel; cremas cosméticas para pieles secas; cremas cosméticas para reafirmar la piel; cremas cosméticas para tonificar la piel; cremas exfoliantes para uso cosmético; cremas faciales para uso cosmético; cremas hidratantes para la piel [cosméticos]; preparaciones de limpieza para el cuerpo; cremas para el rostro de uso cosmético; cremas para la piel de uso cosmético; cremas para la cara [cosméticos]; cremas reparadoras para la piel [cosméticos]; hidratantes faciales [cosméticos]; hidratantes faciales de uso cosmético; preparaciones cosméticas para el rostro; preparaciones cosméticas para la cara; preparaciones de cuidado facial [cosméticos]; preparaciones hidratantes [cosméticos]; preparaciones para aclarar la piel [cosméticos]; preparaciones para el cuidado de la piel [productos cosméticos]; preparados cosméticos para el tratamiento de la piel; productos cosméticos en forma de cremas; productos cosméticos para el cuidado de la piel; cremas para atenuar las manchas de la vejez de uso cosmético.
9. Productos de software; software; software de aplicación; software de computadora; software en la nube; software informático; software para uso comercial; aplicaciones de software descargables [apps]; software basado en la nube; software de aplicaciones y servidores web; software [programas informáticos].
44. Atención médica; consultoría médica; servicios de chequeos médicos; cuidados médicos, higiénicos y de belleza; servicios de diagnóstico médico y quirúrgico; asistencia médica; consultas médicas; exploración médica; información médica; servicios de médicos; servicios médicos; atención médica ambulatoria; servicios de asistencia médica; servicios de atención médica; servicios de evaluación médica; servicios de exploración médica; servicios de información médica; servicios de spa; consultas sobre el cuidado de la piel; servicios prestados por médicos; suministro de información médica en sitios web; servicios de clínicas médicas y servicios de análisis médicos prestados por laboratorios médicos con fines diagnósticos y terapéuticos; servicios de orientación médica individual prestados a pacientes; servicios de terapia láser para el tratamiento de afecciones médicas; asesoramiento en belleza; asesoramiento en materia de cuidados de belleza; asesoría en belleza; servicios de consultas sobre tratamientos de belleza; servicios de consultoría en belleza; servicios de cuidados de belleza; terapias de belleza; tratamientos de belleza; servicios de institutos de belleza de la piel; consultoría en tratamientos corporales y de belleza; cuidados de higiene y de belleza; cuidados de higiene y de belleza para personas; higiene humana y cuidados de belleza; servicios de asistencia sanitaria y belleza; servicios de asistencia sanitaria y de cuidado de belleza; servicios de atención sanitaria y belleza; servicios de atención sanitaria y de cuidado de belleza; servicios de cuidados de belleza e higiene; servicios de cuidados de belleza y peluquería; servicios de cuidados de higiene y de belleza; servicios de cuidados de higiene y de belleza para personas; servicios de salud y de belleza; servicios de salud y de belleza para personas; servicios de salud y de belleza para personas y animales; servicios de tratamientos de belleza; servicios de tratamientos de salud y de belleza; suministro de información en materia de belleza; tratamientos de higiene y belleza para personas o animales; tratamientos de higiene y de belleza para personas o animales.
</x:t>
        </x:is>
      </x:c>
      <x:c r="L614" s="3" t="inlineStr">
        <x:is>
          <x:t>No</x:t>
        </x:is>
      </x:c>
      <x:c r="M614" s="3" t="inlineStr">
        <x:is>
          <x:t>MARÍA ALEJANDRA ECHAVARRIA ARCILA, Carrera 78 35-53, MEDELLIN, ANTIOQUIA, CO</x:t>
        </x:is>
      </x:c>
      <x:c r="N614" s="3" t="inlineStr">
        <x:is>
          <x:t/>
        </x:is>
      </x:c>
      <x:c r="O614" s="3" t="inlineStr">
        <x:is>
          <x:t>20 dic. 2022</x:t>
        </x:is>
      </x:c>
      <x:c r="P614" s="3" t="inlineStr">
        <x:is>
          <x:t/>
        </x:is>
      </x:c>
      <x:c r="Q614" s="3" t="inlineStr">
        <x:is>
          <x:t/>
        </x:is>
      </x:c>
    </x:row>
    <x:row r="615">
      <x:c r="A615" s="10" t="inlineStr">
        <x:f xml:space="preserve">HYPERLINK("http://sipi.sic.gov.co/sipi/View.ashx?4464968","SD2022/0120278")</x:f>
      </x:c>
      <x:c r="B615" s="3" t="inlineStr">
        <x:is>
          <x:t>CG GREEN VALLEY</x:t>
        </x:is>
      </x:c>
      <x:c r="C615" s="9" t="inlineStr">
        <x:is>
          <x:t/>
        </x:is>
      </x:c>
      <x:c r="D615" s="3" t="inlineStr">
        <x:is>
          <x:t>22 nov. 2022</x:t>
        </x:is>
      </x:c>
      <x:c r="E615" s="3" t="inlineStr">
        <x:is>
          <x:t/>
        </x:is>
      </x:c>
      <x:c r="F615" s="3" t="inlineStr">
        <x:is>
          <x:t>Negada</x:t>
        </x:is>
      </x:c>
      <x:c r="G615" s="3" t="inlineStr">
        <x:is>
          <x:t/>
        </x:is>
      </x:c>
      <x:c r="H615" s="3" t="inlineStr">
        <x:is>
          <x:t> CG GREEN VALLEY S.A.S., CRA 32 NRO. 21 57, TULUA, VALLE DEL CAUCA, CO</x:t>
        </x:is>
      </x:c>
      <x:c r="I615" s="3" t="inlineStr">
        <x:is>
          <x:t>3, 31</x:t>
        </x:is>
      </x:c>
      <x:c r="J615" s="3" t="inlineStr">
        <x:is>
          <x:t>11</x:t>
        </x:is>
      </x:c>
      <x:c r="K615" s="3" t="inlineStr">
        <x:is>
          <x:t>3. Preparaciones para el cuidado de la piel a base de cbd; preparados para el cuidado de la piel a base de cbd; cosméticos a base de cannabis.
31. Bulbos y semillas de plantas; bulbos y semillas de siembra; bulbos y semillas para plantar; semillas; semillas, bulbos y plántulas para el cultivo de plantas; cannabis no transformada; cannabis sin procesar; plantas de cannabis.
</x:t>
        </x:is>
      </x:c>
      <x:c r="L615" s="3" t="inlineStr">
        <x:is>
          <x:t>No</x:t>
        </x:is>
      </x:c>
      <x:c r="M615" s="3" t="inlineStr">
        <x:is>
          <x:t>JULIANA GONZÁLEZ GONZÁLEZ, CALLE 66 No.11- 50 OFIC 416, BOGOTÁ, D.C., CO</x:t>
        </x:is>
      </x:c>
      <x:c r="N615" s="3" t="inlineStr">
        <x:is>
          <x:t/>
        </x:is>
      </x:c>
      <x:c r="O615" s="3" t="inlineStr">
        <x:is>
          <x:t>29 nov. 2022</x:t>
        </x:is>
      </x:c>
      <x:c r="P615" s="3" t="inlineStr">
        <x:is>
          <x:t/>
        </x:is>
      </x:c>
      <x:c r="Q615" s="3" t="inlineStr">
        <x:is>
          <x:t/>
        </x:is>
      </x:c>
    </x:row>
    <x:row r="616">
      <x:c r="A616" s="10" t="inlineStr">
        <x:f xml:space="preserve">HYPERLINK("http://sipi.sic.gov.co/sipi/View.ashx?4467217","SD2022/0120787")</x:f>
      </x:c>
      <x:c r="B616" s="3" t="inlineStr">
        <x:is>
          <x:t>MUBA COSMETICS</x:t>
        </x:is>
      </x:c>
      <x:c r="C616" s="9" t="inlineStr">
        <x:is>
          <x:t/>
        </x:is>
      </x:c>
      <x:c r="D616" s="3" t="inlineStr">
        <x:is>
          <x:t>23 nov. 2022</x:t>
        </x:is>
      </x:c>
      <x:c r="E616" s="3" t="inlineStr">
        <x:is>
          <x:t/>
        </x:is>
      </x:c>
      <x:c r="F616" s="3" t="inlineStr">
        <x:is>
          <x:t>Negada</x:t>
        </x:is>
      </x:c>
      <x:c r="G616" s="3" t="inlineStr">
        <x:is>
          <x:t/>
        </x:is>
      </x:c>
      <x:c r="H616" s="3" t="inlineStr">
        <x:is>
          <x:t>ANDRES FELIPE CABRERA GARCÍA, PARQUE RESIDENCIAL DEL CAFE, ARMENIA, QUINDIO 63001, CO</x:t>
        </x:is>
      </x:c>
      <x:c r="I616" s="3" t="inlineStr">
        <x:is>
          <x:t>3</x:t>
        </x:is>
      </x:c>
      <x:c r="J616" s="3" t="inlineStr">
        <x:is>
          <x:t>11</x:t>
        </x:is>
      </x:c>
      <x:c r="K61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16" s="3" t="inlineStr">
        <x:is>
          <x:t>Sí</x:t>
        </x:is>
      </x:c>
      <x:c r="M616" s="3" t="inlineStr">
        <x:is>
          <x:t/>
        </x:is>
      </x:c>
      <x:c r="N616" s="3" t="inlineStr">
        <x:is>
          <x:t/>
        </x:is>
      </x:c>
      <x:c r="O616" s="3" t="inlineStr">
        <x:is>
          <x:t>16 ene. 2023</x:t>
        </x:is>
      </x:c>
      <x:c r="P616" s="3" t="inlineStr">
        <x:is>
          <x:t/>
        </x:is>
      </x:c>
      <x:c r="Q616" s="3" t="inlineStr">
        <x:is>
          <x:t/>
        </x:is>
      </x:c>
    </x:row>
    <x:row r="617">
      <x:c r="A617" s="10" t="inlineStr">
        <x:f xml:space="preserve">HYPERLINK("http://sipi.sic.gov.co/sipi/View.ashx?4467924","SD2022/0120941")</x:f>
      </x:c>
      <x:c r="B617" s="3" t="inlineStr">
        <x:is>
          <x:t>NATUPRESH CONECTADOS CON LA NATURALEZA</x:t>
        </x:is>
      </x:c>
      <x:c r="C617" s="9" t="inlineStr">
        <x:is>
          <x:t/>
        </x:is>
      </x:c>
      <x:c r="D617" s="3" t="inlineStr">
        <x:is>
          <x:t>23 nov. 2022</x:t>
        </x:is>
      </x:c>
      <x:c r="E617" s="3" t="inlineStr">
        <x:is>
          <x:t/>
        </x:is>
      </x:c>
      <x:c r="F617" s="3" t="inlineStr">
        <x:is>
          <x:t>Negada</x:t>
        </x:is>
      </x:c>
      <x:c r="G617" s="3" t="inlineStr">
        <x:is>
          <x:t>NATUPRESH CONECTADOS CON LA NATURALEZA</x:t>
        </x:is>
      </x:c>
      <x:c r="H617" s="3" t="inlineStr">
        <x:is>
          <x:t>Jovanny  Sanchez Escobar , manzana 2, casa 13, piso 2, Los Pinos, Cuba, PEREIRA, RISARALDA, CO</x:t>
        </x:is>
      </x:c>
      <x:c r="I617" s="3" t="inlineStr">
        <x:is>
          <x:t>3</x:t>
        </x:is>
      </x:c>
      <x:c r="J617" s="3" t="inlineStr">
        <x:is>
          <x:t>11</x:t>
        </x:is>
      </x:c>
      <x:c r="K617" s="3" t="inlineStr">
        <x:is>
          <x:t>3. Preparaciones para blanquear y otras sustancias para lavar la ropa; preparaciones para limpiar, pulir, desengrasar y raspar; jabones no medicinales; productos de perfumería, aceites esenciales.
</x:t>
        </x:is>
      </x:c>
      <x:c r="L617" s="3" t="inlineStr">
        <x:is>
          <x:t>No</x:t>
        </x:is>
      </x:c>
      <x:c r="M617" s="3" t="inlineStr">
        <x:is>
          <x:t>Juan David Ortiz Betancur, Carrera 56B 49 51, MEDELLIN, ANTIOQUIA, CO</x:t>
        </x:is>
      </x:c>
      <x:c r="N617" s="3" t="inlineStr">
        <x:is>
          <x:t/>
        </x:is>
      </x:c>
      <x:c r="O617" s="3" t="inlineStr">
        <x:is>
          <x:t>17 abr. 2023</x:t>
        </x:is>
      </x:c>
      <x:c r="P617" s="3" t="inlineStr">
        <x:is>
          <x:t/>
        </x:is>
      </x:c>
      <x:c r="Q617" s="3" t="inlineStr">
        <x:is>
          <x:t/>
        </x:is>
      </x:c>
    </x:row>
    <x:row r="618">
      <x:c r="A618" s="10" t="inlineStr">
        <x:f xml:space="preserve">HYPERLINK("http://sipi.sic.gov.co/sipi/View.ashx?4468075","SD2022/0120977")</x:f>
      </x:c>
      <x:c r="B618" s="3" t="inlineStr">
        <x:is>
          <x:t>SUN SOL FARMET</x:t>
        </x:is>
      </x:c>
      <x:c r="C618" s="9" t="inlineStr">
        <x:is>
          <x:t/>
        </x:is>
      </x:c>
      <x:c r="D618" s="3" t="inlineStr">
        <x:is>
          <x:t>23 nov. 2022</x:t>
        </x:is>
      </x:c>
      <x:c r="E618" s="3" t="inlineStr">
        <x:is>
          <x:t/>
        </x:is>
      </x:c>
      <x:c r="F618" s="3" t="inlineStr">
        <x:is>
          <x:t>Negada</x:t>
        </x:is>
      </x:c>
      <x:c r="G618" s="3" t="inlineStr">
        <x:is>
          <x:t/>
        </x:is>
      </x:c>
      <x:c r="H618" s="3" t="inlineStr">
        <x:is>
          <x:t> FARMET DISTRIBUCIONES S.A.S, cra 73b bis 3 52Calle 124 57 45 Apartamento 206 Torre 3 BOGOTÁ D.C. , BOGOTA, CUNDINAMARCA 111171, CO</x:t>
        </x:is>
      </x:c>
      <x:c r="I618" s="3" t="inlineStr">
        <x:is>
          <x:t>3</x:t>
        </x:is>
      </x:c>
      <x:c r="J618" s="3" t="inlineStr">
        <x:is>
          <x:t>11</x:t>
        </x:is>
      </x:c>
      <x:c r="K61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18" s="3" t="inlineStr">
        <x:is>
          <x:t>No</x:t>
        </x:is>
      </x:c>
      <x:c r="M618" s="3" t="inlineStr">
        <x:is>
          <x:t>JOAQUÍN GARCÍA MONROY, Calle 124 57 45 Apartamento 206  Torre 3 , BOGOTÁ, D.C. 111171, CO</x:t>
        </x:is>
      </x:c>
      <x:c r="N618" s="3" t="inlineStr">
        <x:is>
          <x:t/>
        </x:is>
      </x:c>
      <x:c r="O618" s="3" t="inlineStr">
        <x:is>
          <x:t>16 feb. 2023</x:t>
        </x:is>
      </x:c>
      <x:c r="P618" s="3" t="inlineStr">
        <x:is>
          <x:t/>
        </x:is>
      </x:c>
      <x:c r="Q618" s="3" t="inlineStr">
        <x:is>
          <x:t/>
        </x:is>
      </x:c>
    </x:row>
    <x:row r="619">
      <x:c r="A619" s="10" t="inlineStr">
        <x:f xml:space="preserve">HYPERLINK("http://sipi.sic.gov.co/sipi/View.ashx?4470456","SD2022/0121666")</x:f>
      </x:c>
      <x:c r="B619" s="3" t="inlineStr">
        <x:is>
          <x:t>IDEAL BY AM</x:t>
        </x:is>
      </x:c>
      <x:c r="C619" s="9" t="inlineStr">
        <x:is>
          <x:t/>
        </x:is>
      </x:c>
      <x:c r="D619" s="3" t="inlineStr">
        <x:is>
          <x:t>24 nov. 2022</x:t>
        </x:is>
      </x:c>
      <x:c r="E619" s="3" t="inlineStr">
        <x:is>
          <x:t/>
        </x:is>
      </x:c>
      <x:c r="F619" s="3" t="inlineStr">
        <x:is>
          <x:t>Negada</x:t>
        </x:is>
      </x:c>
      <x:c r="G619" s="3" t="inlineStr">
        <x:is>
          <x:t/>
        </x:is>
      </x:c>
      <x:c r="H619" s="3" t="inlineStr">
        <x:is>
          <x:t>ANDREA MESA TORO, calle 7 aa # 30-244, MEDELLIN, ANTIOQUIA, CO</x:t>
        </x:is>
      </x:c>
      <x:c r="I619" s="3" t="inlineStr">
        <x:is>
          <x:t>3</x:t>
        </x:is>
      </x:c>
      <x:c r="J619" s="3" t="inlineStr">
        <x:is>
          <x:t>11</x:t>
        </x:is>
      </x:c>
      <x:c r="K619" s="3" t="inlineStr">
        <x:is>
          <x:t>3. COSMÉTICOS Y FRAGANCIAS; COLONIAS; PERFUMES; TALCOS PERFUMADOS; GEL DE BAÑO CON OLORES; CREMAS SUAVIZANTES; CREMAS CON ESENCIAS; DESODORANTES; CREMAS LIMPIADORAS; LOCIONES TÓNICAS; LOCIONES/CREMAS HUMECTANTES; CREMAS NUTRITIVAS REVITALIZADORAS; MASCARILLAS; PROTECTORES SOLARES; LOCIONES/CREMAS MATIFICANTES; LOCIONES/CREMAS DEPILATORIAS; LOCIONES/CREMAS DESMANCHADORAS; PESTAÑINA; POLVOS SUELTOS Y COMPACTOS; RUBORES; ILUMINADORES; CORRECTORES DE OJOS; BASE DE MAQUILLAJE; SOMBRAS PARA OJOS; CONTORNOS EN BARRA, CREMA Y POLVO; LABIALES; LÁPICES PARA LABIOS; LÁPICES PARA OJOS; DELINEADORES; PRODUCTOS COSMÉTICOS; MAQUILLAJE; CREMA CONTORNO DE OJOS; SERUM COSMÉTICOS; CREMAS/LOCIONES/GEL DEPILADORAS; BRONCEADORES; REMOVEDOR DE CUTÍCULA; BASE DE ESMALTE; ESMALTE DE UÑAS; BRILLO DE UÑAS; SECANTE DE UÑAS; ENDURECEDOR DE UÑAS; REMOVEDOR DE ESMALTE; POLVOS PARA EL CUERPO; GEL PARA EL CUERPO; SHAMPOOS; ACONDICIONADORES; TRATAMIENTOS CAPILARES; FIJADORES DE MAQUILLAJE; LACA-SPRAY; MOUSSE..
</x:t>
        </x:is>
      </x:c>
      <x:c r="L619" s="3" t="inlineStr">
        <x:is>
          <x:t>Sí</x:t>
        </x:is>
      </x:c>
      <x:c r="M619" s="3" t="inlineStr">
        <x:is>
          <x:t>ANDRES MARQUEZ ACOSTA, Carrera 43 A 5A 113 torre sur piso 14, MEDELLIN, ANTIOQUIA, CO</x:t>
        </x:is>
      </x:c>
      <x:c r="N619" s="3" t="inlineStr">
        <x:is>
          <x:t/>
        </x:is>
      </x:c>
      <x:c r="O619" s="3" t="inlineStr">
        <x:is>
          <x:t>27 abr. 2023</x:t>
        </x:is>
      </x:c>
      <x:c r="P619" s="3" t="inlineStr">
        <x:is>
          <x:t/>
        </x:is>
      </x:c>
      <x:c r="Q619" s="3" t="inlineStr">
        <x:is>
          <x:t/>
        </x:is>
      </x:c>
    </x:row>
    <x:row r="620">
      <x:c r="A620" s="10" t="inlineStr">
        <x:f xml:space="preserve">HYPERLINK("http://sipi.sic.gov.co/sipi/View.ashx?4471022","SD2022/0121797")</x:f>
      </x:c>
      <x:c r="B620" s="3" t="inlineStr">
        <x:is>
          <x:t>AGE CLINIQUE</x:t>
        </x:is>
      </x:c>
      <x:c r="C620" s="9" t="inlineStr">
        <x:is>
          <x:t/>
        </x:is>
      </x:c>
      <x:c r="D620" s="3" t="inlineStr">
        <x:is>
          <x:t>24 nov. 2022</x:t>
        </x:is>
      </x:c>
      <x:c r="E620" s="3" t="inlineStr">
        <x:is>
          <x:t/>
        </x:is>
      </x:c>
      <x:c r="F620" s="3" t="inlineStr">
        <x:is>
          <x:t>Negada</x:t>
        </x:is>
      </x:c>
      <x:c r="G620" s="3" t="inlineStr">
        <x:is>
          <x:t/>
        </x:is>
      </x:c>
      <x:c r="H620" s="3" t="inlineStr">
        <x:is>
          <x:t> SATORI MEDICAL S.A.S., CALLE 7 SUR NO. 39 107, MEDELLIN, ANTIOQUIA, CO</x:t>
        </x:is>
      </x:c>
      <x:c r="I620" s="3" t="inlineStr">
        <x:is>
          <x:t>3, 5, 44</x:t>
        </x:is>
      </x:c>
      <x:c r="J620" s="3" t="inlineStr">
        <x:is>
          <x:t>11</x:t>
        </x:is>
      </x:c>
      <x:c r="K620" s="3" t="inlineStr">
        <x:is>
          <x:t>3. Productos de limpieza y de tocador no medicinales. Productos cosméticos como jabones no medicinales; productos de perfumería, aceites esenciales, cosméticos no medicinales, lociones capilares no medicinales; dentífricos no medicinales. Productos capilares, corporales y faciales cosméticos, no medicinales.
5. Productos farmacéuticos, productos higiénicos y sanitarios para uso médico; alimentos y sustancias dietéticas para uso médico; complementos nutricionales para seres humanos. Productos capilares, corporales y faciales medicinales.
44. Servicios médicos. Consulta médica especializada. Cirugía y procedimientos estéticos. Tratamientos para el rostro, el cabello y el cuerpo como tratamientos anti envejecimiento, rejuvenecimiento facial, peeling; tratamientos para el acné y la mejoría de manchas; microdermoabrasión; armonización facial; mesoterapia; rellenos faciales; aplicación de hilos PDO e hilos tensores; aplicación de toxina botulínica. Armonización de cicatrices; Armonización de glúteos; radiofrecuencia y ultrasonido. Tratamiento para la reducción de grasa localizada; tratamientos médicos para la reestructuración de tejidos. Servicios de análisis médicos prestados por laboratorios médicos con fines diagnósticos y terapéuticos. Asesoramiento sobre dietética y nutrición. Medicina biológica.
</x:t>
        </x:is>
      </x:c>
      <x:c r="L620" s="3" t="inlineStr">
        <x:is>
          <x:t>Sí</x:t>
        </x:is>
      </x:c>
      <x:c r="M620" s="3" t="inlineStr">
        <x:is>
          <x:t>VANESSA VELEZ GUTIERREZ, CALLE 49 NO. 88-10, MEDELLIN, ANTIOQUIA, CO</x:t>
        </x:is>
      </x:c>
      <x:c r="N620" s="3" t="inlineStr">
        <x:is>
          <x:t/>
        </x:is>
      </x:c>
      <x:c r="O620" s="3" t="inlineStr">
        <x:is>
          <x:t>26 ene. 2023</x:t>
        </x:is>
      </x:c>
      <x:c r="P620" s="3" t="inlineStr">
        <x:is>
          <x:t/>
        </x:is>
      </x:c>
      <x:c r="Q620" s="3" t="inlineStr">
        <x:is>
          <x:t/>
        </x:is>
      </x:c>
    </x:row>
    <x:row r="621">
      <x:c r="A621" s="10" t="inlineStr">
        <x:f xml:space="preserve">HYPERLINK("http://sipi.sic.gov.co/sipi/View.ashx?4472210","SD2022/0122097")</x:f>
      </x:c>
      <x:c r="B621" s="3" t="inlineStr">
        <x:is>
          <x:t>Metamorfosis TRANSFORMACIÓN NATURAL</x:t>
        </x:is>
      </x:c>
      <x:c r="C621" s="9" t="inlineStr">
        <x:is>
          <x:t/>
        </x:is>
      </x:c>
      <x:c r="D621" s="3" t="inlineStr">
        <x:is>
          <x:t>25 nov. 2022</x:t>
        </x:is>
      </x:c>
      <x:c r="E621" s="3" t="inlineStr">
        <x:is>
          <x:t/>
        </x:is>
      </x:c>
      <x:c r="F621" s="3" t="inlineStr">
        <x:is>
          <x:t>Negada</x:t>
        </x:is>
      </x:c>
      <x:c r="G621" s="3" t="inlineStr">
        <x:is>
          <x:t/>
        </x:is>
      </x:c>
      <x:c r="H621" s="3" t="inlineStr">
        <x:is>
          <x:t>DANIELA  ROJAS VIRACACHA , calle64 n 112b82, BOGOTÁ, D.C. 57, CO</x:t>
        </x:is>
      </x:c>
      <x:c r="I621" s="3" t="inlineStr">
        <x:is>
          <x:t>3</x:t>
        </x:is>
      </x:c>
      <x:c r="J621" s="3" t="inlineStr">
        <x:is>
          <x:t>11</x:t>
        </x:is>
      </x:c>
      <x:c r="K621" s="3" t="inlineStr">
        <x:is>
          <x:t>3. Preparaciones para blanquear y otras sustancias para lavar la ropa; preparaciones para limpiar, pulir, desengrasar y raspar; jabones no medicinales; productos de perfumería, cosméticos no medicinales, lociones capilares no medicinal.
</x:t>
        </x:is>
      </x:c>
      <x:c r="L621" s="3" t="inlineStr">
        <x:is>
          <x:t>Sí</x:t>
        </x:is>
      </x:c>
      <x:c r="M621" s="3" t="inlineStr">
        <x:is>
          <x:t>JHADYRA TATIANA CONTRERAS MENESES, Calle 64 # 112 B -82, BOGOTÁ, D.C., CO</x:t>
        </x:is>
      </x:c>
      <x:c r="N621" s="3" t="inlineStr">
        <x:is>
          <x:t/>
        </x:is>
      </x:c>
      <x:c r="O621" s="3" t="inlineStr">
        <x:is>
          <x:t>27 feb. 2023</x:t>
        </x:is>
      </x:c>
      <x:c r="P621" s="3" t="inlineStr">
        <x:is>
          <x:t/>
        </x:is>
      </x:c>
      <x:c r="Q621" s="3" t="inlineStr">
        <x:is>
          <x:t/>
        </x:is>
      </x:c>
    </x:row>
    <x:row r="622">
      <x:c r="A622" s="10" t="inlineStr">
        <x:f xml:space="preserve">HYPERLINK("http://sipi.sic.gov.co/sipi/View.ashx?4472372","SD2022/0122169")</x:f>
      </x:c>
      <x:c r="B622" s="3" t="inlineStr">
        <x:is>
          <x:t>Issy Makeup </x:t>
        </x:is>
      </x:c>
      <x:c r="C622" s="9" t="inlineStr">
        <x:is>
          <x:t/>
        </x:is>
      </x:c>
      <x:c r="D622" s="3" t="inlineStr">
        <x:is>
          <x:t>25 nov. 2022</x:t>
        </x:is>
      </x:c>
      <x:c r="E622" s="3" t="inlineStr">
        <x:is>
          <x:t/>
        </x:is>
      </x:c>
      <x:c r="F622" s="3" t="inlineStr">
        <x:is>
          <x:t>Negada</x:t>
        </x:is>
      </x:c>
      <x:c r="G622" s="3" t="inlineStr">
        <x:is>
          <x:t/>
        </x:is>
      </x:c>
      <x:c r="H622" s="3" t="inlineStr">
        <x:is>
          <x:t>MARIA ISABEL BETANCUR GUTIERREZ, Cra 91 #42d 22 sur, BOGOTÁ, D.C., CO</x:t>
        </x:is>
      </x:c>
      <x:c r="I622" s="3" t="inlineStr">
        <x:is>
          <x:t>3</x:t>
        </x:is>
      </x:c>
      <x:c r="J622" s="3" t="inlineStr">
        <x:is>
          <x:t>11</x:t>
        </x:is>
      </x:c>
      <x:c r="K622" s="3" t="inlineStr">
        <x:is>
          <x:t>3. Cosméticos.
</x:t>
        </x:is>
      </x:c>
      <x:c r="L622" s="3" t="inlineStr">
        <x:is>
          <x:t>No</x:t>
        </x:is>
      </x:c>
      <x:c r="M622" s="3" t="inlineStr">
        <x:is>
          <x:t/>
        </x:is>
      </x:c>
      <x:c r="N622" s="3" t="inlineStr">
        <x:is>
          <x:t/>
        </x:is>
      </x:c>
      <x:c r="O622" s="3" t="inlineStr">
        <x:is>
          <x:t>27 abr. 2023</x:t>
        </x:is>
      </x:c>
      <x:c r="P622" s="3" t="inlineStr">
        <x:is>
          <x:t/>
        </x:is>
      </x:c>
      <x:c r="Q622" s="3" t="inlineStr">
        <x:is>
          <x:t/>
        </x:is>
      </x:c>
    </x:row>
    <x:row r="623">
      <x:c r="A623" s="10" t="inlineStr">
        <x:f xml:space="preserve">HYPERLINK("http://sipi.sic.gov.co/sipi/View.ashx?4473604","SD2022/0122448")</x:f>
      </x:c>
      <x:c r="B623" s="3" t="inlineStr">
        <x:is>
          <x:t>RAH UNIVERSE</x:t>
        </x:is>
      </x:c>
      <x:c r="C623" s="9" t="inlineStr">
        <x:is>
          <x:t/>
        </x:is>
      </x:c>
      <x:c r="D623" s="3" t="inlineStr">
        <x:is>
          <x:t>26 nov. 2022</x:t>
        </x:is>
      </x:c>
      <x:c r="E623" s="3" t="inlineStr">
        <x:is>
          <x:t/>
        </x:is>
      </x:c>
      <x:c r="F623" s="3" t="inlineStr">
        <x:is>
          <x:t>Negada</x:t>
        </x:is>
      </x:c>
      <x:c r="G623" s="3" t="inlineStr">
        <x:is>
          <x:t/>
        </x:is>
      </x:c>
      <x:c r="H623" s="3" t="inlineStr">
        <x:is>
          <x:t>Rodrigo Bernal Roa, calle 131B #95B 15 Gloria Lara II etapa, BOGOTÁ, D.C., CO</x:t>
        </x:is>
      </x:c>
      <x:c r="I623" s="3" t="inlineStr">
        <x:is>
          <x:t>3, 25</x:t>
        </x:is>
      </x:c>
      <x:c r="J623" s="3" t="inlineStr">
        <x:is>
          <x:t>11</x:t>
        </x:is>
      </x:c>
      <x:c r="K623" s="3" t="inlineStr">
        <x:is>
          <x:t>3. Champús capilares; champús y acondicionadores; perfumes; cremas y lociones cosméticas para el cuidado de la cara y el cuerpo; lociones cosméticas para el rostro; lociones cosméticas para la piel; jabones cosméticos; esencia de citronela [aceite esencial]; esencia de eucalipto [aceite esencial]; esencia de gaulteria [aceite esencial]; esencia de helicriso [aceite esencial]; esencia de hierba limón [aceite esencial]; esencia de hierbabuena [aceite esencial]; esencia de lavanda [aceite esencial]; crema corporal; cremas faciales; hidratantes faciales de uso cosmético.
25. Camisetas; sudaderas; tops [ropa]; camisas deportivas; leggings en cuanto pantalones; pantalones; gorros; gorras; zapatos; sombreros; vestidos de baño; ropa interior; vestidos; vestidos para mujeres; chaquetas; abrigos; camisas de vestir; camisas*; blusas; pantalones cortos; pijamas; trajes de chaqueta y pantalón; trajes de hombre; faldas; gabardinas; prendas de vestir para bebés y niños pequeños; prendas de vestir para niños; jean cortos; vestidos de jean; pantalones de mujer; pantalones vaqueros; kimonos; polos; medias*; calcetines*; chalecos; corbatas; monos; petos; bufandas, enterizos, overoles, jeans de hombre, mujer y niño.
</x:t>
        </x:is>
      </x:c>
      <x:c r="L623" s="3" t="inlineStr">
        <x:is>
          <x:t>No</x:t>
        </x:is>
      </x:c>
      <x:c r="M623" s="3" t="inlineStr">
        <x:is>
          <x:t/>
        </x:is>
      </x:c>
      <x:c r="N623" s="3" t="inlineStr">
        <x:is>
          <x:t/>
        </x:is>
      </x:c>
      <x:c r="O623" s="3" t="inlineStr">
        <x:is>
          <x:t>16 feb. 2023</x:t>
        </x:is>
      </x:c>
      <x:c r="P623" s="3" t="inlineStr">
        <x:is>
          <x:t/>
        </x:is>
      </x:c>
      <x:c r="Q623" s="3" t="inlineStr">
        <x:is>
          <x:t/>
        </x:is>
      </x:c>
    </x:row>
    <x:row r="624">
      <x:c r="A624" s="10" t="inlineStr">
        <x:f xml:space="preserve">HYPERLINK("http://sipi.sic.gov.co/sipi/View.ashx?4474359","SD2022/0122555")</x:f>
      </x:c>
      <x:c r="B624" s="3" t="inlineStr">
        <x:is>
          <x:t>SMUK VEL</x:t>
        </x:is>
      </x:c>
      <x:c r="C624" s="9" t="inlineStr">
        <x:is>
          <x:t/>
        </x:is>
      </x:c>
      <x:c r="D624" s="3" t="inlineStr">
        <x:is>
          <x:t>28 nov. 2022</x:t>
        </x:is>
      </x:c>
      <x:c r="E624" s="3" t="inlineStr">
        <x:is>
          <x:t/>
        </x:is>
      </x:c>
      <x:c r="F624" s="3" t="inlineStr">
        <x:is>
          <x:t>Negada</x:t>
        </x:is>
      </x:c>
      <x:c r="G624" s="3" t="inlineStr">
        <x:is>
          <x:t>SMUKVEL</x:t>
        </x:is>
      </x:c>
      <x:c r="H624" s="3" t="inlineStr">
        <x:is>
          <x:t>STEFANIA VILLA MORALES, Carrera 9 Bis No 31 - 29, PEREIRA, RISARALDA, CO</x:t>
        </x:is>
      </x:c>
      <x:c r="I624" s="3" t="inlineStr">
        <x:is>
          <x:t>3</x:t>
        </x:is>
      </x:c>
      <x:c r="J624" s="3" t="inlineStr">
        <x:is>
          <x:t>11</x:t>
        </x:is>
      </x:c>
      <x:c r="K624" s="3" t="inlineStr">
        <x:is>
          <x:t>3. Aceites bronceadores [cosméticos];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apitoxina [veneno de abeja melífera] con fines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tonificantes [cosméticos]; cremas y geles cosméticos para cara, manos y cuerpo; cremas y geles cosméticos para rostro, manos y cuerpo; cremas, leches, lociones, geles y polvos cosméticos para la cara, el cuerpo y las manos; endurecedores de uñas [cosméticos]; esmaltes de base para las uñas [productos cosméticos]; exfoliantes corporales cosméticos; filtro solar [cosméticos]; geles bronceadores [cosméticos]; geles corporales y faciales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leches bronceadoras [cosméticos]; leches para después del sol [productos cosméticos];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autobronceadoras [cosméticos]; lociones faciales [cosméticos]; lociones hidratantes [cosméticos]; lociones hidratantes para el cuerpo [cosméticos]; lociones hidratantes para la piel [cosméticos]; lociones no medicinales para el cuidado de la piel [cosméticos]; lociones para el cuidado de la piel [cosméticos]; lociones para la piel [productos cosméticos]; maquillaje [cosméticos]; mascarillas faciales [productos cosméticos]; mascarillas para el cutis [cosméticos]; mascarillas para la piel [cosméticos]; papel secante anti-brillo [cosméticos]; papel secante facial [cosméticos]; parches cosméticos con filtro y pantalla solar para aplicar sobre la piel; parches de gel para los ojos con fines cosméticos; pañitos cosméticos prehumedecidos; perfumería para cosméticos; polvos compactos para polveras [cosméticos]; polvos cosméticos; polvos faciales [cosméticos]; polvos faciales cosméticos; polvos faciales cosméticos de color blanco; preparaciones autobronceadoras [cosméticos]; preparaciones blanqueadoras para la piel [productos cosméticos]; preparaciones de cuidado facial [cosméticos]; preparaciones de protección solar [productos cosméticos]; preparaciones faciales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de revestimiento para esculpir uñas [productos cosméticos]; productos y preparaciones cosméticos para el cuidado de la piel; protectores solares para los labios [productos cosméticos]; quitaesmalte para uñas [cosméticos]; quitaesmaltes de uñas [cosméticos]; tatuajes temporales con fines cosméticos; tintes cosméticos; tintes de labios [cosméticos]; tintes labiales [cosméticos]; tintes labiales [productos cosméticos]; tintes para los labios [productos cosméticos]; tiras blanqueadoras de dientes impregnadas con preparaciones blanqueadoras [cosméticos]; toallas de papel para las manos impregnadas de cosméticos; toallas de papel para las manos impregnadas de productos cosméticos; toallitas desechables impregnadas con preparados cosméticos para bebés; toallitas impregnadas con preparados cosméticos; toallitas impregnadas de productos cosméticos; tónicos cosméticos; tónicos cosméticos para el rostro; tónicos cosméticos para la cara; tónicos faciales [cosméticos]; veneno de abeja con fines cosméticos; aceites de tocador; aceites para bebés [productos de tocador]; agua de tocador que contiene aceite de serpiente; aguas de tocador; aguas de tocador perfumadas; aguas de tocador y aguas de colonia; aguas de tocador y colonias; almohadillas limpiadoras impregnadas de preparaciones de tocador; colorantes de tocador; esponjas impregnadas con artículos de tocador; esponjas impregnadas con productos de tocador; esponjas impregnadas con productos de tocador no medicinales; espumas para el cabello [productos de tocador]; espumas para el peinado del cabello [productos de tocador]; jabones de tocador; jabones de tocador no medicinales; jabones de tocador perfumados; leches limpiadoras de tocador; lociones para bebés [productos de tocador]; lociones perfumadas [preparaciones de tocador]; pañitos de limpieza impregnados con preparaciones de tocador; perfumes y aguas de tocador; polvos para bebés [productos de tocador]; preparaciones de higiene en cuanto productos de tocador; preparaciones de tocador no medicinales; preparaciones de tocador*; preparaciones higiénicas en cuanto productos de tocador no medicinales; preparaciones sanitarias en cuanto productos de tocador no medicinales; productos antitranspirantes [artículos de tocador]; productos de tocador no medicinales; talco de tocador; talco para bebés [productos de tocador]; tintes de tocador; aceites esenciales en cuanto perfumes de lavandería; aceites para perfumes y fragancias; bases para perfumes de flores; difusores de perfumes de ambiente con varillas; espráis utilizados como desodorantes y perfumes corporales; extractos de flores en cuanto perfumes; perfumes; perfumes líquidos; perfumes para uso industrial; perfumes sólidos; perfumes y aguas de colonia; perfumes y colonias; perfumes, aguas de colonia y productos para después del afeitado; preparaciones ambientadoras (perfumes); productos de fumigación [perfumes]; productos de perfumería, fragancias e incienso que no sean perfumes para uso personal; recambios de perfumes para difusores de aceites esenciales enchufables; recambios de perfumes para difusores electrónicos de aceites esenciales; colonias para después del afeitado.
</x:t>
        </x:is>
      </x:c>
      <x:c r="L624" s="3" t="inlineStr">
        <x:is>
          <x:t>No</x:t>
        </x:is>
      </x:c>
      <x:c r="M624" s="3" t="inlineStr">
        <x:is>
          <x:t/>
        </x:is>
      </x:c>
      <x:c r="N624" s="3" t="inlineStr">
        <x:is>
          <x:t/>
        </x:is>
      </x:c>
      <x:c r="O624" s="3" t="inlineStr">
        <x:is>
          <x:t>27 feb. 2023</x:t>
        </x:is>
      </x:c>
      <x:c r="P624" s="3" t="inlineStr">
        <x:is>
          <x:t/>
        </x:is>
      </x:c>
      <x:c r="Q624" s="3" t="inlineStr">
        <x:is>
          <x:t/>
        </x:is>
      </x:c>
    </x:row>
    <x:row r="625">
      <x:c r="A625" s="10" t="inlineStr">
        <x:f xml:space="preserve">HYPERLINK("http://sipi.sic.gov.co/sipi/View.ashx?4474579","SD2022/0122597")</x:f>
      </x:c>
      <x:c r="B625" s="3" t="inlineStr">
        <x:is>
          <x:t>Minoxidil Ultra</x:t>
        </x:is>
      </x:c>
      <x:c r="C625" s="3" t="inlineStr">
        <x:is>
          <x:t/>
        </x:is>
      </x:c>
      <x:c r="D625" s="3" t="inlineStr">
        <x:is>
          <x:t>28 nov. 2022</x:t>
        </x:is>
      </x:c>
      <x:c r="E625" s="3" t="inlineStr">
        <x:is>
          <x:t/>
        </x:is>
      </x:c>
      <x:c r="F625" s="3" t="inlineStr">
        <x:is>
          <x:t>Negada</x:t>
        </x:is>
      </x:c>
      <x:c r="G625" s="3" t="inlineStr">
        <x:is>
          <x:t>Minoxidil Ultra</x:t>
        </x:is>
      </x:c>
      <x:c r="H625" s="3" t="inlineStr">
        <x:is>
          <x:t> AIPHEX GLOBALPHARMA S.A.S , carrera 57 67a-86, BOGOTA, CUNDINAMARCA, CO</x:t>
        </x:is>
      </x:c>
      <x:c r="I625" s="3" t="inlineStr">
        <x:is>
          <x:t>3</x:t>
        </x:is>
      </x:c>
      <x:c r="J625" s="3" t="inlineStr">
        <x:is>
          <x:t>11</x:t>
        </x:is>
      </x:c>
      <x:c r="K625" s="3" t="inlineStr">
        <x:is>
          <x:t>3. Abrillantadores capilares; adhesivos para postizos capilares; bálsamos capilares; bálsamos capilares no medicinales; champús capilares; cremas capilares; decolorantes capilares; fijadores capilares; geles capilares; lociones capilares cosméticas; lociones capilares no medicinales; lociones capilares reparadoras no medicamentosas; lociones capilares reparadoras no medicinales; lociones capilares*;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tratamientos para permanentes capilares.
</x:t>
        </x:is>
      </x:c>
      <x:c r="L625" s="3" t="inlineStr">
        <x:is>
          <x:t>Sí</x:t>
        </x:is>
      </x:c>
      <x:c r="M625" s="3" t="inlineStr">
        <x:is>
          <x:t>YEISON FABIAN BENITEZ MENJURA, CR 57 NO. 67 A 86, BOGOTÁ, D.C. 111611, CO</x:t>
        </x:is>
      </x:c>
      <x:c r="N625" s="3" t="inlineStr">
        <x:is>
          <x:t/>
        </x:is>
      </x:c>
      <x:c r="O625" s="3" t="inlineStr">
        <x:is>
          <x:t>09 dic. 2022</x:t>
        </x:is>
      </x:c>
      <x:c r="P625" s="3" t="inlineStr">
        <x:is>
          <x:t/>
        </x:is>
      </x:c>
      <x:c r="Q625" s="3" t="inlineStr">
        <x:is>
          <x:t/>
        </x:is>
      </x:c>
    </x:row>
    <x:row r="626">
      <x:c r="A626" s="10" t="inlineStr">
        <x:f xml:space="preserve">HYPERLINK("http://sipi.sic.gov.co/sipi/View.ashx?4474581","SD2022/0122596")</x:f>
      </x:c>
      <x:c r="B626" s="3" t="inlineStr">
        <x:is>
          <x:t>MOVILIUM</x:t>
        </x:is>
      </x:c>
      <x:c r="C626" s="3" t="inlineStr">
        <x:is>
          <x:t/>
        </x:is>
      </x:c>
      <x:c r="D626" s="3" t="inlineStr">
        <x:is>
          <x:t>28 nov. 2022</x:t>
        </x:is>
      </x:c>
      <x:c r="E626" s="3" t="inlineStr">
        <x:is>
          <x:t/>
        </x:is>
      </x:c>
      <x:c r="F626" s="3" t="inlineStr">
        <x:is>
          <x:t>Negada</x:t>
        </x:is>
      </x:c>
      <x:c r="G626" s="3" t="inlineStr">
        <x:is>
          <x:t>Registro MOVILIUM</x:t>
        </x:is>
      </x:c>
      <x:c r="H626" s="3" t="inlineStr">
        <x:is>
          <x:t> LABORATORIOS SIEGFRIED S.A.S., CALLE 17 No. 42-09, BOGOTÁ, D.C., CO</x:t>
        </x:is>
      </x:c>
      <x:c r="I626" s="3" t="inlineStr">
        <x:is>
          <x:t>3, 5</x:t>
        </x:is>
      </x:c>
      <x:c r="J626" s="3" t="inlineStr">
        <x:is>
          <x:t>11</x:t>
        </x:is>
      </x:c>
      <x:c r="K626" s="3" t="inlineStr">
        <x:is>
          <x:t>3. Productos Cosméticos.
5. Digestivo para uso farmacéutico y laxante.
</x:t>
        </x:is>
      </x:c>
      <x:c r="L626" s="3" t="inlineStr">
        <x:is>
          <x:t>No</x:t>
        </x:is>
      </x:c>
      <x:c r="M626" s="3" t="inlineStr">
        <x:is>
          <x:t>JUAN PABLO REYES VILLAMIZAR, CARRERA 17 NO. 88-23 OFICINA 205, BOGOTÁ, D.C., CO</x:t>
        </x:is>
      </x:c>
      <x:c r="N626" s="3" t="inlineStr">
        <x:is>
          <x:t/>
        </x:is>
      </x:c>
      <x:c r="O626" s="3" t="inlineStr">
        <x:is>
          <x:t>27 feb. 2023</x:t>
        </x:is>
      </x:c>
      <x:c r="P626" s="3" t="inlineStr">
        <x:is>
          <x:t/>
        </x:is>
      </x:c>
      <x:c r="Q626" s="3" t="inlineStr">
        <x:is>
          <x:t/>
        </x:is>
      </x:c>
    </x:row>
    <x:row r="627">
      <x:c r="A627" s="10" t="inlineStr">
        <x:f xml:space="preserve">HYPERLINK("http://sipi.sic.gov.co/sipi/View.ashx?4474867","SD2022/0122687")</x:f>
      </x:c>
      <x:c r="B627" s="3" t="inlineStr">
        <x:is>
          <x:t>JAMAL</x:t>
        </x:is>
      </x:c>
      <x:c r="C627" s="9" t="inlineStr">
        <x:is>
          <x:t/>
        </x:is>
      </x:c>
      <x:c r="D627" s="3" t="inlineStr">
        <x:is>
          <x:t>28 nov. 2022</x:t>
        </x:is>
      </x:c>
      <x:c r="E627" s="3" t="inlineStr">
        <x:is>
          <x:t/>
        </x:is>
      </x:c>
      <x:c r="F627" s="3" t="inlineStr">
        <x:is>
          <x:t>Negada</x:t>
        </x:is>
      </x:c>
      <x:c r="G627" s="3" t="inlineStr">
        <x:is>
          <x:t>JAMAL</x:t>
        </x:is>
      </x:c>
      <x:c r="H627" s="3" t="inlineStr">
        <x:is>
          <x:t>Alejandra  Calderón Chaverra, Calle 38 #48-36 , TULUA, VALLE DEL CAUCA, CO</x:t>
        </x:is>
      </x:c>
      <x:c r="I627" s="3" t="inlineStr">
        <x:is>
          <x:t>3</x:t>
        </x:is>
      </x:c>
      <x:c r="J627" s="3" t="inlineStr">
        <x:is>
          <x:t>11</x:t>
        </x:is>
      </x:c>
      <x:c r="K627" s="3" t="inlineStr">
        <x:is>
          <x:t>3. Preparaciones para blanquear y otras sustancias para lavar la ropa; jabones no medicinales; productos de perfumería, aceites esenciales, cosméticos no medicinales, lociones capilares no medicinales; dentífricos no medicinales; aceites faciales; cremas faciales; exfoliantes faciales; hidratantes faciales; jabones faciales; limpiadores faciales; mascarillas faciales; sueros faciales; tónicos faciales.
</x:t>
        </x:is>
      </x:c>
      <x:c r="L627" s="3" t="inlineStr">
        <x:is>
          <x:t>No</x:t>
        </x:is>
      </x:c>
      <x:c r="M627" s="3" t="inlineStr">
        <x:is>
          <x:t/>
        </x:is>
      </x:c>
      <x:c r="N627" s="3" t="inlineStr">
        <x:is>
          <x:t/>
        </x:is>
      </x:c>
      <x:c r="O627" s="3" t="inlineStr">
        <x:is>
          <x:t>30 dic. 2022</x:t>
        </x:is>
      </x:c>
      <x:c r="P627" s="3" t="inlineStr">
        <x:is>
          <x:t/>
        </x:is>
      </x:c>
      <x:c r="Q627" s="3" t="inlineStr">
        <x:is>
          <x:t/>
        </x:is>
      </x:c>
    </x:row>
    <x:row r="628">
      <x:c r="A628" s="10" t="inlineStr">
        <x:f xml:space="preserve">HYPERLINK("http://sipi.sic.gov.co/sipi/View.ashx?4474869","SD2022/0122685")</x:f>
      </x:c>
      <x:c r="B628" s="3" t="inlineStr">
        <x:is>
          <x:t>PIEL NATURAL</x:t>
        </x:is>
      </x:c>
      <x:c r="C628" s="9" t="inlineStr">
        <x:is>
          <x:t/>
        </x:is>
      </x:c>
      <x:c r="D628" s="3" t="inlineStr">
        <x:is>
          <x:t>28 nov. 2022</x:t>
        </x:is>
      </x:c>
      <x:c r="E628" s="3" t="inlineStr">
        <x:is>
          <x:t/>
        </x:is>
      </x:c>
      <x:c r="F628" s="3" t="inlineStr">
        <x:is>
          <x:t>Negada</x:t>
        </x:is>
      </x:c>
      <x:c r="G628" s="3" t="inlineStr">
        <x:is>
          <x:t>901528335</x:t>
        </x:is>
      </x:c>
      <x:c r="H628" s="3" t="inlineStr">
        <x:is>
          <x:t> M&amp;M PIEL NATURAL SAS, calle 49sur 45a 300 oficina 1112, ENVIGADO, ANTIOQUIA, CO</x:t>
        </x:is>
      </x:c>
      <x:c r="I628" s="3" t="inlineStr">
        <x:is>
          <x:t>3</x:t>
        </x:is>
      </x:c>
      <x:c r="J628" s="3" t="inlineStr">
        <x:is>
          <x:t>11</x:t>
        </x:is>
      </x:c>
      <x:c r="K628" s="3" t="inlineStr">
        <x:is>
          <x:t>3. Espumas limpiadoras para la piel; preparaciones cosméticas para el cuidado de la piel; limpiadores de la piel; preparaciones para el cuidado de la piel; preparados cosméticos para el tratamiento de la piel; productos cosméticos para la piel; productos para el cuidado de la piel cosméticos.
</x:t>
        </x:is>
      </x:c>
      <x:c r="L628" s="3" t="inlineStr">
        <x:is>
          <x:t>No</x:t>
        </x:is>
      </x:c>
      <x:c r="M628" s="3" t="inlineStr">
        <x:is>
          <x:t>LUISA FERNANDA YEPES GOMEZ, calle 49sur 45a 300 oficina 1112, ENVIGADO, ANTIOQUIA, CO</x:t>
        </x:is>
      </x:c>
      <x:c r="N628" s="3" t="inlineStr">
        <x:is>
          <x:t/>
        </x:is>
      </x:c>
      <x:c r="O628" s="3" t="inlineStr">
        <x:is>
          <x:t>30 dic. 2022</x:t>
        </x:is>
      </x:c>
      <x:c r="P628" s="3" t="inlineStr">
        <x:is>
          <x:t/>
        </x:is>
      </x:c>
      <x:c r="Q628" s="3" t="inlineStr">
        <x:is>
          <x:t/>
        </x:is>
      </x:c>
    </x:row>
    <x:row r="629">
      <x:c r="A629" s="10" t="inlineStr">
        <x:f xml:space="preserve">HYPERLINK("http://sipi.sic.gov.co/sipi/View.ashx?4475697","SD2022/0122967")</x:f>
      </x:c>
      <x:c r="B629" s="3" t="inlineStr">
        <x:is>
          <x:t>ZioNO3</x:t>
        </x:is>
      </x:c>
      <x:c r="C629" s="9" t="inlineStr">
        <x:is>
          <x:t/>
        </x:is>
      </x:c>
      <x:c r="D629" s="3" t="inlineStr">
        <x:is>
          <x:t>28 nov. 2022</x:t>
        </x:is>
      </x:c>
      <x:c r="E629" s="3" t="inlineStr">
        <x:is>
          <x:t/>
        </x:is>
      </x:c>
      <x:c r="F629" s="3" t="inlineStr">
        <x:is>
          <x:t>Negada</x:t>
        </x:is>
      </x:c>
      <x:c r="G629" s="3" t="inlineStr">
        <x:is>
          <x:t>ZioNO3</x:t>
        </x:is>
      </x:c>
      <x:c r="H629" s="3" t="inlineStr">
        <x:is>
          <x:t>Daniel Camilo  Guerrero Gutiérrez, Cll 144 # 7f - 11 Casa 77, BOGOTÁ, D.C., CO</x:t>
        </x:is>
      </x:c>
      <x:c r="I629" s="3" t="inlineStr">
        <x:is>
          <x:t>3</x:t>
        </x:is>
      </x:c>
      <x:c r="J629" s="3" t="inlineStr">
        <x:is>
          <x:t>11</x:t>
        </x:is>
      </x:c>
      <x:c r="K62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aceites para uso cosmético, cremas cosméticas, jabones con plata coloidal; aceites ozonizados, agua cosmética con plata coloidal, crema con plata coloidal, enjuague bucal.
</x:t>
        </x:is>
      </x:c>
      <x:c r="L629" s="3" t="inlineStr">
        <x:is>
          <x:t>No</x:t>
        </x:is>
      </x:c>
      <x:c r="M629" s="3" t="inlineStr">
        <x:is>
          <x:t>MARIANA CASTILLO PINZON, CALLE 70 A NO. 4-78, BOGOTÁ, D.C., CO</x:t>
        </x:is>
      </x:c>
      <x:c r="N629" s="3" t="inlineStr">
        <x:is>
          <x:t/>
        </x:is>
      </x:c>
      <x:c r="O629" s="3" t="inlineStr">
        <x:is>
          <x:t>27 abr. 2023</x:t>
        </x:is>
      </x:c>
      <x:c r="P629" s="3" t="inlineStr">
        <x:is>
          <x:t/>
        </x:is>
      </x:c>
      <x:c r="Q629" s="3" t="inlineStr">
        <x:is>
          <x:t/>
        </x:is>
      </x:c>
    </x:row>
    <x:row r="630">
      <x:c r="A630" s="10" t="inlineStr">
        <x:f xml:space="preserve">HYPERLINK("http://sipi.sic.gov.co/sipi/View.ashx?4475988","SD2022/0123000")</x:f>
      </x:c>
      <x:c r="B630" s="3" t="inlineStr">
        <x:is>
          <x:t>BEGO PERFUMES &amp; FRAGANCIAS</x:t>
        </x:is>
      </x:c>
      <x:c r="C630" s="9" t="inlineStr">
        <x:is>
          <x:t/>
        </x:is>
      </x:c>
      <x:c r="D630" s="3" t="inlineStr">
        <x:is>
          <x:t>28 nov. 2022</x:t>
        </x:is>
      </x:c>
      <x:c r="E630" s="3" t="inlineStr">
        <x:is>
          <x:t/>
        </x:is>
      </x:c>
      <x:c r="F630" s="3" t="inlineStr">
        <x:is>
          <x:t>Negada</x:t>
        </x:is>
      </x:c>
      <x:c r="G630" s="3" t="inlineStr">
        <x:is>
          <x:t>BEGO</x:t>
        </x:is>
      </x:c>
      <x:c r="H630" s="3" t="inlineStr">
        <x:is>
          <x:t>ANDRES FELIPE GONZALEZ ARDILA, cra 21 No. 19-46, barrio la mutualidad, BUCARAMANGA, SANTANDER 680002, CO</x:t>
        </x:is>
      </x:c>
      <x:c r="I630" s="3" t="inlineStr">
        <x:is>
          <x:t>3</x:t>
        </x:is>
      </x:c>
      <x:c r="J630" s="3" t="inlineStr">
        <x:is>
          <x:t>11</x:t>
        </x:is>
      </x:c>
      <x:c r="K630" s="3" t="inlineStr">
        <x:is>
          <x:t>3. Aceite de menta [perfumería]; aceites de perfumería; aceites esenciales en cuanto perfumes de lavandería; aceites para perfumes y fragancias; agua de perfume; almizcle [producto de perfumería]; bases para perfumes de flores; colonias, perfumes y productos cosméticos; desodorantes corporales [perfumería]; desodorantes corporales [productos de perfumería]; desodorantes para personas o animales [productos de perfumería]; desodorantes para uso personal [perfumería]; difusores de perfumes de ambiente con varillas; eau de parfum [agua de perfume]; espráis utilizados como desodorantes y perfumes corporales; extractos de flores [productos de perfumería]; extractos de flores en cuanto perfumes; extractos de flores en cuanto productos de perfumería; fragancias y productos de perfumería; iononas [productos de perfumería]; menta para perfumería; mezclas de perfumería; perfumería para cosméticos; perfumería y fragancias; perfumes; perfumes líquidos; perfumes y aguas de colonia; perfumes y aguas de tocador; perfumes y colonias; perfumes, aguas de colonia y productos para después del afeitado; preparaciones ambientadoras (perfumes); productos de fumigación [perfumes]; productos de perfumería; productos de perfumería con aroma a vainilla; productos de perfumería de cedro; productos de perfumería y productos de fragancias; productos de perfumería, aceites esenciales.
</x:t>
        </x:is>
      </x:c>
      <x:c r="L630" s="3" t="inlineStr">
        <x:is>
          <x:t>Sí</x:t>
        </x:is>
      </x:c>
      <x:c r="M630" s="3" t="inlineStr">
        <x:is>
          <x:t>JOSIP ALBERTO VILLAMIZAR PINZON, DIAGONAL 20 #99-22, BUCARAMANGA, SANTANDER, CO</x:t>
        </x:is>
      </x:c>
      <x:c r="N630" s="3" t="inlineStr">
        <x:is>
          <x:t/>
        </x:is>
      </x:c>
      <x:c r="O630" s="3" t="inlineStr">
        <x:is>
          <x:t>16 ene. 2023</x:t>
        </x:is>
      </x:c>
      <x:c r="P630" s="3" t="inlineStr">
        <x:is>
          <x:t/>
        </x:is>
      </x:c>
      <x:c r="Q630" s="3" t="inlineStr">
        <x:is>
          <x:t/>
        </x:is>
      </x:c>
    </x:row>
    <x:row r="631">
      <x:c r="A631" s="10" t="inlineStr">
        <x:f xml:space="preserve">HYPERLINK("http://sipi.sic.gov.co/sipi/View.ashx?4476484","SD2022/0129459")</x:f>
      </x:c>
      <x:c r="B631" s="3" t="inlineStr">
        <x:is>
          <x:t>Nine</x:t>
        </x:is>
      </x:c>
      <x:c r="C631" s="9" t="inlineStr">
        <x:is>
          <x:t/>
        </x:is>
      </x:c>
      <x:c r="D631" s="3" t="inlineStr">
        <x:is>
          <x:t>13 dic. 2022</x:t>
        </x:is>
      </x:c>
      <x:c r="E631" s="3" t="inlineStr">
        <x:is>
          <x:t/>
        </x:is>
      </x:c>
      <x:c r="F631" s="3" t="inlineStr">
        <x:is>
          <x:t>Negada</x:t>
        </x:is>
      </x:c>
      <x:c r="G631" s="3" t="inlineStr">
        <x:is>
          <x:t>NINE SKIN</x:t>
        </x:is>
      </x:c>
      <x:c r="H631" s="3" t="inlineStr">
        <x:is>
          <x:t>NICOLE BETANCUR GOMEZ, Carrera 45 #25-37 cuarto piso, MEDELLIN, ANTIOQUIA, CO</x:t>
        </x:is>
      </x:c>
      <x:c r="I631" s="3" t="inlineStr">
        <x:is>
          <x:t>3, 25</x:t>
        </x:is>
      </x:c>
      <x:c r="J631" s="3" t="inlineStr">
        <x:is>
          <x:t>11</x:t>
        </x:is>
      </x:c>
      <x:c r="K631" s="3" t="inlineStr">
        <x:is>
          <x:t>3. Brillos de labios; brillos faciales; brillos faciales y corporales; kits de maquillaje que consisten principalmente en bases de maquillaje, rímeles, coloretes, brillos de labios y lápices de labios [sin incluir pinceles ni esponjas]; polvos de brillo para uso cosmético; bálsamos [cremas] para disimular las imperfecciones de la piel; cremas antiarrugas; cremas antiarrugas para uso cosmético; cremas antienvejecimiento; cremas antienvejecimiento para uso cosmético; cremas autobronceadoras; cremas bálsamos de belleza; cremas con filtro solar; cremas con filtro solar para uso cosmético; cremas con vitamina a para uso cosmético; cremas corporales; cremas cosméticas; cremas cosméticas a base de extractos de plantas; cremas cosméticas para el cuidado de la piel; cremas cosméticas para el rostro; cremas cosméticas para el tratamiento de los labios; cremas cosméticas para la piel; cremas cosméticas para pieles secas; cremas cosméticas para reafirmar la piel; cremas de belleza para el rostro y el cuerpo; cremas de hidratación intensiva; cremas de protección solar; cremas desmaquillantes; cremas faciales; cremas faciales para uso cosmético; cremas limpiadoras para la piel; cremas limpiadoras para uso cosmético; cremas multiactivas para el contorno de los ojos; cremas no medicadas para aliviar la piel; cremas no medicadas para hidratar la piel; cremas no medicadas para suavizar la piel; cremas no medicinales para aclarar la piel; cremas y geles cosméticos para cara, manos y cuerpo; cremas y lociones cosméticas; cremas, leches, lociones, geles y polvos cosméticos para la cara, el cuerpo y las manos; bases de maquillaje para la piel; correctores para disimular manchas e imperfecciones de la piel; emulsiones, geles y lociones para el cuidado de la piel; hidratantes para la piel; lociones cosméticas para la piel; mascarillas para la piel; mascarillas para la piel [cosméticos]; preparaciones cosméticas para el cuidado de la piel; preparaciones cosméticas para el tratamiento de la piel; productos cosméticos para el cuidado de la piel; productos cosméticos para la piel; productos para refrescar la piel; productos y preparaciones cosméticos para el cuidado de la piel; productos y preparaciones no medicinales para el cuidado de la piel; sueros no medicinales para la piel.
25. Ajustadores [ropa interior]; bodis [ropa interior]; bragas con abertura [ropa interior]; calzones [ropa interior]; combinaciones [ropa interior]; corpiños [ropa interior]; corsés [ropa interior]; fajas [ropa interior]; ropa interior; ropa interior de mujer; ropa interior femenina.
</x:t>
        </x:is>
      </x:c>
      <x:c r="L631" s="3" t="inlineStr">
        <x:is>
          <x:t>No</x:t>
        </x:is>
      </x:c>
      <x:c r="M631" s="3" t="inlineStr">
        <x:is>
          <x:t/>
        </x:is>
      </x:c>
      <x:c r="N631" s="3" t="inlineStr">
        <x:is>
          <x:t/>
        </x:is>
      </x:c>
      <x:c r="O631" s="3" t="inlineStr">
        <x:is>
          <x:t>07 mar. 2023</x:t>
        </x:is>
      </x:c>
      <x:c r="P631" s="3" t="inlineStr">
        <x:is>
          <x:t/>
        </x:is>
      </x:c>
      <x:c r="Q631" s="3" t="inlineStr">
        <x:is>
          <x:t/>
        </x:is>
      </x:c>
    </x:row>
    <x:row r="632">
      <x:c r="A632" s="10" t="inlineStr">
        <x:f xml:space="preserve">HYPERLINK("http://sipi.sic.gov.co/sipi/View.ashx?4476997","SD2022/0123180")</x:f>
      </x:c>
      <x:c r="B632" s="3" t="inlineStr">
        <x:is>
          <x:t>Kristen Leanne</x:t>
        </x:is>
      </x:c>
      <x:c r="C632" s="9" t="inlineStr">
        <x:is>
          <x:t/>
        </x:is>
      </x:c>
      <x:c r="D632" s="3" t="inlineStr">
        <x:is>
          <x:t>29 nov. 2022</x:t>
        </x:is>
      </x:c>
      <x:c r="E632" s="3" t="inlineStr">
        <x:is>
          <x:t/>
        </x:is>
      </x:c>
      <x:c r="F632" s="3" t="inlineStr">
        <x:is>
          <x:t>Negada</x:t>
        </x:is>
      </x:c>
      <x:c r="G632" s="3" t="inlineStr">
        <x:is>
          <x:t>AIIPY - SMTIP</x:t>
        </x:is>
      </x:c>
      <x:c r="H632" s="3" t="inlineStr">
        <x:is>
          <x:t> YIWU MEIQI COSMETICS CO., LTD, 3rd Floor,Unit 1, Building 79,Wuai New Village,Wuai Community,Jiangdong Street,Yiwu City,Zhejiang Province,322000 China, YIWU CITY, ZHEJIANG, CN</x:t>
        </x:is>
      </x:c>
      <x:c r="I632" s="3" t="inlineStr">
        <x:is>
          <x:t>3</x:t>
        </x:is>
      </x:c>
      <x:c r="J632" s="3" t="inlineStr">
        <x:is>
          <x:t>11</x:t>
        </x:is>
      </x:c>
      <x:c r="K632" s="3" t="inlineStr">
        <x:is>
          <x:t>3. Perfumes; esmaltes de uñas; polvos de maquillaje; productos para perfumar el ambiente; leches limpiadoras de tocador; lápices de labios [pintalabios]; cosméticos; lápices para uso cosmético; aceites esenciales; pastas de dientes.
</x:t>
        </x:is>
      </x:c>
      <x:c r="L632" s="3" t="inlineStr">
        <x:is>
          <x:t>No</x:t>
        </x:is>
      </x:c>
      <x:c r="M632" s="3" t="inlineStr">
        <x:is>
          <x:t>CLEMENCIA DELGADO VILLEGAS, Avenida Carrera  24 # 37-31 Oficina 202, BOGOTÁ, D.C., CO</x:t>
        </x:is>
      </x:c>
      <x:c r="N632" s="3" t="inlineStr">
        <x:is>
          <x:t/>
        </x:is>
      </x:c>
      <x:c r="O632" s="3" t="inlineStr">
        <x:is>
          <x:t>07 mar. 2023</x:t>
        </x:is>
      </x:c>
      <x:c r="P632" s="3" t="inlineStr">
        <x:is>
          <x:t/>
        </x:is>
      </x:c>
      <x:c r="Q632" s="3" t="inlineStr">
        <x:is>
          <x:t/>
        </x:is>
      </x:c>
    </x:row>
    <x:row r="633">
      <x:c r="A633" s="10" t="inlineStr">
        <x:f xml:space="preserve">HYPERLINK("http://sipi.sic.gov.co/sipi/View.ashx?4478229","SD2022/0123484")</x:f>
      </x:c>
      <x:c r="B633" s="3" t="inlineStr">
        <x:is>
          <x:t>OPOSI</x:t>
        </x:is>
      </x:c>
      <x:c r="C633" s="3" t="inlineStr">
        <x:is>
          <x:t/>
        </x:is>
      </x:c>
      <x:c r="D633" s="3" t="inlineStr">
        <x:is>
          <x:t>29 nov. 2022</x:t>
        </x:is>
      </x:c>
      <x:c r="E633" s="3" t="inlineStr">
        <x:is>
          <x:t/>
        </x:is>
      </x:c>
      <x:c r="F633" s="3" t="inlineStr">
        <x:is>
          <x:t>Negada</x:t>
        </x:is>
      </x:c>
      <x:c r="G633" s="3" t="inlineStr">
        <x:is>
          <x:t>Proceso de Registro de Marca OPOSI</x:t>
        </x:is>
      </x:c>
      <x:c r="H633" s="3" t="inlineStr">
        <x:is>
          <x:t>DUVAN ALEXANDER GIRALDO GÓMEZ, CARRERA 53 # 45-50 PISO 11. BODEGA 1109, MEDELLIN, ANTIOQUIA, CO</x:t>
        </x:is>
      </x:c>
      <x:c r="I633" s="3" t="inlineStr">
        <x:is>
          <x:t>3</x:t>
        </x:is>
      </x:c>
      <x:c r="J633" s="3" t="inlineStr">
        <x:is>
          <x:t>11</x:t>
        </x:is>
      </x:c>
      <x:c r="K633" s="3" t="inlineStr">
        <x:is>
          <x:t>3. Cosméticos; bases de maquillaje; bases de maquillaje cremosas; bases de maquillaje en crema; bases de maquillaje líquidas; fondo de maquillaje; kits de cosméticos que comprenden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maquillaje [cosméticos]; maquillaje para la cara; maquillaje para la cara y el cuerpo; maquillaje para la piel; maquillaje para los ojos; maquillajes de ojos; maquillajes faciales; polvos de maquillaje; productos cosméticos y de maquillaje; cremas cosméticas; cremas cosméticas nutritivas; cremas cosméticas para el cuidado de la piel; preparaciones cosméticas; fragancias y productos de perfumería; jabón de almendras; jabón líquido para el cuerpo.
</x:t>
        </x:is>
      </x:c>
      <x:c r="L633" s="3" t="inlineStr">
        <x:is>
          <x:t>No</x:t>
        </x:is>
      </x:c>
      <x:c r="M633" s="3" t="inlineStr">
        <x:is>
          <x:t>RODRIGO  VANEGAS GAVIRIA, CALLE 52 # 47-28 OF.329, MEDELLIN, ANTIOQUIA 050001, CO</x:t>
        </x:is>
      </x:c>
      <x:c r="N633" s="3" t="inlineStr">
        <x:is>
          <x:t/>
        </x:is>
      </x:c>
      <x:c r="O633" s="3" t="inlineStr">
        <x:is>
          <x:t>16 feb. 2023</x:t>
        </x:is>
      </x:c>
      <x:c r="P633" s="3" t="inlineStr">
        <x:is>
          <x:t/>
        </x:is>
      </x:c>
      <x:c r="Q633" s="3" t="inlineStr">
        <x:is>
          <x:t/>
        </x:is>
      </x:c>
    </x:row>
    <x:row r="634">
      <x:c r="A634" s="10" t="inlineStr">
        <x:f xml:space="preserve">HYPERLINK("http://sipi.sic.gov.co/sipi/View.ashx?4479101","SD2022/0123664")</x:f>
      </x:c>
      <x:c r="B634" s="3" t="inlineStr">
        <x:is>
          <x:t>Yerbatina</x:t>
        </x:is>
      </x:c>
      <x:c r="C634" s="9" t="inlineStr">
        <x:is>
          <x:t/>
        </x:is>
      </x:c>
      <x:c r="D634" s="3" t="inlineStr">
        <x:is>
          <x:t>30 nov. 2022</x:t>
        </x:is>
      </x:c>
      <x:c r="E634" s="3" t="inlineStr">
        <x:is>
          <x:t/>
        </x:is>
      </x:c>
      <x:c r="F634" s="3" t="inlineStr">
        <x:is>
          <x:t>Negada</x:t>
        </x:is>
      </x:c>
      <x:c r="G634" s="3" t="inlineStr">
        <x:is>
          <x:t>Yerbatina</x:t>
        </x:is>
      </x:c>
      <x:c r="H634" s="3" t="inlineStr">
        <x:is>
          <x:t>MIGUEL ANGEL CASTAÑO, cra.48 # 76 D sur # 34 apto. 2511 Vegas Plaza, SABANETA, ANTIOQUIA 055450, CO</x:t>
        </x:is>
      </x:c>
      <x:c r="I634" s="3" t="inlineStr">
        <x:is>
          <x:t>3</x:t>
        </x:is>
      </x:c>
      <x:c r="J634" s="3" t="inlineStr">
        <x:is>
          <x:t>11</x:t>
        </x:is>
      </x:c>
      <x:c r="K634" s="3" t="inlineStr">
        <x:is>
          <x:t>3. Calcetines impregnados con crema hidratante cosmética; calcetines pre-humedecidos con preparaciones cosméticas para uso cosmético; cosméticos y preparaciones cosméticas;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masaje cosméticas; cremas para el cuerpo cosméticas; cremas y lociones cosméticas; cremas y lociones cosméticas para el cuidado de la cara y el cuerpo; cremas y lociones cosméticas para el cuidado del rostro y el cuerpo; cremas, lociones y otras preparaciones cosméticas bronceadoras; espumas [cosméticas]; espumas cosméticas con filtro solar; exfoliantes [preparaciones cosméticas]; guantes pre-humedecidos con preparaciones cosméticas para uso cosmético; hidratantes cosméticas para el rostro; hidratantes cosméticas para la cara; lociones capilares cosméticas; lociones cosméticas para el bronceado de la piel; lociones cosméticas para el cuidado de la piel; lociones cosméticas para el rostro; mascarillas cosméticas; mascarillas faciales cosméticas; máscaras cosméticas de barro; neceseres de cosmética; paños impregnados con sustancias cosméticas; preparaciones cosméticas; preparaciones cosméticas adelgazantes; preparaciones cosméticas antienvejecimiento; preparaciones cosméticas colorantes; preparaciones cosméticas de cuidado facial; preparaciones cosméticas de peluquería; preparaciones cosméticas no espumantes; preparaciones cosméticas no medicadas; preparaciones cosméticas no medicamentosas para tratamientos capilares; preparaciones cosméticas no medicinales para tratamientos capilares; preparaciones cosméticas para el baño; preparaciones cosméticas para el baño y la ducha; preparaciones cosméticas para el cuidado bucal; preparaciones cosméticas para el cuidado de la piel; preparaciones cosméticas para el cuidado de la piel en forma de geles; preparaciones cosméticas para el cuidado de las uñas; preparaciones cosméticas para el cuidado del cabello; preparaciones cosméticas para el cuidado del cuerpo; preparaciones cosméticas para el rostro y el cuerpo; preparaciones cosméticas para impedir el crecimiento del cabello; preparaciones cosméticas para la cara; preparaciones cosméticas para la ducha; preparaciones cosméticas para las uñas; preparaciones cosméticas para pestañas; preparaciones cosméticas para proteger la piel de los rayos del sol; preparaciones cosméticas que contienen colágeno; aceites esenciales naturales; cosméticos naturales; productos de perfumería naturales.
</x:t>
        </x:is>
      </x:c>
      <x:c r="L634" s="3" t="inlineStr">
        <x:is>
          <x:t>No</x:t>
        </x:is>
      </x:c>
      <x:c r="M634" s="3" t="inlineStr">
        <x:is>
          <x:t/>
        </x:is>
      </x:c>
      <x:c r="N634" s="3" t="inlineStr">
        <x:is>
          <x:t/>
        </x:is>
      </x:c>
      <x:c r="O634" s="3" t="inlineStr">
        <x:is>
          <x:t>27 feb. 2023</x:t>
        </x:is>
      </x:c>
      <x:c r="P634" s="3" t="inlineStr">
        <x:is>
          <x:t/>
        </x:is>
      </x:c>
      <x:c r="Q634" s="3" t="inlineStr">
        <x:is>
          <x:t/>
        </x:is>
      </x:c>
    </x:row>
    <x:row r="635">
      <x:c r="A635" s="10" t="inlineStr">
        <x:f xml:space="preserve">HYPERLINK("http://sipi.sic.gov.co/sipi/View.ashx?4479175","SD2022/0124106")</x:f>
      </x:c>
      <x:c r="B635" s="3" t="inlineStr">
        <x:is>
          <x:t>Blua cielo</x:t>
        </x:is>
      </x:c>
      <x:c r="C635" s="9" t="inlineStr">
        <x:is>
          <x:t/>
        </x:is>
      </x:c>
      <x:c r="D635" s="3" t="inlineStr">
        <x:is>
          <x:t>30 nov. 2022</x:t>
        </x:is>
      </x:c>
      <x:c r="E635" s="3" t="inlineStr">
        <x:is>
          <x:t/>
        </x:is>
      </x:c>
      <x:c r="F635" s="3" t="inlineStr">
        <x:is>
          <x:t>Negada</x:t>
        </x:is>
      </x:c>
      <x:c r="G635" s="3" t="inlineStr">
        <x:is>
          <x:t>Blua cielo</x:t>
        </x:is>
      </x:c>
      <x:c r="H635" s="3" t="inlineStr">
        <x:is>
          <x:t>SANTIAGO DURAN MARTINEZ, calle 59 No 2-27 barrio la floresta, IBAGUE, TOLIMA, CO</x:t>
        </x:is>
      </x:c>
      <x:c r="I635" s="3" t="inlineStr">
        <x:is>
          <x:t>3</x:t>
        </x:is>
      </x:c>
      <x:c r="J635" s="3" t="inlineStr">
        <x:is>
          <x:t>11</x:t>
        </x:is>
      </x:c>
      <x:c r="K63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35" s="3" t="inlineStr">
        <x:is>
          <x:t>No</x:t>
        </x:is>
      </x:c>
      <x:c r="M635" s="3" t="inlineStr">
        <x:is>
          <x:t/>
        </x:is>
      </x:c>
      <x:c r="N635" s="3" t="inlineStr">
        <x:is>
          <x:t/>
        </x:is>
      </x:c>
      <x:c r="O635" s="3" t="inlineStr">
        <x:is>
          <x:t>16 feb. 2023</x:t>
        </x:is>
      </x:c>
      <x:c r="P635" s="3" t="inlineStr">
        <x:is>
          <x:t/>
        </x:is>
      </x:c>
      <x:c r="Q635" s="3" t="inlineStr">
        <x:is>
          <x:t/>
        </x:is>
      </x:c>
    </x:row>
    <x:row r="636">
      <x:c r="A636" s="10" t="inlineStr">
        <x:f xml:space="preserve">HYPERLINK("http://sipi.sic.gov.co/sipi/View.ashx?4479180","SD2022/0124091")</x:f>
      </x:c>
      <x:c r="B636" s="3" t="inlineStr">
        <x:is>
          <x:t>B Blua colors BLUA COLORS</x:t>
        </x:is>
      </x:c>
      <x:c r="C636" s="9" t="inlineStr">
        <x:is>
          <x:t/>
        </x:is>
      </x:c>
      <x:c r="D636" s="3" t="inlineStr">
        <x:is>
          <x:t>30 nov. 2022</x:t>
        </x:is>
      </x:c>
      <x:c r="E636" s="3" t="inlineStr">
        <x:is>
          <x:t/>
        </x:is>
      </x:c>
      <x:c r="F636" s="3" t="inlineStr">
        <x:is>
          <x:t>Negada</x:t>
        </x:is>
      </x:c>
      <x:c r="G636" s="3" t="inlineStr">
        <x:is>
          <x:t>Blua color</x:t>
        </x:is>
      </x:c>
      <x:c r="H636" s="3" t="inlineStr">
        <x:is>
          <x:t>SANTIAGO DURAN MARTINEZ, calle 59 No 2-27 barrio la floresta, IBAGUE, TOLIMA, CO</x:t>
        </x:is>
      </x:c>
      <x:c r="I636" s="3" t="inlineStr">
        <x:is>
          <x:t>3</x:t>
        </x:is>
      </x:c>
      <x:c r="J636" s="3" t="inlineStr">
        <x:is>
          <x:t>11</x:t>
        </x:is>
      </x:c>
      <x:c r="K63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36" s="3" t="inlineStr">
        <x:is>
          <x:t>No</x:t>
        </x:is>
      </x:c>
      <x:c r="M636" s="3" t="inlineStr">
        <x:is>
          <x:t/>
        </x:is>
      </x:c>
      <x:c r="N636" s="3" t="inlineStr">
        <x:is>
          <x:t/>
        </x:is>
      </x:c>
      <x:c r="O636" s="3" t="inlineStr">
        <x:is>
          <x:t>16 feb. 2023</x:t>
        </x:is>
      </x:c>
      <x:c r="P636" s="3" t="inlineStr">
        <x:is>
          <x:t/>
        </x:is>
      </x:c>
      <x:c r="Q636" s="3" t="inlineStr">
        <x:is>
          <x:t/>
        </x:is>
      </x:c>
    </x:row>
    <x:row r="637">
      <x:c r="A637" s="10" t="inlineStr">
        <x:f xml:space="preserve">HYPERLINK("http://sipi.sic.gov.co/sipi/View.ashx?4479214","SD2022/0124072")</x:f>
      </x:c>
      <x:c r="B637" s="3" t="inlineStr">
        <x:is>
          <x:t>Blua liss</x:t>
        </x:is>
      </x:c>
      <x:c r="C637" s="9" t="inlineStr">
        <x:is>
          <x:t/>
        </x:is>
      </x:c>
      <x:c r="D637" s="3" t="inlineStr">
        <x:is>
          <x:t>30 nov. 2022</x:t>
        </x:is>
      </x:c>
      <x:c r="E637" s="3" t="inlineStr">
        <x:is>
          <x:t/>
        </x:is>
      </x:c>
      <x:c r="F637" s="3" t="inlineStr">
        <x:is>
          <x:t>Negada</x:t>
        </x:is>
      </x:c>
      <x:c r="G637" s="3" t="inlineStr">
        <x:is>
          <x:t>Blua liss</x:t>
        </x:is>
      </x:c>
      <x:c r="H637" s="3" t="inlineStr">
        <x:is>
          <x:t>SANTIAGO DURAN MARTINEZ, calle 59 No 2-27 barrio la floresta, IBAGUE, TOLIMA, CO</x:t>
        </x:is>
      </x:c>
      <x:c r="I637" s="3" t="inlineStr">
        <x:is>
          <x:t>3</x:t>
        </x:is>
      </x:c>
      <x:c r="J637" s="3" t="inlineStr">
        <x:is>
          <x:t>11</x:t>
        </x:is>
      </x:c>
      <x:c r="K63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37" s="3" t="inlineStr">
        <x:is>
          <x:t>Sí</x:t>
        </x:is>
      </x:c>
      <x:c r="M637" s="3" t="inlineStr">
        <x:is>
          <x:t/>
        </x:is>
      </x:c>
      <x:c r="N637" s="3" t="inlineStr">
        <x:is>
          <x:t/>
        </x:is>
      </x:c>
      <x:c r="O637" s="3" t="inlineStr">
        <x:is>
          <x:t>16 feb. 2023</x:t>
        </x:is>
      </x:c>
      <x:c r="P637" s="3" t="inlineStr">
        <x:is>
          <x:t/>
        </x:is>
      </x:c>
      <x:c r="Q637" s="3" t="inlineStr">
        <x:is>
          <x:t/>
        </x:is>
      </x:c>
    </x:row>
    <x:row r="638">
      <x:c r="A638" s="10" t="inlineStr">
        <x:f xml:space="preserve">HYPERLINK("http://sipi.sic.gov.co/sipi/View.ashx?4479884","SD2022/0123875")</x:f>
      </x:c>
      <x:c r="B638" s="3" t="inlineStr">
        <x:is>
          <x:t>VGN</x:t>
        </x:is>
      </x:c>
      <x:c r="C638" s="3" t="inlineStr">
        <x:is>
          <x:t/>
        </x:is>
      </x:c>
      <x:c r="D638" s="3" t="inlineStr">
        <x:is>
          <x:t>30 nov. 2022</x:t>
        </x:is>
      </x:c>
      <x:c r="E638" s="3" t="inlineStr">
        <x:is>
          <x:t/>
        </x:is>
      </x:c>
      <x:c r="F638" s="3" t="inlineStr">
        <x:is>
          <x:t>Negada</x:t>
        </x:is>
      </x:c>
      <x:c r="G638" s="3" t="inlineStr">
        <x:is>
          <x:t>MARCANDINAS</x:t>
        </x:is>
      </x:c>
      <x:c r="H638" s="3" t="inlineStr">
        <x:is>
          <x:t>AUDREY CORREA GIRALDO, SIN ESTABLECER, CALI, VALLE DEL CAUCA, CO</x:t>
        </x:is>
      </x:c>
      <x:c r="I638" s="3" t="inlineStr">
        <x:is>
          <x:t>3</x:t>
        </x:is>
      </x:c>
      <x:c r="J638" s="3" t="inlineStr">
        <x:is>
          <x:t>11</x:t>
        </x:is>
      </x:c>
      <x:c r="K638" s="3" t="inlineStr">
        <x:is>
          <x:t>3. COSMÉTICOS CAPILARES Y CORPORALES TALES COMO: CHAMPÚ, PREPARACIONES COSMÉTICAS DE TRATAMIENTO (NO MEDICINALES), GELES, LOCIONES CAPILARES Y CORPORALES, PREPARACIONES PARA ALISAR EL CABELLO, MASCARILLAS DE BELLEZA, TINTES COSMÉTICOS, CREMAS CORPORALES, ACONDICIONADORES, CREMAS PARA PEINAR, ACEITES COSMÉTICOS, PREPARACIONES PARA EL CUIDADO DEL CABELLO A BASE DE SILICONAS, LOCIONES PARA EL CUIDADO DEL CABELLO, MAQUILLAJE, SUEROS CAPILARES Y FACIALES, SPRAYS DESENREDANTES, TÓNICOS CAPILARES.
</x:t>
        </x:is>
      </x:c>
      <x:c r="L638" s="3" t="inlineStr">
        <x:is>
          <x:t>No</x:t>
        </x:is>
      </x:c>
      <x:c r="M638" s="3" t="inlineStr">
        <x:is>
          <x:t>FERNANDO HIGUERA RODRIGUEZ, Cra. 7 # 17-51 Ofiicna 709, BOGOTÁ, D.C., CO</x:t>
        </x:is>
      </x:c>
      <x:c r="N638" s="3" t="inlineStr">
        <x:is>
          <x:t/>
        </x:is>
      </x:c>
      <x:c r="O638" s="3" t="inlineStr">
        <x:is>
          <x:t>16 feb. 2023</x:t>
        </x:is>
      </x:c>
      <x:c r="P638" s="3" t="inlineStr">
        <x:is>
          <x:t/>
        </x:is>
      </x:c>
      <x:c r="Q638" s="3" t="inlineStr">
        <x:is>
          <x:t/>
        </x:is>
      </x:c>
    </x:row>
    <x:row r="639">
      <x:c r="A639" s="10" t="inlineStr">
        <x:f xml:space="preserve">HYPERLINK("http://sipi.sic.gov.co/sipi/View.ashx?4480689","SD2022/0124122")</x:f>
      </x:c>
      <x:c r="B639" s="3" t="inlineStr">
        <x:is>
          <x:t>BLUANATURAL</x:t>
        </x:is>
      </x:c>
      <x:c r="C639" s="9" t="inlineStr">
        <x:is>
          <x:t/>
        </x:is>
      </x:c>
      <x:c r="D639" s="3" t="inlineStr">
        <x:is>
          <x:t>30 nov. 2022</x:t>
        </x:is>
      </x:c>
      <x:c r="E639" s="3" t="inlineStr">
        <x:is>
          <x:t/>
        </x:is>
      </x:c>
      <x:c r="F639" s="3" t="inlineStr">
        <x:is>
          <x:t>Negada</x:t>
        </x:is>
      </x:c>
      <x:c r="G639" s="3" t="inlineStr">
        <x:is>
          <x:t>BLUANATURAL</x:t>
        </x:is>
      </x:c>
      <x:c r="H639" s="3" t="inlineStr">
        <x:is>
          <x:t>SANTIAGO DURAN MARTINEZ, calle 59 No 2-27 barrio la floresta, IBAGUE, TOLIMA, CO</x:t>
        </x:is>
      </x:c>
      <x:c r="I639" s="3" t="inlineStr">
        <x:is>
          <x:t>3</x:t>
        </x:is>
      </x:c>
      <x:c r="J639" s="3" t="inlineStr">
        <x:is>
          <x:t>11</x:t>
        </x:is>
      </x:c>
      <x:c r="K63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39" s="3" t="inlineStr">
        <x:is>
          <x:t>No</x:t>
        </x:is>
      </x:c>
      <x:c r="M639" s="3" t="inlineStr">
        <x:is>
          <x:t/>
        </x:is>
      </x:c>
      <x:c r="N639" s="3" t="inlineStr">
        <x:is>
          <x:t/>
        </x:is>
      </x:c>
      <x:c r="O639" s="3" t="inlineStr">
        <x:is>
          <x:t>16 feb. 2023</x:t>
        </x:is>
      </x:c>
      <x:c r="P639" s="3" t="inlineStr">
        <x:is>
          <x:t/>
        </x:is>
      </x:c>
      <x:c r="Q639" s="3" t="inlineStr">
        <x:is>
          <x:t/>
        </x:is>
      </x:c>
    </x:row>
    <x:row r="640">
      <x:c r="A640" s="10" t="inlineStr">
        <x:f xml:space="preserve">HYPERLINK("http://sipi.sic.gov.co/sipi/View.ashx?4480702","SD2022/0124123")</x:f>
      </x:c>
      <x:c r="B640" s="3" t="inlineStr">
        <x:is>
          <x:t>Naturalae</x:t>
        </x:is>
      </x:c>
      <x:c r="C640" s="9" t="inlineStr">
        <x:is>
          <x:t/>
        </x:is>
      </x:c>
      <x:c r="D640" s="3" t="inlineStr">
        <x:is>
          <x:t>01 dic. 2022</x:t>
        </x:is>
      </x:c>
      <x:c r="E640" s="3" t="inlineStr">
        <x:is>
          <x:t/>
        </x:is>
      </x:c>
      <x:c r="F640" s="3" t="inlineStr">
        <x:is>
          <x:t>Negada</x:t>
        </x:is>
      </x:c>
      <x:c r="G640" s="3" t="inlineStr">
        <x:is>
          <x:t/>
        </x:is>
      </x:c>
      <x:c r="H640" s="3" t="inlineStr">
        <x:is>
          <x:t>Mónica  Ostos Gonzalez, Km 8 vía Caños Negros , VILLAVICENCIO, META 500001, CO</x:t>
        </x:is>
      </x:c>
      <x:c r="I640" s="3" t="inlineStr">
        <x:is>
          <x:t>3, 30</x:t>
        </x:is>
      </x:c>
      <x:c r="J640" s="3" t="inlineStr">
        <x:is>
          <x:t>11</x:t>
        </x:is>
      </x:c>
      <x:c r="K640"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30. Café, té, cacao y sucedáneos del café; arroz; tapioca y sagú; harinas y preparaciones a base de cereales; pan, productos de pastelería y confitería; helados; azúcar, miel, jarabe de melaza; levadura, polvos de hornear; sal; mostaza; vinagre, salsas (condimentos); especias; hielo.
</x:t>
        </x:is>
      </x:c>
      <x:c r="L640" s="3" t="inlineStr">
        <x:is>
          <x:t>Sí</x:t>
        </x:is>
      </x:c>
      <x:c r="M640" s="3" t="inlineStr">
        <x:is>
          <x:t/>
        </x:is>
      </x:c>
      <x:c r="N640" s="3" t="inlineStr">
        <x:is>
          <x:t/>
        </x:is>
      </x:c>
      <x:c r="O640" s="3" t="inlineStr">
        <x:is>
          <x:t>16 feb. 2023</x:t>
        </x:is>
      </x:c>
      <x:c r="P640" s="3" t="inlineStr">
        <x:is>
          <x:t/>
        </x:is>
      </x:c>
      <x:c r="Q640" s="3" t="inlineStr">
        <x:is>
          <x:t/>
        </x:is>
      </x:c>
    </x:row>
    <x:row r="641">
      <x:c r="A641" s="10" t="inlineStr">
        <x:f xml:space="preserve">HYPERLINK("http://sipi.sic.gov.co/sipi/View.ashx?4482483","SD2022/0124751")</x:f>
      </x:c>
      <x:c r="B641" s="3" t="inlineStr">
        <x:is>
          <x:t>OXIVIR</x:t>
        </x:is>
      </x:c>
      <x:c r="C641" s="3" t="inlineStr">
        <x:is>
          <x:t/>
        </x:is>
      </x:c>
      <x:c r="D641" s="3" t="inlineStr">
        <x:is>
          <x:t>01 dic. 2022</x:t>
        </x:is>
      </x:c>
      <x:c r="E641" s="3" t="inlineStr">
        <x:is>
          <x:t/>
        </x:is>
      </x:c>
      <x:c r="F641" s="3" t="inlineStr">
        <x:is>
          <x:t>Negada</x:t>
        </x:is>
      </x:c>
      <x:c r="G641" s="3" t="inlineStr">
        <x:is>
          <x:t/>
        </x:is>
      </x:c>
      <x:c r="H641" s="3" t="inlineStr">
        <x:is>
          <x:t> Diversey, Inc., 1300 Altura Road, Suite 125, Fort Mill, SC 29708, Estados Unidos de America , FORT MILL, SOUTH CAROLINA, US</x:t>
        </x:is>
      </x:c>
      <x:c r="I641" s="3" t="inlineStr">
        <x:is>
          <x:t>3, 5</x:t>
        </x:is>
      </x:c>
      <x:c r="J641" s="3" t="inlineStr">
        <x:is>
          <x:t>11</x:t>
        </x:is>
      </x:c>
      <x:c r="K641" s="3" t="inlineStr">
        <x:is>
          <x:t>3. Preparados de limpieza y pulido para uso en superficies duras en entornos comerciales, industriales e institucionales.
5. Desinfectantes y sanitizantes para uso en superficies duras en entornos comerciales, industriales e institucionales.
</x:t>
        </x:is>
      </x:c>
      <x:c r="L641" s="3" t="inlineStr">
        <x:is>
          <x:t>No</x:t>
        </x:is>
      </x:c>
      <x:c r="M641" s="3" t="inlineStr">
        <x:is>
          <x:t>JUAN PABLO CONCHA DELGADO, AVENIDA 82 No. 10-62 PISO 5, BOGOTÁ, D.C., CO</x:t>
        </x:is>
      </x:c>
      <x:c r="N641" s="3" t="inlineStr">
        <x:is>
          <x:t/>
        </x:is>
      </x:c>
      <x:c r="O641" s="3" t="inlineStr">
        <x:is>
          <x:t>26 ene. 2023</x:t>
        </x:is>
      </x:c>
      <x:c r="P641" s="3" t="inlineStr">
        <x:is>
          <x:t/>
        </x:is>
      </x:c>
      <x:c r="Q641" s="3" t="inlineStr">
        <x:is>
          <x:t/>
        </x:is>
      </x:c>
    </x:row>
    <x:row r="642">
      <x:c r="A642" s="10" t="inlineStr">
        <x:f xml:space="preserve">HYPERLINK("http://sipi.sic.gov.co/sipi/View.ashx?4483592","SD2022/0125127")</x:f>
      </x:c>
      <x:c r="B642" s="3" t="inlineStr">
        <x:is>
          <x:t>Comercializadora DG S.A.S</x:t>
        </x:is>
      </x:c>
      <x:c r="C642" s="9" t="inlineStr">
        <x:is>
          <x:t/>
        </x:is>
      </x:c>
      <x:c r="D642" s="3" t="inlineStr">
        <x:is>
          <x:t>02 dic. 2022</x:t>
        </x:is>
      </x:c>
      <x:c r="E642" s="3" t="inlineStr">
        <x:is>
          <x:t/>
        </x:is>
      </x:c>
      <x:c r="F642" s="3" t="inlineStr">
        <x:is>
          <x:t>Negada</x:t>
        </x:is>
      </x:c>
      <x:c r="G642" s="3" t="inlineStr">
        <x:is>
          <x:t>DGcomercializadora</x:t>
        </x:is>
      </x:c>
      <x:c r="H642" s="3" t="inlineStr">
        <x:is>
          <x:t>Liseth Yuranis Gomez Pabon, Carrera 19b1 #9c Los cortijos, VALLEDUPAR, CESAR, CO</x:t>
        </x:is>
      </x:c>
      <x:c r="I642" s="3" t="inlineStr">
        <x:is>
          <x:t>3</x:t>
        </x:is>
      </x:c>
      <x:c r="J642" s="3" t="inlineStr">
        <x:is>
          <x:t>11</x:t>
        </x:is>
      </x:c>
      <x:c r="K642" s="3" t="inlineStr">
        <x:is>
          <x:t>3.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tratamientos para permanentes capilares; cosméticos para tratamiento de belleza cosméticos para el cuidado de belleza; cremas no medicinales para el tratamiento del cuero cabelludo; preparaciones para el tratamiento de coloración permanente del cabello; preparaciones para el tratamiento de permanente de coloración del cabello; preparados para el tratamiento de coloración permanente del cabello; preparados para el tratamiento de permanente de coloración del cabello; champús para el cabello humano; cremas para el cabello de uso cosmético; cremas para el cabello para uso cosmético; enjuagues para el cabello de uso cosmético; espumas para el cabello [productos de tocador]; espumas para el peinado del cabello [productos de tocador]; lociones para el cabello de uso cosmético; lociones para ondular el cabello de forma permanente; mascarillas para el cabello y el cuero cabelludo; máscaras para el cabello y el cuero cabelludo; pomadas para el cabello de uso cosmético; preparaciones cosméticas para el cabello y el cuero cabelludo; preparaciones no medicinales para el cuidado de la piel, el cabello y el cuero cabelludo; productos cosméticos para el cabello y el cuero cabelludo; productos de enjuague para el cabello [champús acondicionadores]; revitalizantes para el cabello de uso cosmético; suavizantes para el cabello de uso cosmético; tinturas para el cabello [tintes]; tonificantes para el cabello para uso cosmético; mascarillas para el cuero cabelludo; mascarillas para el cuidado del cabello; mascarillas para el peinado del cabello; tratamientos de alisado para el cabello.
</x:t>
        </x:is>
      </x:c>
      <x:c r="L642" s="3" t="inlineStr">
        <x:is>
          <x:t>Sí</x:t>
        </x:is>
      </x:c>
      <x:c r="M642" s="3" t="inlineStr">
        <x:is>
          <x:t>maria del mar  peña sanguino, calle 7a numero 27-18 nueva esperanza, VALLEDUPAR, CESAR 200001, CO</x:t>
        </x:is>
      </x:c>
      <x:c r="N642" s="3" t="inlineStr">
        <x:is>
          <x:t/>
        </x:is>
      </x:c>
      <x:c r="O642" s="3" t="inlineStr">
        <x:is>
          <x:t>16 feb. 2023</x:t>
        </x:is>
      </x:c>
      <x:c r="P642" s="3" t="inlineStr">
        <x:is>
          <x:t/>
        </x:is>
      </x:c>
      <x:c r="Q642" s="3" t="inlineStr">
        <x:is>
          <x:t/>
        </x:is>
      </x:c>
    </x:row>
    <x:row r="643">
      <x:c r="A643" s="10" t="inlineStr">
        <x:f xml:space="preserve">HYPERLINK("http://sipi.sic.gov.co/sipi/View.ashx?4484354","SD2022/0125346")</x:f>
      </x:c>
      <x:c r="B643" s="3" t="inlineStr">
        <x:is>
          <x:t>Heba Liz</x:t>
        </x:is>
      </x:c>
      <x:c r="C643" s="9" t="inlineStr">
        <x:is>
          <x:t/>
        </x:is>
      </x:c>
      <x:c r="D643" s="3" t="inlineStr">
        <x:is>
          <x:t>09 dic. 2022</x:t>
        </x:is>
      </x:c>
      <x:c r="E643" s="3" t="inlineStr">
        <x:is>
          <x:t/>
        </x:is>
      </x:c>
      <x:c r="F643" s="3" t="inlineStr">
        <x:is>
          <x:t>Negada</x:t>
        </x:is>
      </x:c>
      <x:c r="G643" s="3" t="inlineStr">
        <x:is>
          <x:t>Heba Liz</x:t>
        </x:is>
      </x:c>
      <x:c r="H643" s="3" t="inlineStr">
        <x:is>
          <x:t>DIANA LIZETH MONTAÑO FAJARDO, Carrera 7N#38AN-98, CALI, VALLE DEL CAUCA, CO</x:t>
        </x:is>
      </x:c>
      <x:c r="I643" s="3" t="inlineStr">
        <x:is>
          <x:t>3</x:t>
        </x:is>
      </x:c>
      <x:c r="J643" s="3" t="inlineStr">
        <x:is>
          <x:t>11</x:t>
        </x:is>
      </x:c>
      <x:c r="K64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preparaciones para tratamientos capilares.
</x:t>
        </x:is>
      </x:c>
      <x:c r="L643" s="3" t="inlineStr">
        <x:is>
          <x:t>No</x:t>
        </x:is>
      </x:c>
      <x:c r="M643" s="3" t="inlineStr">
        <x:is>
          <x:t/>
        </x:is>
      </x:c>
      <x:c r="N643" s="3" t="inlineStr">
        <x:is>
          <x:t/>
        </x:is>
      </x:c>
      <x:c r="O643" s="3" t="inlineStr">
        <x:is>
          <x:t>07 mar. 2023</x:t>
        </x:is>
      </x:c>
      <x:c r="P643" s="3" t="inlineStr">
        <x:is>
          <x:t/>
        </x:is>
      </x:c>
      <x:c r="Q643" s="3" t="inlineStr">
        <x:is>
          <x:t/>
        </x:is>
      </x:c>
    </x:row>
    <x:row r="644">
      <x:c r="A644" s="10" t="inlineStr">
        <x:f xml:space="preserve">HYPERLINK("http://sipi.sic.gov.co/sipi/View.ashx?4485299","SD2022/0126072")</x:f>
      </x:c>
      <x:c r="B644" s="3" t="inlineStr">
        <x:is>
          <x:t>Belisa Capilar</x:t>
        </x:is>
      </x:c>
      <x:c r="C644" s="9" t="inlineStr">
        <x:is>
          <x:t/>
        </x:is>
      </x:c>
      <x:c r="D644" s="3" t="inlineStr">
        <x:is>
          <x:t>05 dic. 2022</x:t>
        </x:is>
      </x:c>
      <x:c r="E644" s="3" t="inlineStr">
        <x:is>
          <x:t/>
        </x:is>
      </x:c>
      <x:c r="F644" s="3" t="inlineStr">
        <x:is>
          <x:t>Negada</x:t>
        </x:is>
      </x:c>
      <x:c r="G644" s="3" t="inlineStr">
        <x:is>
          <x:t>Belisa Capilar</x:t>
        </x:is>
      </x:c>
      <x:c r="H644" s="3" t="inlineStr">
        <x:is>
          <x:t>Isabel cristina  martinez valencia, calle 78 sur 40-211, SABANETA, ANTIOQUIA, CO</x:t>
        </x:is>
      </x:c>
      <x:c r="I644" s="3" t="inlineStr">
        <x:is>
          <x:t>3</x:t>
        </x:is>
      </x:c>
      <x:c r="J644" s="3" t="inlineStr">
        <x:is>
          <x:t>11</x:t>
        </x:is>
      </x:c>
      <x:c r="K64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44" s="3" t="inlineStr">
        <x:is>
          <x:t>No</x:t>
        </x:is>
      </x:c>
      <x:c r="M644" s="3" t="inlineStr">
        <x:is>
          <x:t/>
        </x:is>
      </x:c>
      <x:c r="N644" s="3" t="inlineStr">
        <x:is>
          <x:t/>
        </x:is>
      </x:c>
      <x:c r="O644" s="3" t="inlineStr">
        <x:is>
          <x:t>16 feb. 2023</x:t>
        </x:is>
      </x:c>
      <x:c r="P644" s="3" t="inlineStr">
        <x:is>
          <x:t/>
        </x:is>
      </x:c>
      <x:c r="Q644" s="3" t="inlineStr">
        <x:is>
          <x:t/>
        </x:is>
      </x:c>
    </x:row>
    <x:row r="645">
      <x:c r="A645" s="10" t="inlineStr">
        <x:f xml:space="preserve">HYPERLINK("http://sipi.sic.gov.co/sipi/View.ashx?4485890","SD2022/0125697")</x:f>
      </x:c>
      <x:c r="B645" s="3" t="inlineStr">
        <x:is>
          <x:t>ANAWAA BY: DANI GUTIERREZ</x:t>
        </x:is>
      </x:c>
      <x:c r="C645" s="9" t="inlineStr">
        <x:is>
          <x:t/>
        </x:is>
      </x:c>
      <x:c r="D645" s="3" t="inlineStr">
        <x:is>
          <x:t>04 dic. 2022</x:t>
        </x:is>
      </x:c>
      <x:c r="E645" s="3" t="inlineStr">
        <x:is>
          <x:t/>
        </x:is>
      </x:c>
      <x:c r="F645" s="3" t="inlineStr">
        <x:is>
          <x:t>Negada</x:t>
        </x:is>
      </x:c>
      <x:c r="G645" s="3" t="inlineStr">
        <x:is>
          <x:t>Anawaa</x:t>
        </x:is>
      </x:c>
      <x:c r="H645" s="3" t="inlineStr">
        <x:is>
          <x:t>LAURA DANIELA GUTIERREZ ORDOÑEZ, Calle 12 # 13 - 28, LA UNION, VALLE DEL CAUCA, CO</x:t>
        </x:is>
      </x:c>
      <x:c r="I645" s="3" t="inlineStr">
        <x:is>
          <x:t>3</x:t>
        </x:is>
      </x:c>
      <x:c r="J645" s="3" t="inlineStr">
        <x:is>
          <x:t>11</x:t>
        </x:is>
      </x:c>
      <x:c r="K645" s="3" t="inlineStr">
        <x:is>
          <x:t>3. Bálsamos capilares; champús capilares; cremas capilares; lociones capilares cosméticas; lociones capilares*; preparaciones capilares no medicinales; preparaciones para tratamientos capilares.
</x:t>
        </x:is>
      </x:c>
      <x:c r="L645" s="3" t="inlineStr">
        <x:is>
          <x:t>No</x:t>
        </x:is>
      </x:c>
      <x:c r="M645" s="3" t="inlineStr">
        <x:is>
          <x:t>ALVARO JOSE  LUNA PELAEZ, CALLE 17AN No. 8N - 60, PISO 2, CALI, VALLE DEL CAUCA, CO</x:t>
        </x:is>
      </x:c>
      <x:c r="N645" s="3" t="inlineStr">
        <x:is>
          <x:t/>
        </x:is>
      </x:c>
      <x:c r="O645" s="3" t="inlineStr">
        <x:is>
          <x:t>16 feb. 2023</x:t>
        </x:is>
      </x:c>
      <x:c r="P645" s="3" t="inlineStr">
        <x:is>
          <x:t/>
        </x:is>
      </x:c>
      <x:c r="Q645" s="3" t="inlineStr">
        <x:is>
          <x:t/>
        </x:is>
      </x:c>
    </x:row>
    <x:row r="646">
      <x:c r="A646" s="10" t="inlineStr">
        <x:f xml:space="preserve">HYPERLINK("http://sipi.sic.gov.co/sipi/View.ashx?4486382","SD2022/0125804")</x:f>
      </x:c>
      <x:c r="B646" s="3" t="inlineStr">
        <x:is>
          <x:t>AMATISTA HOME CARE</x:t>
        </x:is>
      </x:c>
      <x:c r="C646" s="9" t="inlineStr">
        <x:is>
          <x:t/>
        </x:is>
      </x:c>
      <x:c r="D646" s="3" t="inlineStr">
        <x:is>
          <x:t>05 dic. 2022</x:t>
        </x:is>
      </x:c>
      <x:c r="E646" s="3" t="inlineStr">
        <x:is>
          <x:t/>
        </x:is>
      </x:c>
      <x:c r="F646" s="3" t="inlineStr">
        <x:is>
          <x:t>Negada</x:t>
        </x:is>
      </x:c>
      <x:c r="G646" s="3" t="inlineStr">
        <x:is>
          <x:t/>
        </x:is>
      </x:c>
      <x:c r="H646" s="3" t="inlineStr">
        <x:is>
          <x:t> NATURESSE S A S BIC, Calle 47 No. 1-67, CALI, VALLE DEL CAUCA 00000, CO</x:t>
        </x:is>
      </x:c>
      <x:c r="I646" s="3" t="inlineStr">
        <x:is>
          <x:t>3</x:t>
        </x:is>
      </x:c>
      <x:c r="J646" s="3" t="inlineStr">
        <x:is>
          <x:t>11</x:t>
        </x:is>
      </x:c>
      <x:c r="K646" s="3" t="inlineStr">
        <x:is>
          <x:t>3. Champúes para el cabello; champús acondicionadores; champús capilares; champús corporales; champús para el cabello; champús para el cabello humano; champús para el cabello y el cuerpo; champús para el cuerpo; champús y acondicionadores; champús y acondicionadores para el cabello; productos de enjuague para el cabello [champús acondicionadores]; jabones corporales no medicados; jabones cosméticos; jabones de baño; jabones de baño en forma líquida, sólida o de gel; jabones de tocador; jabones de tocador perfumados; jabones en crema para el cuerpo; jabones en forma líquida; jabones líquidos; jabones líquidos para el cabello y el cuerpo; jabones líquidos para las manos y el rostro; jabones líquidos para las manos, el rostro y el cuerpo; jabones para el cuerpo; jabones perfumados; jabones vegetales; crema corporal; crema corporal para uso cosmético; crema para las manos; crema para peinar el cabello; cremas acondicionadoras; cremas acondicionadoras para la piel, de uso cosmético; cremas bálsamos de belleza; cremas capilares; cremas corporales; cremas corporales [cosméticos]; cremas cosmética para el cuerpo; cremas cosméticas; cremas cosméticas a base de extractos de plantas; cremas cosméticas de masaje; cremas cosméticas para el cuidado de la piel; cremas cosméticas para el rostro; cremas cosméticas para la piel; cremas cosméticas para las manos; cremas de belleza; cremas de belleza para el rostro y el cuerpo; cremas de masaje cosméticas; cremas exfoliantes; cremas exfoliantes para uso cosmético; cremas faciales; cremas faciales para uso cosmético; cremas hidratantes; cremas limpiadoras [cosméticos]; aceites de masaje, no medicinales; aceites de perfumería; aceites de tocador; aceites esenciales.
</x:t>
        </x:is>
      </x:c>
      <x:c r="L646" s="3" t="inlineStr">
        <x:is>
          <x:t>No</x:t>
        </x:is>
      </x:c>
      <x:c r="M646" s="3" t="inlineStr">
        <x:is>
          <x:t>NATALIA OSORIO CORREA, Calle 47 No. 1-67, CALI, VALLE DEL CAUCA 00000, CO</x:t>
        </x:is>
      </x:c>
      <x:c r="N646" s="3" t="inlineStr">
        <x:is>
          <x:t/>
        </x:is>
      </x:c>
      <x:c r="O646" s="3" t="inlineStr">
        <x:is>
          <x:t>09 dic. 2022</x:t>
        </x:is>
      </x:c>
      <x:c r="P646" s="3" t="inlineStr">
        <x:is>
          <x:t/>
        </x:is>
      </x:c>
      <x:c r="Q646" s="3" t="inlineStr">
        <x:is>
          <x:t/>
        </x:is>
      </x:c>
    </x:row>
    <x:row r="647">
      <x:c r="A647" s="10" t="inlineStr">
        <x:f xml:space="preserve">HYPERLINK("http://sipi.sic.gov.co/sipi/View.ashx?4486446","SD2022/0125827")</x:f>
      </x:c>
      <x:c r="B647" s="3" t="inlineStr">
        <x:is>
          <x:t>Bonn Pharmaceutical</x:t>
        </x:is>
      </x:c>
      <x:c r="C647" s="3" t="inlineStr">
        <x:is>
          <x:t/>
        </x:is>
      </x:c>
      <x:c r="D647" s="3" t="inlineStr">
        <x:is>
          <x:t>05 dic. 2022</x:t>
        </x:is>
      </x:c>
      <x:c r="E647" s="3" t="inlineStr">
        <x:is>
          <x:t/>
        </x:is>
      </x:c>
      <x:c r="F647" s="3" t="inlineStr">
        <x:is>
          <x:t>Negada</x:t>
        </x:is>
      </x:c>
      <x:c r="G647" s="3" t="inlineStr">
        <x:is>
          <x:t>600702</x:t>
        </x:is>
      </x:c>
      <x:c r="H647" s="3" t="inlineStr">
        <x:is>
          <x:t>Maria Alejandra Castillo Rios, calle 74a#113a-29, BOGOTA, CUNDINAMARCA 111031, CO</x:t>
        </x:is>
      </x:c>
      <x:c r="I647" s="3" t="inlineStr">
        <x:is>
          <x:t>3, 5, 30, 35</x:t>
        </x:is>
      </x:c>
      <x:c r="J647" s="3" t="inlineStr">
        <x:is>
          <x:t>11</x:t>
        </x:is>
      </x:c>
      <x:c r="K647" s="3" t="inlineStr">
        <x:is>
          <x:t>3. Aceites esenciales industriales para uso en la fabricación de productos de tabaco; aceites esenciales para la fabricación de productos perfumados; aceites esenciales para uso en la fabricación de productos neutralizadores de olores; aceites esenciales para uso industrial para uso en la fabricación de productos de tabaco; aceites para bebés [productos de tocador]; aceites para después del sol [productos cosméticos]; aceites perfumados para la fabricación de productos cosméticos; almizcle [producto de perfumería]; almohadillas de limpieza impregnadas con productos cosméticos; almohadillas limpiadoras impregnadas de productos cosméticos; ambientadores de interior [productos para perfumar el aire]; ambientadores de interior [productos para perfumar el ambiente]; ambientadores de interior en cuanto productos para perfumar el aire; ambientadores de interior en cuanto productos para perfumar el ambiente; colonias, perfumes y productos cosméticos; colorantes labiales [productos cosméticos]; colorantes para los labios [productos cosméticos]; correctores de imperfecciones [productos cosméticos]; cremas de limpieza [productos cosméticos]; cremas limpiadoras [productos cosméticos]; desodorantes corporales [productos de perfumería]; desodorantes para personas o animales [productos de perfumería]; esmaltes de base para las uñas [productos cosméticos]; esponjas impregnadas con productos de tocador; esponjas impregnadas con productos de tocador no medicinales; espumas en cuanto productos par el peinado; espumas para el cabello [productos de tocador]; espumas para el peinado del cabello [productos de tocador]; extractos de flores [productos de perfumería]; extractos de flores en cuanto productos de perfumería; fragancias y productos de perfumería; geles para después del sol [productos cosméticos]; iononas [productos de perfumería]; leches para después del sol [productos cosméticos]; limpiadores cutáneos [productos cosméticos]; limpiadores de la piel [productos cosméticos]; limpiadores faciales [productos cosméticos]; lociones para bebés [productos de tocador]; lociones para la piel [productos cosméticos]; mascarillas faciales [productos cosméticos]; paños desechables impregnados de productos o compuestos químicos limpiadores para uso industrial o comercial; paños desechables impregnados de productos químicos o compuestos limpiadores para la higiene personal; paños impregnados de productos de limpieza para la piel; paños impregnados de productos limpiadores para la piel; paños o toallitas impregnados de productos limpiadores para la piel; perfumes, aguas de colonia y productos para después del afeitado; polvos para bebés [productos de tocador]; preparaciones blanqueadoras para la piel [productos cosméticos]; preparaciones de higiene en cuanto productos de tocador; preparaciones de protección solar [productos cosméticos]; preparaciones higiénicas en cuanto productos de tocador no medicinales; preparaciones no medicinales para el aseo de animales que no sean productos para lavarlos; preparaciones para el cuidado de la piel [productos cosméticos]; preparaciones sanitarias en cuanto productos de tocador no medicinales; preparaciones y productos para el cuidado de las uñas; productos antiestáticos para uso doméstico; productos antitranspirantes [artículos de tocador]; productos aromáticos para uso doméstico; productos blanqueadores [lavandería]; productos blanqueadores de dientes; productos blanqueadores para el cuero; productos blanqueadores para lavar la ropa; productos blanqueadores para uso doméstico; productos con filtro solar; productos con filtro solar a prueba de agua; productos con filtro solar para uso cosmético; productos con filtro solar resistentes al agua; productos con pantalla solar;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afeitar; productos de aromaterapia; productos de enjuague para el cabello; productos de enjuague para el cabello [champús acondicionadores]; productos de fumigación [perfumes]; productos de glaseado para lavar la ropa; productos de jabón; productos de jabón no medicinales;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productos de limpieza para uso en azulejos; productos de limpieza para vidrios; productos de limpieza químicos en forma de gel para desagües; productos de limpieza químicos en forma de polvo para desagües; productos de limpieza químicos en forma líquida para desagües; productos de limpieza químicos para desagües; productos de limpieza ácidos para desagües; productos de maquillaje;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perfumería, inciensos y fragancias; productos de revestimiento para esculpir uñas; productos de revestimiento para esculpir uñas [productos cosméticos]; productos de textura para el cabello; productos de tocador no medicinales; productos decolorantes para el cabello; productos depilatorios; productos desengrasantes que no sean para procesos de fabricación; productos desoxidantes; productos en aerosol para refrescar el aliento; productos hidratantes antienvejecimiento; productos hidratantes para después del sol; productos hidratantes para el cabello; productos limpiadores con desodorante para lechos higiénicos de animales; productos neutralizantes para permanentes; productos no medicamentosos para refrescar el aliento; productos no medicinales para el cuidado de la piel; productos no medicinales para enjuagarse la boca y hacer gargarismos; productos no medicinales para lavarse las manos; productos no medicinales para lavarse y enjuagarse la boca; productos para ablandar las uñas; productos para aclarar el cabello; productos para aclarar la piel; productos para afilar; productos para afinar el grano de la piel; productos para alisar [lavandería]; productos para amolar; productos para blanquear los dientes; productos para dar brillo; productos para decolorar el cabello; productos para después del afeitado; productos para desrizar el cabello; productos para el cuidado de la piel, no medicinales; productos para el cuidado de las uñas; productos para eliminar las manchas producidas por animales de compañía; productos para lavar perros [champús]; productos para lavar platos; productos para limpiar papel pintado; productos para limpiar papel tapiz; productos para lustrar automóviles; productos para lustrar cromo; productos para lustrar cueros; productos para lustrar instrumentos musicales; productos para lustrar muebles; productos para lustrar pieles curtidas; productos para lustrar pisos; productos para lustrar suelos; productos para mejorar la textura de la piel; productos para perfumar el ambiente; productos para perfumar la ropa; productos para poner la ropa en remojo; productos para pulir guitarras; productos para pulir metales; productos para pulir muebles y pisos; productos para pulir muebles y suelos; productos para quitar barnices; productos para quitar lacas; productos para quitar pinturas; productos para quitar tintes; productos para refrescar el aliento; productos para refrescar el aliento que no sean para uso médico; productos para refrescar el aliento, a saber, barritas masticables de extractos de abedul; productos para refrescar la piel; productos para remojar la ropa; productos para suavizar y eliminar las manchas; productos químicos de uso doméstico para avivar los colores [lavandería]; productos y preparaciones cosméticos para el cuidado de la piel; productos y preparaciones no medicinales para el cuidado de la piel; productos y preparaciones para el cuidado del cabello; protectores solares para los labios [productos cosméticos]; talco para bebés [productos de tocador]; tintes labiales [productos cosméticos]; tintes para los labios [productos cosméticos]; toallas de papel para las manos impregnadas de productos cosméticos; toallitas impregnadas de productos cosméticos; toallitas impregnadas de productos limpiadores para la piel; toallitas o paños impregnados de productos limpiadores para la piel; vainillina sintética [productos de perfumería]; ámbar [productos de perfumería]; aceites esenciales naturales; almidones naturales para el apresto; almidones naturales para la colada; almizcle natural; cosméticos naturales.
5. Aditivos minerales para productos alimenticios de consumo humano;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almidón y productos amiláceos para uso dietético y farmacéutico; almidón y productos amiláceos para uso farmacéutico; complementos de oligoelementos para productos alimenticios de consumo humano; complementos de vitaminas para productos alimenticios de consumo humano; complementos medicinales para productos alimenticios de consumo humano; complementos vitamínicos para productos alimenticios de consumo humano; cápsulas de gelatina para productos farmacéuticos; cápsulas de gelatina vacías para productos farmacéuticos; cápsulas de polímeros dendriméricos para productos farmacéuticos; cápsulas vacías para productos farmacéuticos; esponjas impregnadas con productos químicos desinfectantes para uso en hospitales; esponjas impregnadas con productos químicos desinfectantes para uso en laboratorios; esponjas impregnadas con productos químicos desinfectantes para uso en los asientos de inodoros; parches cutáneos transdérmicos para el suministro de productos farmacéuticos; parches transdérmicos para la administración de productos farmacéuticos; preparaciones de proteínas para uso en cuanto aditivos de productos alimenticios para el consumo humano para uso médico; preparaciones de proteínas para uso en cuanto aditivos de productos alimenticios para la alimentación humana para uso médico; preparaciones proteicas para uso en cuanto aditivos de productos alimenticios para el consumo humano para uso médico; preparaciones sanitarias de higiene personal que no sean productos de tocador; preparados de proteínas para uso en cuanto aditivos de productos alimenticios para el consumo humano para uso médico; preparados de proteínas para uso en cuanto aditivos de productos alimenticios para la alimentación humana para uso médico;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productos antibacterianos para lavar las manos; productos antibióticos para lavarse las manos; productos anticriptogámicos; productos antihemorroidales; productos antimicrobianos para lavarse las manos; productos antimoho; productos antiparasitarios; productos antipiréticos; productos antipolillas; productos antisépticos para el cuidado corporal; productos antisépticos para el cuidado del cuerpo; productos antiúricos; productos contra las polillas; productos cáusticos para uso farmacéutico; productos de fumigación para uso médico; productos de lavado insecticidas para uso veterinario; productos de limpieza antibacterianos; productos de limpieza desinfectantes para el baño; productos de limpieza desinfectantes para inodoros; productos de limpieza para la desinfección de frutas y hortalizas; productos de organoterapia; productos de pulverización contra insectos; productos de relleno dérmico inyectables; productos de uso médico para refrescar el aliento; productos derivados del procesamiento de cereales para uso médico; productos desinfectantes para lavarse las manos; productos dietéticos para usos médicos especiales [dietas equilibradas]; productos dietéticos y complementos nutricionales para uso médico; productos dietéticos y suplementos nutricionales para uso médico;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productos febrífugos; productos hematógenos; productos higiénicos para uso médico; productos higiénicos y sanitarios para uso médico; productos medicinales para el cuidado de la piel; productos medicinales para lavarse las manos; productos opoterápicos; productos optoterápicos; productos organoterapéuticos; productos para el control de alimañas; productos para el control de animales dañinos; productos para el control de plagas; productos para el cuidado de la piel, medicinales; productos para el frotado quirúrgico; productos para eliminar animales dañinos; productos para eliminar babosas; productos para eliminar larvas; productos para eliminar parásitos; productos para eliminar ratones; productos para eliminar roedores; productos para las callosidades; productos para las hemorroides; productos para las quemaduras; productos para lavar animales [insecticidas]; productos para lavar el ganado [insecticidas]; productos para lavar perros [insecticidas]; productos para los callos de los pies; productos para los sabañones; productos para purificar el aire; productos para refrescar el aliento de uso médico; productos quimioterapéuticos; productos químicos para tratar la filoxera; productos químicos para uso médico; productos radioactivos para uso médico; productos sanitarios para uso médico; productos y preparaciones medicinales para el cuidado de la piel; subproductos del procesamiento de cereales para uso dietético o médico; suplementos de oligoelementos para productos alimenticios de consumo humano; suplementos de vitaminas para productos alimenticios de consumo humano; suplementos medicinales para productos alimenticios de consumo humano; suplementos vitamínicos para productos alimenticios de consumo humano; complementos dietéticos naturales para tratar la claustrofobia; preparaciones probióticas de uso médico para ayudar a mantener el equilibrio natural de la flora digestiva.
30. Adhesivos comestibles para la decoración de productos de confitería; aglutinantes para productos alimenticios; ajíes [productos para sazonar]; alubias recubiertas de azúcar [productos de confitería]; aromatizantes de almendra, excepto aceites esenciales, para productos comestibles; aromatizantes de frutas, excepto aceites esenciales, para productos comestibles; aromatizantes de limón, excepto aceites esenciales, para productos comestibles; aromatizantes de vainilla para productos comestibles; aromatizantes, que no sean aceites esenciales, para productos de pastelería y repostería; azafrán [productos para sazonar]; barritas de regaliz [productos de confitería]; caramelos de frutas [productos de confitería]; caramelos enriquecidos con calcio [producto de confitería]; castañas asadas recubiertas de sirope [productos de confitería]; chiles [productos para sazonar]; dulces en forma de pepitas para productos de horno; empanadillas [productos de pastelería]; extractos, excepto aceites esenciales, en cuanto aromatizantes para productos comestibles; glaseados para productos alimenticios; gluten preparado en forma de producto alimenticio; gomitas [productos de confitería]; granos procesados utilizados como productos para sazonar; helados cremosos en barras [productos de confitería]; hierbas aromáticas en conserva [productos para sazonar]; hierbas aromáticas en conserva en cuanto productos para sazonar; hierbas aromáticas en conserva utilizadas como productos para sazonar; hierbas en conserva en cuanto productos para sazonar; ingredientes a base de cacao para productos de confitería; linaza para la alimentación humana [productos para sazonar]; macarons [productos de pastelería]; masa filo para productos de pastelería; menta para productos de confitería; mezclas para la elaboración de productos de panadería; mezclas para la preparación de productos de panadería; mezclas para preparar productos de pastelería; miso [productos para sazonar]; mizu-yokan-no-moto [producto de confitería japonés a base de gelatina dulce de alubias adzuki]; monodosis de líquido congelable para la elaboración de productos de confitería congelados; mousses de postre [productos de confitería]; palas para tartas [productos de pastelería]; pan, productos de pastelería y confitería; pasta de azúcar [producto de confitería]; pasta de frutas [producto de confitería]; pasta de jengibre [producto para sazonar]; pasta de soja [productos para sazonar]; pasta de soya [productos para sazonar]; pastillas [productos de confitería]; pastillas de miel de hierbas [productos de confitería]; pastillas no medicinales [productos de confitería]; pegamentos comestibles para la decoración de productos de confitería; pepitos [productos de repostería] de chocolate; pimentón [producto para sazonar]; piruletas [productos de confitería]; polvos azucarados de limón [productos de confitería]; polvos para productos de pastelería y repostería; porciones de pasteles [productos de pastelería]; preparaciones aromazitadas a la fruta para la elaboración de productos pastelería; preparaciones aromazitadas a la verduras para la elaboración de productos de pastelería; pretzels recubiertos de yogur [productos de confitería]; productos a base de cereales sin gluten; productos a base de levadura para uso culinario; productos alimenticios a base de maíz; productos alimenticios elaborados principalmente a partir de cereales; productos alimenticios en los que predomina la harina; productos alimenticios en los que predominan los cereales; productos de bollería; productos de carne en cuanto hamburguesas [sándwiches]; productos de carne en forma de hamburguesas [sándwiches]; productos de chocolate; productos de confitería; productos de confitería a base de almendras; productos de confitería a base de azúcar hervido; productos de confitería a base de azúcar y mantequilla; productos de confitería a base de cacahuate; productos de confitería a base de cacahuetes; productos de confitería a base de frutas; productos de confitería a base de harinas; productos de confitería a base de maní; productos de confitería a base de yogur; productos de confitería a base de yogur helado; productos de confitería congelados; productos de confitería de azúcar para la decoración de tartas; productos de confitería de chocolate; productos de confitería para decorar árboles de navidad; productos de confitería refrigerados; productos de confitería sin gluten; productos de confitería y adornos de chocolate para árboles de navidad; productos de glaseado para confitería; productos de glaseado para productos alimenticios; productos de masa lista para hornear; productos de panadería sin gluten; productos de pastelería; productos de pastelería a base de almendras; productos de pastelería a base de frutas; productos de pastelería congelados; productos de pastelería de chocolate; productos de pastelería franceses; productos de pastelería frescos; productos de pastelería italianos; productos para espolvorear para la decoración de tartas; productos para sazonar; propóleos para la alimentación humana [producto de apicultura]; páprika [producto para sazonar]; regaliz [productos de confitería]; rellenos de chocolate para productos de panadería; rugelach [productos de pastelería turcos]; saborizantes, que no sean aceites esenciales, para productos de pastelería y repostería; semillas de lino para uso culinario [productos para sazonar]; semillas de sésamo [productos para sazonar]; semillas procesadas en cuanto productos para sazonar; sorbete [productos de confitería]; trozos de azúcar cristalizado [productos de confitería]; trozos de azúcar granulado [productos de confitería].
35. Administración de programas de premios de incentivo para la promoción de la venta de productos y servicios de terceros; administración de programas que permiten a los participantes obtener descuentos sobre productos y servicios mediante la utilización de una tarjeta de miembro; adquisición de productos por cuenta de empresas; agencias de importación y exportación de productos; agrupación, por cuenta de terceros, de diversos productos, excepto su transporte, para que los consumidores puedan examinarlos y comprarlos cómodamente; agrupamiento, en beneficio de terceros, de productos diversos, excepto su transporte, para que los consumidores puedan examinarlos y comprarlos a su conveniencia; asesoramiento sobre marketing de productos químicos; asesoramiento sobre productos de consumo; asesoramiento sobre productos de consumo en relación con ordenadores portátiles; asesoramiento sobre productos de consumo en relación con productos cosméticos; asesoramiento y consultoría en relación con el aprovisionamiento de productos por cuenta de terceros; asistencia de comercialización de productos en el marco de un contrato de franquicia; asistencia en el ámbito de la gestión de negocios y la comercialización de productos en el marco de los contratos de franquicias; asistencia en la comercialización de productos en el marco de un contrato de franquicia; asistencia en la gestión empresarial y comercialización de productos en el marco de un contrato de franquicia; asistencia para la comercialización de productos en el marco de contrato de franquicia; comercialización de productos; comercialización de productos para terceros; compra de productos y servicios para otras empresas; consultoría comercial sobre actividades de marketing y el lanzamiento de nuevos productos; cotización de precios de productos y servicios; demostración de productos; demostración de productos con fines publicitarios; difusión de material publicitario [folletos, prospectos y productos de imprenta]; distribución de productos con fines publicitarios; el agrupamiento, en beneficio de terceros, de productos diversos, excepto su transporte, para que los consumidores puedan examinarlos y comprarlos a su conveniencia; facilitación de espacios en sitios web para publicidad de productos y servicios; gestión comercial de licencias de productos y servicios de terceros; gestión y consultoría comercial en relación con las actividades de marketing y el lanzamiento de nuevos productos; información sobre el ranking de las ventas de productos; información sobre la clasificación de las ventas de productos; información sobre las ventas de productos; información y asesoramiento comerciales al consumidor en la selección de productos y servicios; investigación de marketing en el ámbito de los productos cosméticos, la perfumería y los productos de belleza; marketing de productos; marketing de productos y servicios de terceros; marketing de productos y servicios de terceros mediante la distribución de cupones; merchandising de productos; merchandising de productos para terceros; negociación de contratos en relación con la compra y la venta de productos; obtención de contratos de compra y de venta de productos; obtención de contratos para la compra y la venta de productos y servicios; obtención de contratos para terceros relacionados con la venta de productos; organización y realización de presentaciones de productos; preparación de contratos de compra y de venta de productos y servicios, para terceros; preparación de contratos por cuenta de terceros para la compra y venta de productos; presentación de empresas y de sus productos y servicios en internet; presentación de empresas, sus productos y servicios en internet; presentación de productos al público; presentación de productos en cualquier medio de comunicación para su venta minorista; presentación de productos financieros en todo tipo de medios de comunicación para su venta minorista; presentación de productos y servicios por medios electrónicos; prestación a consumidores de consejos y recomendaciones sobre productos con fines comerciales; promoción comercial de productos; promoción comercial de productos para terceros; promoción de la venta de productos y servicios de terceros mediante eventos promocionales; promoción de la venta de productos y servicios de terceros mediante la concesión de puntos por las compras realizadas con tarjeta de crédito; promoción de la venta de productos y servicios de terceros mediante materiales impresos; promoción de los productos y servicios de terceros mediante la distribución de material publicitario por diversos medios; promoción de productos y servicios de terceros; promoción de productos y servicios de terceros haciendo que los patrocinadores asocien sus productos y servicios con actividades deportivas; promoción de productos y servicios de terceros mediante anuncios en sitios web; promoción de productos y servicios de terceros mediante la administración de programas de ventas e incentivos promocionales mediante cupones comerciales; promoción de productos y servicios de terceros mediante la distribución de cupones; promoción de productos y servicios de terceros mediante la distribución de tarjetas de descuento; promoción de productos y servicios de terceros mediante la preparación y publicación de anuncios publicitarios en revistas electrónicas; promoción de productos y servicios de terceros mediante programas de clientes preferentes; promoción de productos y servicios de terceros mediante programas de tarjetas de descuento; promoción de productos y servicios de terceros mediante programas de tarjetas de fidelización; promoción de productos y servicios de terceros mediante publirreportajes; promoción de productos y servicios de terceros por internet; promoción de productos y servicios de terceros por redes informáticas mundiales; promoción de productos y servicios de terceros que permitan a los patrocinadores asociar sus productos y servicios a programas de entrega de premios; promoción de productos y servicios de terceros que permitan a los patrocinadores asociar sus productos y servicios con competiciones deportivas; promoción de productos y servicios mediante el patrocinio de eventos deportivos; promoción de productos y servicios mediante el patrocinio de eventos deportivos internacionales; promoción y marketing de productos y servicios a través de las redes informáticas mundiales; provisión de información sobre diversos productos por medio de redes de telecomunicación con fines publicitarios y de venta; publicación de productos de imprenta con fines publicitarios; publicación de productos de imprenta en formato electrónico con fines publicitarios; publicidad de productos y servicios de vendedores en línea mediante guías consultables en línea; publicidad para productos farmacéuticos y productos de imaginología in vivo; publicidad y promoción de productos y servicios para terceros mediante la colocación de anuncios en los taxis; publicidad y promoción de ventas de productos y servicios; publicidad y promoción de ventas de productos y servicios disponibles en línea; publicidad y promoción de ventas sobre productos y servicios; puesta a disposición de espacios publicitarios en sitios web para anunciar productos y servicios; puesta a disposición de información al cliente sobre productos y servicios; servicios de abastecimiento para terceros [compra de productos y servicios para otras empresas]; servicios de agencia de ventas de productos cosméticos; servicios de agencia de ventas de productos de maquillaje; servicios de agencias de importación-exportación de productos; servicios de aprovisionamiento de bebidas alcohólicas [compra de productos por cuenta de empresas de terceros]; servicios de asesoramiento e intermediación comercial en el ámbito de la venta de productos; servicios de asesoramiento sobre productos de consumo relacionados con software; servicios de asesoramiento y consultoría en aprovisionamiento de productos por cuenta de terceros; servicios de asistencia relacionados con la comercialización de productos en el marco de contratos de franquicia; servicios de asistencia sobre la comercialización de productos; servicios de consultoría en adquisición de productos y servicios; servicios de consultoría en relación con la adquisición de productos y servicios; servicios de demostración de productos en escaparates prestados por modelos; servicios de distribución comercial al por mayor de productos cosméticos; servicios de distribución comercial al por mayor de productos frescos; servicios de distribución comercial en el ámbito de la televisión por cable y dsl y productos y servicios de entretenimiento en internet; servicios de distribución comercial en el ámbito de productos y servicios de entretenimiento de la televisión por satélite; servicios de exhibición de productos; servicios de exhibición de productos de comercialización; servicios de exhibición de productos de merchandising; servicios de gestión de negocios en relación con actividades de marketing y el lanzamiento de nuevos productos; servicios de información sobre productos de consumo; servicios de información sobre productos de consumo relacionados con productos cosméticos; servicios de intermediarios comerciales para la compra y venta de productos de consumo; servicios de marketing de productos y servicios para terceros por medio de la tecnología de notificación push; servicios de mercadeo destinados a incitar la compra de productos de terceros; servicios de mercadotecnia de productos y servicios para terceros por medio de la tecnología de notificación push; servicios de presentación de productos; servicios de presentación de productos de comercialización; servicios de presentación de productos de comercialización para fines comerciales; servicios de presentación de productos de merchandising; servicios de presentación de productos de merchandising para fines comerciales; servicios de presentación de productos para su comercialización; servicios de promoción de productos y servicios de terceros; servicios de publicidad en relación con la comercialización de nuevos productos; servicios de publicidad en relación con productos cosméticos; servicios de publicidad en relación con productos de imaginología in vivo; servicios de publicidad en relación con productos de perfumería; servicios de publicidad en relación con productos farmacéuticos; servicios de publicidad para la promoción de productos; servicios de publicidad relacionados con la venta de productos; servicios de revendedores de valor añadido en el ámbito de la seguridad informática y de productos de tecnología de la información; servicios de subcontratación en forma de organización de la adquisición de productos para terceros; servicios de subcontratación que consisten en gestionar la adquisición de productos para terceros; servicios de tiendas mayoristas de productos alimenticios; servicios de tiendas mayoristas de productos de confitería; servicios de tiendas mayoristas de productos de imprenta; servicios de tiendas mayoristas de productos de papel desechables; servicios de tiendas mayoristas de productos de tocador; servicios de tiendas mayoristas de productos horneados; servicios de tiendas mayoristas de productos hortícolas; servicios de tiendas mayoristas de productos lácteos; servicios de tiendas mayoristas de productos químicos para uso agrícola; servicios de tiendas mayoristas de productos químicos para uso forestal; servicios de tiendas mayoristas de productos químicos para uso hortícola; servicios de tiendas mayoristas en línea de preparaciones para la elaboración de productos para beber; servicios de tiendas mayoristas en línea de productos comestibles; servicios de tiendas mayoristas en línea de productos de confitería; servicios de tiendas mayoristas en línea de productos de imprenta; servicios de tiendas mayoristas en línea de productos de papel desechables; servicios de tiendas mayoristas en línea de productos de tocador; servicios de tiendas mayoristas en línea de productos horneados; servicios de tiendas mayoristas en línea de productos hortícolas; servicios de tiendas mayoristas en línea de productos lácteos; servicios de tiendas mayoristas en línea de productos químicos para uso agrícola; servicios de tiendas mayoristas en línea de productos químicos para uso forestal; servicios de tiendas mayoristas en línea de productos químicos para uso hortícola; servicios de tiendas minoristas de productos alimenticios; servicios de tiendas minoristas de productos de confitería; servicios de tiendas minoristas de productos de imprenta; servicios de tiendas minoristas de productos de limpieza; servicios de tiendas minoristas de productos de papel desechables; servicios de tiendas minoristas de productos de tocador; servicios de tiendas minoristas de productos horneados; servicios de tiendas minoristas de productos hortícolas; servicios de tiendas minoristas de productos lácteos; servicios de tiendas minoristas de productos químicos para uso agrícola; servicios de tiendas minoristas de productos químicos para uso forestal; servicios de tiendas minoristas de productos químicos para uso hortícola; servicios de tiendas minoristas en línea de productos comestibles; servicios de tiendas minoristas en línea de productos de confitería; servicios de tiendas minoristas en línea de productos de imprenta; servicios de tiendas minoristas en línea de productos de papel desechables; servicios de tiendas minoristas en línea de productos de tocador; servicios de tiendas minoristas en línea de productos horneados; servicios de tiendas minoristas en línea de productos hortícolas; servicios de tiendas minoristas en línea de productos lácteos; servicios de tiendas minoristas en línea de productos químicos para uso agrícola; servicios de tiendas minoristas en línea de productos químicos para uso forestal; servicios de tiendas minoristas en línea de productos químicos para uso hortícola; servicios de venta al por mayor de productos lácteos; servicios de venta al por menor [por todo tipo de medios] de productos lácteos; servicios de venta al por menor de productos de confitería; servicios de venta al por menor de productos de panadería; servicios de venta al por menor de productos de pastelería; servicios de venta al por menor de productos lácteos; servicios de venta de tienda al por menor en línea de productos cosméticos y de belleza; servicios de venta de tienda al por menor en línea que incluyen productos cosméticos y de belleza; servicios de venta de tienda minorista en línea de productos cosméticos y de belleza; servicios de venta de tienda minorista en línea en relación con productos cosméticos y de belleza; servicios de venta de tienda minorista en línea que incluyen productos cosméticos y de belleza; servicios de venta mayorista de productos de confitería; servicios de venta mayorista de productos de imprenta; servicios de venta mayorista de productos de papel desechables; servicios de venta mayorista de productos de tocador; servicios de venta mayorista de productos horneados; servicios de venta mayorista de productos hortícolas; servicios de venta mayorista de productos lácteos; servicios de venta mayorista de productos químicos para uso agrícola; servicios de venta mayorista de productos químicos para uso forestal; servicios de venta mayorista de productos químicos para uso hortícola; servicios de venta mayorista en relación con productos comestibles; servicios de venta mayorista en relación con productos de confitería; servicios de venta mayorista en relación con productos de imprenta; servicios de venta mayorista en relación con productos de papel desechables; servicios de venta mayorista en relación con productos de tocador; servicios de venta mayorista en relación con productos horneados; servicios de venta mayorista en relación con productos hortícolas; servicios de venta mayorista en relación con productos lácteos; servicios de venta mayorista en relación con productos químicos para uso agrícola; servicios de venta mayorista en relación con productos químicos para uso forestal; servicios de venta mayorista en relación con productos químicos para uso hortícola; servicios de venta minorista [por todo tipo de medios] de productos lácteos; servicios de venta minorista de productos de confitería; servicios de venta minorista de productos de imprenta; servicios de venta minorista de productos de limpieza; servicios de venta minorista de productos de panadería; servicios de venta minorista de productos de papel desechables; servicios de venta minorista de productos de pastelería; servicios de venta minorista de productos de tocador; servicios de venta minorista de productos hortícolas; servicios de venta minorista de productos lácteos; servicios de venta minorista de productos químicos para uso agrícola; servicios de venta minorista de productos químicos para uso forestal; servicios de venta minorista de productos químicos para uso hortícola; servicios de venta minorista de una amplia gama de productos de consumo; servicios de venta minorista en línea de productos cosméticos; servicios de venta minorista en línea de productos cosméticos y de belleza, así como de prendas de vestir y complementos; servicios de venta minorista en línea en relación con productos cosméticos; servicios de venta minorista en relación con preparaciones para la elaboración de productos para beber; servicios de venta minorista en relación con preparaciones para la elaboración de productos para beber con alcohol; servicios de venta minorista en relación con productos comestibles; servicios de venta minorista en relación con productos de confitería; servicios de venta minorista en relación con productos de gastronomía fina; servicios de venta minorista en relación con productos de imprenta; servicios de venta minorista en relación con productos de ingeniería; servicios de venta minorista en relación con productos de panadería; servicios de venta minorista en relación con productos de papel desechables; servicios de venta minorista en relación con productos de tocador; servicios de venta minorista en relación con productos hortícolas; servicios de venta minorista en relación con productos lácteos; servicios de venta minorista en relación con productos químicos para uso agrícola; servicios de venta minorista en relación con productos químicos para uso forestal; servicios de venta minorista en relación con productos químicos para uso hortícola; servicios de venta minorista o mayorista de productos cosméticos; servicios de venta minorista o mayorista de productos cosméticos, productos de tocador, dentífricos, jabones y detergentes; servicios de venta minorista o mayorista de productos de confitería; servicios de venta minorista o mayorista de productos de confitería, panes y bollos; servicios de venta minorista o mayorista de productos de imprenta; servicios de venta minorista o mayorista de productos de tocador; servicios de venta minorista por correspondencia de productos alimentarios; servicios de venta minorista por correspondencia de productos cosméticos; servicios publicitarios en relación con productos farmacéuticos contra la diabetes; suministro de consejos y recomendaciones a los consumidores de productos con fines comerciales; suministro de espacios de venta en línea para vendedores y compradores de productos y servicios; suministro de espacios en sitios web para publicidad de productos y servicios; suministro de información al consumidor sobre productos a través de internet; suministro de información de productos de consumo en relación con los alimentos o las bebidas; suministro de información sobre productos de consumo en relación con ordenadores portátiles; suministro de información sobre productos de consumo en relación con software; suministro de información y asesoramiento a los consumidores respecto a la compra de determinados productos y artículos; suministro de información y asesoramiento comerciales al consumidor en la selección de productos y servicios; suministro de recomendaciones de productos a los consumidores; suministro de recomendaciones de productos a los consumidores para uso comercial; tratamiento de consultas telefónicas sobre productos y servicios difundidos por medios publicitarios; servicios de tiendas mayoristas en línea de publicaciones electrónicas descargables; servicios de tiendas mayoristas en línea de relojes inteligentes; servicios de tiendas mayoristas en línea de revestimientos para suelos; servicios de tiendas mayoristas en línea de revoques para paredes; servicios de tiendas mayoristas en línea de software; servicios de tiendas mayoristas en línea de sorbetes; servicios de tiendas mayoristas en línea de suplementos dietéticos; servicios de tiendas mayoristas en línea de tabaco; servicios de tiendas mayoristas en línea de telas; servicios de tiendas mayoristas en línea de teléfonos inteligentes; servicios de tiendas mayoristas en línea de té; servicios de tiendas mayoristas en línea de utensilios de cocina; servicios de tiendas mayoristas en línea de utensilios de mesa; servicios de tiendas mayoristas en línea de vehículos; servicios de tiendas mayoristas en línea de yogur helado; servicios de tiendas minorista de paraguas; servicios de tiendas minoristas de alimentos marinos; servicios de tiendas minoristas de aparatos de alumbrado; servicios de tiendas minoristas de aparatos médicos; servicios de tiendas minoristas de aparatos para el bronceado de la piel; servicios de tiendas minoristas de aparatos veterinarios; servicios de tiendas minoristas de archivos de música descargables; servicios de tiendas minoristas de armas; servicios de tiendas minoristas de artículos de cama para animales; servicios de tiendas minoristas de artículos de costura; servicios de tiendas minoristas de artículos de deporte; servicios de tiendas minoristas de artículos de equipaje; servicios de tiendas minoristas de artículos de estimulación sexual; servicios de tiendas minoristas de artículos de ferretería metálicos; servicios de tiendas minoristas de artículos de guarnicionería; servicios de tiendas minoristas de artículos de jardinería; servicios de tiendas minoristas de artículos de limpieza; servicios de tiendas minoristas de artículos de papelería; servicios de tiendas minoristas de artículos para tabaco; servicios de tiendas minoristas de artículos veterinarios; servicios de tiendas minoristas de bolsas; servicios de tiendas minoristas de cacao; servicios de tiendas minoristas de café; servicios de tiendas minoristas de calentadores; servicios de tiendas minoristas de calzado; servicios de tiendas minoristas de carne; servicios de tiendas minoristas de cerveza; servicios de tiendas minoristas de chocolate; servicios de tiendas minoristas de combustibles; servicios de tiendas minoristas de contenidos grabados; servicios de tiendas minoristas de cubiertos; servicios de tiendas minoristas de cuchillos de cocina; servicios de tiendas minoristas de decoraciones festivas; servicios de tiendas minoristas de dispositivos de navegación; servicios de tiendas minoristas de dispositivos de protección auditiva; servicios de tiendas minoristas de equipos agrícolas; servicios de tiendas minoristas de equipos audiovisuales; servicios de tiendas minoristas de equipos de buceo; servicios de tiendas minoristas de equipos de calefacción; servicios de tiendas minoristas de equipos de congelación; servicios de tiendas minoristas de equipos de construcción; servicios de tiendas minoristas de equipos de deporte; servicios de tiendas minoristas de equipos de fisioterapia; servicios de tiendas minoristas de equipos de movimiento de tierras; servicios de tiendas minoristas de equipos de refrigeración; servicios de tiendas minoristas de equipos de suministro de agua; servicios de tiendas minoristas de equipos de tecnologías de la información; servicios de tiendas minoristas de equipos hortícolas; servicios de tiendas minoristas de equipos para la cocción de alimentos; servicios de tiendas minoristas de equipos sanitarios; servicios de tiendas minoristas de hardware; servicios de tiendas minoristas de helados; servicios de tiendas minoristas de herramientas accionadas manualmente para la construcción; servicios de tiendas minoristas de hilados; servicios de tiendas minoristas de hilos; servicios de tiendas minoristas de instalaciones sanitarias; servicios de tiendas minoristas de instrumentos accionados manualmente para la construcción; servicios de tiendas minoristas de instrumentos de belleza para animales; servicios de tiendas minoristas de instrumentos de belleza para personas; servicios de tiendas minoristas de instrumentos de relojería; servicios de tiendas minoristas de instrumentos higiénicos para animales; servicios de tiendas minoristas de instrumentos higiénicos para personas; servicios de tiendas minoristas de instrumentos musicales; servicios de tiendas minoristas de instrumentos médicos; servicios de tiendas minoristas de instrumentos para la preparación de alimentos; servicios de tiendas minoristas de instrumentos veterinarios; servicios de tiendas minoristas de juegos; servicios de tiendas minoristas de juguetes; servicios de tiendas minoristas de lechos higiénicos para animales; servicios de tiendas minoristas de lubricantes; servicios de tiendas minoristas de materiales artísticos; servicios de tiendas minoristas de muebles; servicios de tiendas minoristas de obras de arte; servicios de tiendas minoristas de ordenadores ponibles; servicios de tiendas minoristas de piensos para animales; servicios de tiendas minoristas de postres; servicios de tiendas minoristas de prendas de vestir; servicios de tiendas minoristas de preparaciones dietéticas; servicios de tiendas minoristas de preparaciones para el aseo de animales; servicios de tiendas minoristas de preparaciones perfumadas; servicios de tiendas minoristas de preparaciones veterinarias; servicios de tiendas minoristas de preparaciones y artículos veterinarios; servicios de tiendas minoristas de publicaciones electrónicas descargables; servicios de tiendas minoristas de relojes inteligentes; servicios de tiendas minoristas de revestimientos para suelos; servicios de tiendas minoristas de revoques para paredes; servicios de tiendas minoristas de software; servicios de tiendas minoristas de sorbetes; servicios de tiendas minoristas de suplementos dietéticos; servicios de tiendas minoristas de tabaco; servicios de tiendas minoristas de tejidos; servicios de tiendas minoristas de teléfonos inteligentes; servicios de tiendas minoristas de tés; servicios de tiendas minoristas de utensilios de cocina; servicios de tiendas minoristas de vajilla; servicios de tiendas minoristas de vehículos; servicios de tiendas minoristas de yogur helado; servicios de tiendas minoristas en línea de alimentos marinos; servicios de tiendas minoristas en línea de aparatos de alumbrado; servicios de tiendas minoristas en línea de aparatos médicos; servicios de tiendas minoristas en línea de aparatos para el bronceado de la piel; servicios de tiendas minoristas en línea de aparatos veterinarios; servicios de tiendas minoristas en línea de archivos de música descargables; servicios de tiendas minoristas en línea de armas; servicios de tiendas minoristas en línea de artículos de cama para animales; servicios de tiendas minoristas en línea de artículos de costura; servicios de tiendas minoristas en línea de artículos de deporte; servicios de tiendas minoristas en línea de artículos de equipaje; servicios de tiendas minoristas en línea de artículos de estimulación sexual; servicios de tiendas minoristas en línea de artículos de ferretería metálicos; servicios de tiendas minoristas en línea de artículos de guarnicionería; servicios de tiendas minoristas en línea de artículos de jardinería; servicios de tiendas minoristas en línea de artículos de joyería; servicios de tiendas minoristas en línea de artículos de limpieza; servicios de tiendas minoristas en línea de artículos de papelería; servicios de tiendas minoristas en línea de artículos de sombrerería; servicios de tiendas minoristas en línea de artículos para tabaco; servicios de tiendas minoristas en línea de artículos veterinarios; servicios de tiendas minoristas en línea de bolsos; servicios de tiendas minoristas en línea de cacao; servicios de tiendas minoristas en línea de café; servicios de tiendas minoristas en línea de calentadores; servicios de tiendas minoristas en línea de calzado; servicios de tiendas minoristas en línea de carne; servicios de tiendas minoristas en línea de cerveza; servicios de tiendas minoristas en línea de chocolate; servicios de tiendas minoristas en línea de combustibles; servicios de tiendas minoristas en línea de contenidos grabados; servicios de tiendas minoristas en línea de cubiertos; servicios de tiendas minoristas en línea de cuchillos de cocina; servicios de tiendas minoristas en línea de decoraciones festivas; servicios de tiendas minoristas en línea de dispositivos de navegación; servicios de tiendas minoristas en línea de dispositivos de protección auditiva; servicios de tiendas minoristas en línea de equipos agrícolas; servicios de tiendas minoristas en línea de equipos audiovisuales; servicios de tiendas minoristas en línea de equipos de buceo; servicios de tiendas minoristas en línea de equipos de calefacción; servicios de tiendas minoristas en línea de equipos de congelación; servicios de tiendas minoristas en línea de equipos de construcción; servicios de tiendas minoristas en línea de equipos de deporte; servicios de tiendas minoristas en línea de equipos de fisioterapia; servicios de tiendas minoristas en línea de equipos de movimiento de tierras; servicios de tiendas minoristas en línea de equipos de refrigeración; servicios de tiendas minoristas en línea de equipos de suministro de agua; servicios de tiendas minoristas en línea de equipos de tecnologías de la información; servicios de tiendas minoristas en línea de equipos hortícolas; servicios de tiendas minoristas en línea de equipos para la cocción de alimentos; servicios de tiendas minoristas en línea de equipos sanitarios; servicios de tiendas minoristas en línea de hardware; servicios de tiendas minoristas en línea de helados cremosos; servicios de tiendas minoristas en línea de herramientas accionadas manualmente para la construcción; servicios de tiendas minoristas en línea de hilados; servicios de tiendas minoristas en línea de hilos; servicios de tiendas minoristas en línea de instrumentos veterinarios; servicios de tiendas minoristas en línea de juegos; servicios de tiendas minoristas en línea de juguetes; servicios de tiendas minoristas en línea de lechos higiénicos para animales; servicios de tiendas minoristas en línea de lubricantes; servicios de tiendas minoristas en línea de materiales artísticos; servicios de tiendas minoristas en línea de mobiliario; servicios de tiendas minoristas en línea de muebles; servicios de tiendas minoristas en línea de obras de arte; servicios de tiendas minoristas en línea de ordenadores ponibles; servicios de tiendas minoristas en línea de paraguas; servicios de tiendas minoristas en línea de piensos para animales; servicios de tiendas minoristas en línea de postres; servicios de tiendas minoristas en línea de preparaciones de limpieza; servicios de tiendas minoristas en línea de preparaciones dietéticas; servicios de tiendas minoristas en línea de preparaciones para el aseo de animales; servicios de tiendas minoristas en línea de preparaciones perfumadas; servicios de tiendas minoristas en línea de preparaciones veterinarias; servicios de tiendas minoristas en línea de preparaciones y artículos veterinarios; servicios de tiendas minoristas en línea de publicaciones electrónicas descargables; servicios de tiendas minoristas en línea de relojes inteligentes; servicios de tiendas minoristas en línea de revestimientos para suelos; servicios de tiendas minoristas en línea de revoques para paredes; servicios de tiendas minoristas en línea de software; servicios de tiendas minoristas en línea de sorbetes; servicios de tiendas minoristas en línea de suplementos dietéticos; servicios de tiendas minoristas en línea de tabaco; servicios de tiendas minoristas en línea de telas; servicios de tiendas minoristas en línea de teléfonos inteligentes; servicios de tiendas minoristas en línea de té; servicios de tiendas minoristas en línea de utensilios de cocina; servicios de tiendas minoristas en línea de utensilios de mesa; servicios de tiendas minoristas en línea de vehículos; servicios de tiendas minoristas en línea de yogur helado; servicios de trabajos administrativos; servicios de transcripción; servicios de transcripción de audioconferencias; servicios de transcripción estenográfica; servicios de transcripción médica; servicios de transcripción médica [trabajos de oficina]; servicios de venta al por mayor de bebidas alcohólicas, excepto cerveza; servicios de venta al por mayor de bebidas alcohólicas, excepto cervezas; servicios de venta al por mayor de bebidas con alcohol, excepto cerveza; servicios de venta al por mayor de bebidas sin alcohol; servicios de venta al por mayor de carne; servicios de venta al por mayor de helados; servicios de venta al por mayor de helados cremosos; servicios de venta al por mayor de material educativo; servicios de venta al por mayor de material escolar; servicios de venta al por mayor de mercancías; servicios de venta al por mayor de mercancías [por todo tipo de medios]; servicios de venta al por mayor de partes de recambio para automóviles de segunda mano; servicios de venta al por mayor de piezas de recambio para automóviles de segunda mano; servicios de venta al por mayor de preparaciones de bebidas; servicios de venta al por mayor de preparaciones de bebidas alcohólicas; servicios de venta al por mayor de preparaciones para la elaboración de bebidas; servicios de venta al por mayor de preparaciones para la elaboración de bebidas alcohólicas; servicios de venta al por mayor de preparaciones para la elaboración de bebidas con alcohol; servicios de venta al por mayor de yogur helado; servicios de venta al por mayor de yogures helados; servicios de venta al por mayor en línea; servicios de venta al por mayor en línea en relación con bebidas sin alcohol; servicios de venta al por mayor en relación con bebidas alcohólicas; servicios de venta al por mayor en relación con bebidas alcohólicas, excepto cervezas; servicios de venta al por mayor en relación con bebidas con alcohol; servicios de venta al por mayor en relación con bebidas con alcohol, excepto cerveza; servicios de venta al por mayor en relación con bebidas sin alcohol; servicios de venta al por mayor en relación con material educativo; servicios de venta al por mayor en relación con material escolar; servicios de venta al por mayor en relación con preparaciones de bebidas; servicios de venta al por mayor en relación con preparaciones de bebidas alcohólicas; servicios de venta al por mayor en relación con preparaciones para la elaboración de bebidas; servicios de venta al por mayor en relación con preparaciones para la elaboración de bebidas con alcohol; servicios de venta al por mayor o al por menor; servicios de venta al por mayor por correspondencia; servicios de venta al por mayor y al por menor; servicios de venta al por mayor y al por menor en línea; servicios de venta al por menor [por todo tipo de medios] de arroz; servicios de venta al por menor [por todo tipo de medios] de bebidas; servicios de venta al por menor [por todo tipo de medios] de caramelos; servicios de venta al por menor [por todo tipo de medios] de chocolates; servicios de venta al por menor [por todo tipo de medios] de golosinas; servicios de venta al por menor [por todo tipo de medios] de helados cremosos; servicios de venta al por menor [por todo tipo de medios] de pan; servicios de venta al por menor [por todo tipo de medios] de pastas alimenticias; servicios de venta al por menor [por todo tipo de medios] de pasteles; servicios de venta al por menor [por todo tipo de medios] de sándwiches; servicios de venta al por menor de aplicaciones informáticas no descargables; servicios de venta al por menor de bebidas alcohólicas, excepto cerveza; servicios de venta al por menor de bebidas alcohólicas, excepto cervezas; servicios de venta al por menor de bebidas con alcohol, excepto cerveza; servicios de venta al por menor de carne; servicios de venta al por menor de helados; servicios de venta al por menor de helados cremosos; servicios de venta al por menor de material educativo; servicios de venta al por menor de material escolar; servicios de venta al por menor de mercancías; servicios de venta al por menor de mercancías [por todo tipo de medios]; servicios de venta al por menor de perritos calientes; servicios de venta al por menor de preparaciones para bebidas; servicios de venta al por menor de preparaciones para la elaboración de bebidas; servicios de venta al por menor de preparaciones para la elaboración de bebidas alcohólicas; servicios de venta al por menor de preparaciones para la elaboración de bebidas con alcohol; servicios de venta al por menor de programas informáticos no descargables; servicios de venta al por menor de ropa; servicios de venta al por menor de software; servicios de venta al por menor de software no descargables; servicios de venta al por menor de yogur helado; servicios de venta al por menor de yogures helados; servicios de venta al por menor en línea; servicios de venta al por menor en línea de prendas de vestir; servicios de venta al por menor en línea de preparaciones para la elaboración de bebidas; servicios de venta al por menor en relación con bebidas alcohólicas; servicios de venta al por menor en relación con bebidas alcohólicas, excepto cerveza; servicios de venta al por menor en relación con bebidas con alcohol; servicios de venta al por menor en relación con material educativo; servicios de venta al por menor en relación con material escolar; servicios de venta al por menor en relación con preparaciones de bebidas; servicios de venta al por menor o al por mayor; servicios de venta al por menor o al por mayor de aparatos eléctricos; servicios de venta al por menor o al por mayor de aparatos fotográficos; servicios de venta al por menor o al por mayor de maquinaria eléctrica; servicios de venta al por menor o al por mayor de materiales médicos; servicios de venta al por menor o al por mayor de medicamentos; servicios de venta al por menor o al por mayor de medicamentos veterinarios; servicios de venta al por menor o al por mayor de máquinas fotográficas; servicios de venta al por menor o al por mayor de preparaciones sanitarias; servicios de venta al por menor o al por mayor de preparaciones veterinarias; servicios de venta al por menor o al por mayor de suministros fotográficos; servicios de venta al por menor por correspondencia; servicios de venta al por menor relacionados con joyería; servicios de venta al por menor relacionados con ropa; servicios de venta al por menor y al por mayor; servicios de venta al por menor y al por mayor de artículos de deporte; servicios de venta de tienda al por menor en línea en relación con prendas de vestir; servicios de venta de tienda al por menor en línea que incluyen prendas de vestir; servicios de venta de tienda minorista en línea en relación con prendas de vestir; servicios de venta de tienda minorista en línea que incluyen prendas de vestir; servicios de venta mayorista de artículos de deporte; servicios de venta mayorista de artículos de equipaje; servicios de venta mayorista de artículos de estimulación sexual; servicios de venta mayorista de artículos de ferretería metálicos; servicios de venta mayorista de artículos de guarnicionería; servicios de venta mayorista de artículos de jardinería; servicios de venta mayorista de artículos de joyería; servicios de venta mayorista de artículos de limpieza; servicios de venta mayorista de artículos de papelería; servicios de venta mayorista de artículos de sombrerería; servicios de venta mayorista de artículos para tabaco; servicios de venta mayorista de artículos veterinarios; servicios de venta mayorista de bebidas alcohólicas; servicios de venta mayorista de bebidas alcohólicas, excepto cerveza; servicios de venta mayorista de bebidas alcohólicas, excepto cervezas; servicios de venta mayorista de bebidas con alcohol, excepto cerveza; servicios de venta mayorista de bebidas sin alcohol; servicios de venta mayorista de bolsos; servicios de venta mayorista de cacao; servicios de venta mayorista de café; servicios de venta mayorista de calentadores; servicios de venta mayorista de calzado; servicios de venta mayorista de carne; servicios de venta mayorista de cerveza; servicios de venta mayorista de chocolate; servicios de venta mayorista de combustibles; servicios de venta mayorista de contenidos grabados; servicios de venta mayorista de cubiertos; servicios de venta mayorista de cuchillos de cocina; servicios de venta mayorista de decoraciones festivas; servicios de venta mayorista de dispositivos de navegación; servicios de venta mayorista de dispositivos de protección auditiva; servicios de venta mayorista de equipos agrícolas; servicios de venta mayorista de equipos audiovisuales; servicios de venta mayorista de equipos de buceo; servicios de venta mayorista de equipos de calefacción; servicios de venta mayorista de equipos de congelación; servicios de venta mayorista de equipos de construcción; servicios de venta mayorista de equipos de deporte; servicios de venta mayorista de equipos de fisioterapia; servicios de venta mayorista de equipos de movimiento de tierras; servicios de venta mayorista de equipos de refrigeración; servicios de venta mayorista de equipos de suministro de agua; servicios de venta mayorista de equipos de tecnologías de la información; servicios de venta mayorista de equipos hortícolas; servicios de venta mayorista de equipos para la cocción de alimentos; servicios de venta mayorista de equipos sanitarios; servicios de venta mayorista de hardware; servicios de venta mayorista de helados; servicios de venta mayorista de helados cremosos; servicios de venta mayorista de herramientas accionadas manualmente para la construcción; servicios de venta mayorista de hilados; servicios de venta mayorista de hilos; servicios de venta mayorista de instalaciones sanitarias; servicios de venta mayorista de instrumentos accionados manualmente para la construcción; servicios de venta mayorista de instrumentos de belleza para animales; servicios de venta mayorista de instrumentos de belleza para personas; servicios de venta mayorista de instrumentos de relojería; servicios de venta mayorista de instrumentos higiénicos para animales; servicios de venta mayorista de instrumentos higiénicos para personas; servicios de venta mayorista de instrumentos musicales; servicios de venta mayorista de instrumentos médicos; servicios de venta mayorista de instrumentos para la preparación de alimentos; servicios de venta mayorista de instrumentos veterinarios; servicios de venta mayorista de juegos; servicios de venta mayorista de juguetes; servicios de venta mayorista de lechos higiénicos para animales; servicios de venta mayorista de lubricantes; servicios de venta mayorista de material educativo; servicios de venta mayorista de material escolar; servicios de venta mayorista de materiales artísticos; servicios de venta mayorista de materiales escolares; servicios de venta mayorista de mercancías; servicios de venta mayorista de mercancías [por todo tipo de medios]; servicios de venta mayorista de mobiliario; servicios de venta mayorista de muebles; servicios de venta mayorista de obras de arte; servicios de venta mayorista de ordenadores ponibles; servicios de venta mayorista de partes de recambio para automóviles de segunda mano; servicios de venta mayorista de piensos para animales; servicios de venta mayorista de piezas de recambio para automóviles de segunda mano; servicios de venta mayorista de postres; servicios de venta mayorista de prendas de vestir; servicios de venta mayorista de preparaciones de bebidas; servicios de venta mayorista de preparaciones de bebidas alcohólicas; servicios de venta mayorista de preparaciones de limpieza; servicios de venta mayorista de preparaciones dietéticas; servicios de venta mayorista de preparaciones farmacéuticas, veterinarias y sanitarias, así como suministros médicos; servicios de venta mayorista de preparaciones para el aseo de animales; servicios de venta mayorista de preparaciones para la elaboración de bebidas; servicios de venta mayorista de preparaciones para la elaboración de bebidas alcohólicas; servicios de venta mayorista de preparaciones para la elaboración de bebidas con alcohol; servicios de venta mayorista de preparaciones perfumadas; servicios de venta mayorista de preparaciones veterinarias; servicios de venta mayorista de preparaciones y artículos veterinarios; servicios de venta mayorista de publicaciones electrónicas descargables; servicios de venta mayorista de relojes inteligentes; servicios de venta mayorista de revestimientos para suelos; servicios de venta mayorista de revoques para paredes; servicios de venta mayorista de software; servicios de venta mayorista de sombrillas; servicios de venta mayorista de sorbetes; servicios de venta mayorista de suplementos dietéticos; servicios de venta mayorista de tabaco; servicios de venta mayorista de telas; servicios de venta mayorista de teléfonos inteligentes; servicios de venta mayorista de té; servicios de venta mayorista de utensilios de cocina; servicios de venta mayorista de vajilla; servicios de venta mayorista de vehículos; servicios de venta mayorista de yogur helado; servicios de venta mayorista de yogures helados; servicios de venta mayorista en línea; servicios de venta mayorista en línea en relación con bebidas sin alcohol; servicios de venta mayorista en relación con accesorios para automóviles; servicios de venta mayorista en relación con alimentos marinos; servicios de venta mayorista en relación con aparatos de alumbrado; servicios de venta mayorista en relación con aparatos médicos; servicios de venta mayorista en relación con aparatos para el bronceado de la piel; servicios de venta mayorista en relación con aparatos veterinarios; servicios de venta mayorista en relación con armas; servicios de venta mayorista en relación con artículos de cama para animales; servicios de venta mayorista en relación con artículos de costura; servicios de venta mayorista en relación con artículos de deporte; servicios de venta mayorista en relación con artículos de equipaje; servicios de venta mayorista en relación con artículos de estimulación sexual; servicios de venta mayorista en relación con artículos de ferretería metálicos; servicios de venta mayorista en relación con artículos de guarnicionería; servicios de venta mayorista en relación con artículos de jardinería; servicios de venta mayorista en relación con artículos de joyería; servicios de venta mayorista en relación con artículos de limpieza; servicios de venta mayorista en relación con artículos de papelería; servicios de venta mayorista en relación con artículos de sombrerería; servicios de venta mayorista en relación con artículos para tabaco; servicios de venta mayorista en relación con artículos veterinarios; servicios de venta mayorista en relación con bebidas alcohólicas; servicios de venta mayorista en relación con bebidas alcohólicas, excepto cervezas; servicios de venta mayorista en relación con bebidas con alcohol; servicios de venta mayorista en relación con bebidas con alcohol, excepto cerveza; servicios de venta mayorista en relación con bebidas sin alcohol; servicios de venta mayorista en relación con bolsos; servicios de venta mayorista en relación con cacao; servicios de venta mayorista en relación con café; servicios de venta mayorista en relación con calentadores; servicios de venta mayorista en relación con calzado; servicios de venta mayorista en relación con caramelos; servicios de venta mayorista en relación con carne; servicios de venta mayorista en relación con cerveza; servicios de venta mayorista en relación con chocolate; servicios de venta mayorista en relación con combustibles; servicios de venta mayorista en relación con contenidos grabados; servicios de venta mayorista en relación con cubiertos; servicios de venta mayorista en relación con cuchillos de cocina; servicios de venta mayorista en relación con decoraciones festivas; servicios de venta mayorista en relación con dispositivos de navegación; servicios de venta mayorista en relación con dispositivos de protección auditiva; servicios de venta mayorista en relación con el tabaco; servicios de venta mayorista en relación con el té; servicios de venta mayorista en relación con equipos agrícolas; servicios de venta mayorista en relación con equipos audiovisuales; servicios de venta mayorista en relación con equipos de buceo; servicios de venta mayorista en relación con equipos de calefacción; servicios de venta mayorista en relación con equipos de congelación; servicios de venta mayorista en relación con equipos de construcción; servicios de venta mayorista en relación con equipos de deporte; servicios de venta mayorista en relación con equipos de fisioterapia; servicios de venta mayorista en relación con equipos de movimiento de tierras; servicios de venta mayorista en relación con equipos de refrigeración; servicios de venta mayorista en relación con equipos de suministro de agua; servicios de venta mayorista en relación con equipos de tecnologías de la información; servicios de venta mayorista en relación con equipos hortícolas; servicios de venta mayorista en relación con equipos para la cocción de alimentos; servicios de venta mayorista en relación con equipos sanitarios; servicios de venta mayorista en relación con flores; servicios de venta mayorista en relación con hardware; servicios de venta mayorista en relación con helados cremosos; servicios de venta mayorista en relación con herramientas accionadas manualmente para la construcción; servicios de venta mayorista en relación con hilados; servicios de venta mayorista en relación con hilos; servicios de venta mayorista en relación con instalaciones sanitarias; servicios de venta mayorista en relación con instrumentos accionados manualmente para la construcción; servicios de venta mayorista en relación con instrumentos de belleza para animales; servicios de venta mayorista en relación con instrumentos de belleza para personas; servicios de venta mayorista en relación con instrumentos de relojería; servicios de venta mayorista en relación con instrumentos higiénicos para animales; servicios de venta mayorista en relación con instrumentos higiénicos para personas; servicios de venta mayorista en relación con instrumentos musicales; servicios de venta mayorista en relación con instrumentos médicos; servicios de venta mayorista en relación con instrumentos para la preparación de alimentos; servicios de venta mayorista en relación con instrumentos veterinarios; servicios de venta mayorista en relación con juegos; servicios de venta mayorista en relación con juguetes; servicios de venta mayorista en relación con lechos higiénicos para animales; servicios de venta mayorista en relación con lubricantes; servicios de venta mayorista en relación con material educativo; servicios de venta mayorista en relación con material escolar; servicios de venta mayorista en relación con materiales artísticos; servicios de venta mayorista en relación con materiales escolares; servicios de venta mayorista en relación con mobiliario; servicios de venta mayorista en relación con muebles; servicios de venta mayorista en relación con obras de arte; servicios de venta mayorista en relación con ordenadores ponibles; servicios de venta mayorista en relación con paraguas; servicios de venta mayorista en relación con partes de automóviles; servicios de venta mayorista en relación con pescado; servicios de venta mayorista en relación con pieles; servicios de venta mayorista en relación con pieles artificiales; servicios de venta mayorista en relación con piensos para animales; servicios de venta mayorista en relación con postres; servicios de venta mayorista en relación con prendas de vestir; servicios de venta mayorista en relación con preparaciones de bebidas; servicios de venta mayorista en relación con preparaciones de limpieza; servicios de venta mayorista en relación con preparaciones dietéticas; servicios de venta mayorista en relación con preparaciones para el aseo de animales; servicios de venta mayorista en relación con preparaciones para la elaboración de bebidas; servicios de venta mayorista en relación con preparaciones para la elaboración de bebidas con alcohol; servicios de venta mayorista en relación con preparaciones perfumadas; servicios de venta mayorista en relación con preparaciones veterinarias; servicios de venta mayorista en relación con preparaciones y artículos veterinarios; servicios de venta mayorista en relación con relojes inteligentes; servicios de venta mayorista en relación con revestimientos para suelos; servicios de venta mayorista en relación con revoques para paredes; servicios de venta mayorista en relación con software; servicios de venta mayorista en relación con sorbetes; servicios de venta mayorista en relación con suplementos dietéticos; servicios de venta mayorista en relación con tejidos; servicios de venta mayorista en relación con teléfonos inteligentes; servicios de venta mayorista en relación con utensilios de cocina; servicios de venta mayorista en relación con utensilios de mesa; servicios de venta mayorista en relación con vehículos; servicios de venta mayorista en relación con yogur helado; servicios de venta mayorista o minorista; servicios de venta mayorista por correspondencia; servicios de venta mayorista y minorista; servicios de venta mayorista y minorista en línea; servicios de venta mayoristas en relación con preparaciones de bebidas alcohólicas; servicios de venta minorista [por todo tipo de medios] de arroz; servicios de venta minorista [por todo tipo de medios] de bebidas; servicios de venta minorista [por todo tipo de medios] de bocadillos; servicios de venta minorista [por todo tipo de medios] de caramelos; servicios de venta minorista [por todo tipo de medios] de chocolates; servicios de venta minorista [por todo tipo de medios] de golosinas; servicios de venta minorista [por todo tipo de medios] de helados cremosos; servicios de venta minorista [por todo tipo de medios] de pan; servicios de venta minorista [por todo tipo de medios] de pastas alimenticias; servicios de venta minorista [por todo tipo de medios] de pasteles; servicios de venta minorista de alimentos; servicios de venta minorista de alimentos marinos; servicios de venta minorista de aparatos de alumbrado; servicios de venta minorista de aparatos médicos; servicios de venta minorista de aparatos para el bronceado de la piel; servicios de venta minorista de aparatos veterinarios; servicios de venta minorista de aplicaciones informáticas no descargables; servicios de venta minorista de archivos de música descargables; servicios de venta minorista de armas; servicios de venta minorista de artículos de cama para animales; servicios de venta minorista de artículos de costura; servicios de venta minorista de artículos de deporte; servicios de venta minorista de artículos de equipaje; servicios de venta minorista de artículos de estimulación sexual; servicios de venta minorista de artículos de ferretería metálicos; servicios de venta minorista de artículos de guarnicionería; servicios de venta minorista de artículos de jardinería; servicios de venta minorista de artículos de joyería; servicios de venta minorista de artículos de limpieza; servicios de venta minorista de artículos de papelería; servicios de venta minorista de artículos de sombrerería; servicios de venta minorista de artículos para tabaco; servicios de venta minorista de artículos veterinarios; servicios de venta minorista de bebidas alcohólicas; servicios de venta minorista de bebidas alcohólicas, excepto cerveza; servicios de venta minorista de bebidas alcohólicas, excepto cervezas; servicios de venta minorista de bebidas con alcohol, excepto cerveza; servicios de venta minorista de bebidas sin alcohol; servicios de venta minorista de bolsos; servicios de venta minorista de cacao; servicios de venta minorista de café; servicios de venta minorista de calentadores; servicios de venta minorista de calzado; servicios de venta minorista de carne; servicios de venta minorista de cerveza; servicios de venta minorista de chocolate; servicios de venta minorista de combustibles; servicios de venta minorista de contenidos grabados; servicios de venta minorista de cubiertos; servicios de venta minorista de cuchillos de cocina; servicios de venta minorista de decoraciones festivas; servicios de venta minorista de dispositivos de navegación; servicios de venta minorista de dispositivos de protección auditiva; servicios de venta minorista de equipos agrícolas; servicios de venta minorista de equipos audiovisuales; servicios de venta minorista de equipos de buceo; servicios de venta minorista de equipos de calefacción; servicios de venta minorista de equipos de congelación; servicios de venta minorista de equipos de construcción; servicios de venta minorista de equipos de deporte; servicios de venta minorista de equipos de fisioterapia; servicios de venta minorista de equipos de movimiento de tierras; servicios de venta minorista de equipos de refrigeración; servicios de venta minorista de equipos de suministro de agua; servicios de venta minorista de equipos de tecnologías de la información; servicios de venta minorista de equipos hortícolas; servicios de venta minorista de equipos para la cocción de alimentos; servicios de venta minorista de equipos sanitarios; servicios de venta minorista de hardware; servicios de venta minorista de helados; servicios de venta minorista de helados cremosos; servicios de venta minorista de herramientas accionadas manualmente para la construcción; servicios de venta minorista de hilados; servicios de venta minorista de hilos; servicios de venta minorista de instalaciones sanitarias; servicios de venta minorista de instrumentos accionados manualmente para la construcción; servicios de venta minorista de instrumentos de belleza para animales; servicios de venta minorista de instrumentos de belleza para personas; servicios de venta minorista de instrumentos de relojería; servicios de venta minorista de instrumentos higiénicos para animales; servicios de venta minorista de instrumentos higiénicos para personas; servicios de venta minorista de instrumentos musicales; servicios de venta minorista de instrumentos médicos; servicios de venta minorista de instrumentos para la preparación de alimentos; servicios de venta minorista de instrumentos veterinarios; servicios de venta minorista de juegos; servicios de venta minorista de juguetes; servicios de venta minorista de lechos higiénicos para animales; servicios de venta minorista de lubricantes; servicios de venta minorista de material educativo; servicios de venta minorista de material escolar; servicios de venta minorista de materiales artísticos; servicios de venta minorista de materiales escolares; servicios de venta minorista de mercancías; servicios de venta minorista de mercancías [por todo tipo de medios]; servicios de venta minorista de mobiliario; servicios de venta minorista de muebles; servicios de venta minorista de obras de arte; servicios de venta minorista de obras de arte suministradas por galerías de arte; servicios de venta minorista de ordenadores ponibles; servicios de venta minorista de paraguas; servicios de venta minorista de partes de recambio para automóviles de segunda mano; servicios de venta minorista de piensos para animales; servicios de venta minorista de piezas de recambio para automóviles de segunda mano; servicios de venta minorista de postres; servicios de venta minorista de prendas de vestir; servicios de venta minorista de preparaciones dietéticas; servicios de venta minorista de preparaciones farmacéuticas, veterinarias y sanitarias, así como de suministros médicos; servicios de venta minorista de preparaciones para bebidas; servicios de venta minorista de preparaciones para el aseo de animales; servicios de venta minorista de preparaciones para la elaboración de bebidas; servicios de venta minorista de preparaciones para la elaboración de bebidas alcohólicas; servicios de venta minorista de preparaciones para la elaboración de bebidas con alcohol; servicios de venta minorista de preparaciones perfumadas; servicios de venta minorista de preparaciones veterinarias; servicios de venta minorista de preparaciones y artículos veterinarios; servicios de venta minorista de programas informáticos no descargables; servicios de venta minorista de publicaciones electrónicas descargables; servicios de venta minorista de relojes inteligentes; servicios de venta minorista de revestimientos para suelos; servicios de venta minorista de revoques para paredes; servicios de venta minorista de servicios de mesa; servicios de venta minorista de software; servicios de venta minorista de software no descargables; servicios de venta minorista de sorbetes; servicios de venta minorista de suplementos dietéticos; servicios de venta minorista de tabaco; servicios de venta minorista de telas; servicios de venta minorista de teléfonos inteligentes; servicios de venta minorista de té; servicios de venta minorista de utensilios de cocina; servicios de venta minorista de vehículos; servicios de venta minorista de yogur helado; servicios de venta minorista de yogures helados; servicios de venta minorista en línea; servicios de venta minorista en línea de cosméticos; servicios de venta minorista en línea de música digital descargable; servicios de venta minorista en línea de música y películas pregrabados y descargables; servicios de venta minorista en línea de prendas de vestir; servicios de venta minorista en línea de preparaciones para la elaboración de bebidas; servicios de venta minorista en línea de tonos de llamada descargables; servicios de venta minorista en línea en relación con artículos de equipaje; servicios de venta minorista en línea en relación con artículos de joyería; servicios de venta minorista en línea en relación con bolsos de mano; servicios de venta minorista en línea en relación con juguetes; servicios de venta minorista en línea en relación con prendas de vestir; servicios de venta minorista en línea en relación con regalos; servicios de venta minorista en relación con accesorios para automóviles; servicios de venta minorista en relación con alimentos marinos; servicios de venta minorista en relación con aparatos de alumbrado; servicios de venta minorista en relación con aparatos médicos; servicios de venta minorista en relación con aparatos para el bronceado de la piel; servicios de venta minorista en relación con aparatos veterinarios; servicios de venta minorista en relación con archivos de música descargables; servicios de venta minorista en relación con armas; servicios de venta minorista en relación con artículos de cama para animales; servicios de venta minorista en relación con artículos de costura; servicios de venta minorista en relación con artículos de deporte; servicios de venta minorista en relación con artículos de equipaje; servicios de venta minorista en relación con artículos de estimulación sexual; servicios de venta minorista en relación con artículos de ferretería metálicos; servicios de venta minorista en relación con artículos de guarnicionería; servicios de venta minorista en relación con artículos de jardinería; servicios de venta minorista en relación con artículos de joyería; servicios de venta minorista en relación con artículos de limpieza; servicios de venta minorista en relación con artículos de papelería; servicios de venta minorista en relación con artículos de sombrerería; servicios de venta minorista en relación con artículos para tabaco; servicios de venta minorista en relación con artículos veterinarios; servicios de venta minorista en relación con bebidas alcohólicas; servicios de venta minorista en relación con bebidas alcohólicas, excepto cerveza; servicios de venta minorista en relación con bebidas con alcohol; servicios de venta minorista en relación con bolsos; servicios de venta minorista en relación con cacao; servicios de venta minorista en relación con café; servicios de venta minorista en relación con calentadores; servicios de venta minorista en relación con calzado; servicios de venta minorista en relación con caramelos; servicios de venta minorista en relación con carne; servicios de venta minorista en relación con cerveza; servicios de venta minorista en relación con chocolate; servicios de venta minorista en relación con combustibles; servicios de venta minorista en relación con contenidos grabados; servicios de venta minorista en relación con cubiertos; servicios de venta minorista en relación con cuchillos de cocina; servicios de venta minorista en relación con decoraciones festivas; servicios de venta minorista en relación con dispositivos de navegación; servicios de venta minorista en relación con dispositivos de protección auditiva; servicios de venta minorista en relación con el tabaco; servicios de venta minorista en relación con el té; servicios de venta minorista en relación con equipos agrícolas; servicios de venta minorista en relación con equipos audiovisuales; servicios de venta minorista en relación con equipos de buceo; servicios de venta minorista en relación con equipos de calefacción; servicios de venta minorista en relación con equipos de congelación; servicios de venta minorista en relación con equipos de construcción; servicios de venta minorista en relación con equipos de deporte; servicios de venta minorista en relación con equipos de fisioterapia; servicios de venta minorista en relación con equipos de movimiento de tierras; servicios de venta minorista en relación con equipos de refrigeración; servicios de venta minorista en relación con equipos de suministro de agua; servicios de venta minorista en relación con equipos de tecnologías de la información; servicios de venta minorista en relación con equipos hortícolas; servicios de venta minorista en relación con equipos para la cocción de alimentos; servicios de venta minorista en relación con equipos sanitarios; servicios de venta minorista en relación con flores; servicios de venta minorista en relación con frutas; servicios de venta minorista en relación con hardware; servicios de venta minorista en relación con helados cremosos; servicios de venta minorista en relación con herramientas accionadas manualmente para la construcción; servicios de venta minorista en relación con hilados; servicios de venta minorista en relación con hilos; servicios de venta minorista en relación con instalaciones sanitarias; servicios de venta minorista en relación con instrumentos accionados manualmente para la construcción; servicios de venta minorista en relación con instrumentos de belleza para animales; servicios de venta minorista en relación con instrumentos de belleza para personas; servicios de venta minorista en relación con instrumentos de relojería; servicios de venta minorista en relación con instrumentos higiénicos para animales; servicios de venta minorista en relación con instrumentos higiénicos para personas; servicios de venta minorista en relación con instrumentos musicales; servicios de venta minorista en relación con instrumentos médicos; servicios de venta minorista en relación con instrumentos para la preparación de alimentos; servicios de venta minorista en relación con instrumentos veterinarios; servicios de venta minorista en relación con juegos; servicios de venta minorista en relación con juguetes; servicios de venta minorista en relación con lechos higiénicos para animales; servicios de venta minorista en relación con lubricantes; servicios de venta minorista en relación con material educativo; servicios de venta minorista en relación con material escolar; servicios de venta minorista en relación con materiales artísticos; servicios de venta minorista en relación con mobiliario; servicios de venta minorista en relación con muebles; servicios de venta minorista en relación con obras de arte; servicios de venta minorista en relación con ordenadores ponibles; servicios de venta minorista en relación con paraguas; servicios de venta minorista en relación con partes de automóviles; servicios de venta minorista en relación con pescado; servicios de venta minorista en relación con pieles; servicios de venta minorista en relación con pieles artificiales; servicios de venta minorista en relación con piensos para animales; servicios de venta minorista en relación con postres; servicios de venta minorista en relación con prendas de vestir; servicios de venta minorista en relación con preparaciones de bebidas; servicios de venta minorista en relación con preparaciones de limpieza; servicios de venta minorista en relación con preparaciones dietéticas; servicios de venta minorista en relación con preparaciones para el aseo de animales; servicios de venta minorista en relación con preparaciones perfumadas; servicios de venta minorista en relación con preparaciones veterinarias; servicios de venta minorista en relación con preparaciones y artículos veterinarios; servicios de venta minorista en relación con publicaciones electrónicas descargables; servicios de venta minorista en relación con relojes inteligentes; servicios de venta minorista en relación con revestimientos para suelos; servicios de venta minorista en relación con revoques para paredes; servicios de venta minorista en relación con software; servicios de venta minorista en relación con sorbetes; servicios de venta minorista en relación con suplementos dietéticos; servicios de venta minorista en relación con tejidos; servicios de venta minorista en relación con teléfonos inteligentes; servicios de venta minorista en relación con utensilios de cocina; servicios de venta minorista en relación con utensilios de mesa; servicios de venta minorista en relación con vehículos; servicios de venta minorista en relación con yogur helado; servicios de venta minorista mediante redes informáticas de comunicación; servicios de venta minorista o al mayorista de medicamentos veterinarios; servicios de venta minorista o mayorista; servicios de venta minorista o mayorista de alimentos y bebidas; servicios de venta minorista o mayorista de aparatos eléctricos; servicios de venta minorista o mayorista de aparatos fotográficos; servicios de venta minorista o mayorista de aparejos de pesca; servicios de venta minorista o mayorista de arroz; servicios de venta minorista o mayorista de arroz y cereales; servicios de venta minorista o mayorista de artículos de deporte; servicios de venta minorista o mayorista de artículos de papelería; servicios de venta minorista o mayorista de artículos para fumadores; servicios de venta minorista o mayorista de automóviles; servicios de venta minorista o mayorista de bicicletas; servicios de venta minorista o mayorista de bolsas; servicios de venta minorista o mayorista de bolsas y bolsitas; servicios de venta minorista o mayorista de cacao; servicios de venta minorista o mayorista de café; servicios de venta minorista o mayorista de calzado; servicios de venta minorista o mayorista de cereales; servicios de venta minorista o mayorista de comidas y bebidas; servicios de venta minorista o mayorista de dentífricos; servicios de venta minorista o mayorista de detergentes; servicios de venta minorista o mayorista de frutas, verduras, hortalizas y legumbres; servicios de venta minorista o mayorista de jabones; servicios de venta minorista o mayorista de maquinaria eléctrica; servicios de venta minorista o mayorista de materiales médicos; servicios de venta minorista o mayorista de medicamentos; servicios de venta minorista o mayorista de muebles; servicios de venta minorista o mayorista de máquinas fotográficas; servicios de venta minorista o mayorista de máquinas y aparatos eléctricos; servicios de venta minorista o mayorista de papel y artículos de papelería; servicios de venta minorista o mayorista de prendas de vestir; servicios de venta minorista o mayorista de preparaciones sanitarias; servicios de venta minorista o mayorista de preparaciones veterinarias; servicios de venta minorista o mayorista de ropa de cama; servicios de venta minorista o mayorista de suministros fotográficos; servicios de venta minorista o mayorista de tabaco; servicios de venta minorista o mayorista de tabaco y artículos para fumadores; servicios de venta minorista o mayorista de tejidos; servicios de venta minorista o mayorista de tejidos y ropa de cama; servicios de venta minorista o mayorista de té; servicios de venta minorista o mayorista de té, café y cacao; servicios de venta minorista o mayorista de vehículos de motor de dos ruedas; servicios de venta minorista por catálogos de venta por correspondencia; servicios de venta minorista por correo de prendas de vestir; servicios de venta minorista por correspondencia; servicios de venta minorista por correspondencia de accesorios de prendas de vestir; servicios de venta minorista por correspondencia de bebidas no alcohólicas; servicios de venta minorista por correspondencia de cervezas; servicios de venta minorista por correspondencia de cosméticos; servicios de venta minorista por correspondencia de prendas de vestir y accesorios; servicios de venta minorista por correspondencia de ropa y accesorios de prendas de vestir; servicios de venta minorista prestados por boutiques de prendas de vestir; servicios de venta minorista prestados por carnicerías; servicios de venta minorista prestados por centros comerciales en línea; servicios de venta minorista prestados por droguerías; servicios de venta minorista prestados por estancos; servicios de venta minorista prestados por floristerías; servicios de venta minorista prestados por grandes almacenes; servicios de venta minorista prestados por hipermercados; servicios de venta minorista prestados por joyerías; servicios de venta minorista prestados por librerías; servicios de venta minorista prestados por panaderías; servicios de venta minorista prestados por puestos de frutas; servicios de venta minorista prestados por supermercados; servicios de venta minorista prestados por tabaquerías; servicios de venta minorista prestados por televisión interactiva; servicios de venta minorista prestados por tiendas con descuentos; servicios de venta minorista prestados por tiendas de aparatos de televisión; servicios de venta minorista prestados por tiendas de artículos de deporte; servicios de venta minorista prestados por tiendas de bazar; servicios de venta minorista prestados por tiendas de caramelos; servicios de venta minorista prestados por tiendas de conveniencia; servicios de venta minorista prestados por tiendas de césped, floristerías y viveros; servicios de venta minorista prestados por tiendas de discos; servicios de venta minorista prestados por tiendas de muebles; servicios de venta minorista prestados por tiendas de música; servicios de venta minorista prestados por tiendas de música y discos; servicios de venta minorista prestados por tiendas de neumáticos; servicios de venta minorista prestados por tiendas de piezas y accesorios de automóviles; servicios de venta minorista prestados por tiendas de prendas de vestir; servicios de venta minorista prestados por tiendas de prendas de vestir con descuentos; servicios de venta minorista prestados por tiendas de regalos; servicios de venta minorista prestados por tiendas de regalos en línea; servicios de venta minorista prestados por tiendas de segunda mano; servicios de venta minorista prestados por vendedores a domicilio; servicios de venta minorista que ofrecen un programa de incentivos para clientes; servicios de venta minorista y mayorista; servicios de ventas en pública subasta prestados mediante redes de telecomunicación; servicios de voz en off con fines de promoción; servicios de voz en off con fines publicitarios; servicios de voz en off para comerciales; servicios de voz en off para la producción de anuncios de radio; servicios de voz en off para la producción de anuncios de televisión; servicios en línea de tiendas minoristas de venta de música y vídeos grabados descargables; servicios informatizados de compra en línea de regalos; servicios informatizados de pedidos en línea; servicios informatizados de tiendas minoristas en línea; servicios informatizados en línea de venta al por mayor y al por menor; servicios informatizados en línea de venta mayorista y minorista; servicios promocionales; servicios promocionales y publicitarios; servicios publicitarios de pago por clic; servicios publicitarios para la promoción del comercio electrónico; servicios publicitarios para terceros; servicios publicitarios por internet; servicios publicitarios prestados por una agencia de publicidad por radio y televisión; servicios publicitarios y de marketing prestados por medio de blogs; servicios publicitarios y promocionales; servicios que comprenden el registro, la transcripción, la composición, la compilación o la sistematización de comunicaciones escritas y grabaciones; servicios que comprenden el registro, transcripción, composición, compilación o sistematización de comunicaciones escritas y grabaciones; servicios que comprenden el registro, transcripción, composición, compilación o sistematización de comunicaciones escritas y grabaciones [trabajos de oficina]; servicios telefónicos de contestación automática; suministro de documentos de transporte por cuenta de terceros [servicios administrativos]; suministro de información sobre servicios de traslado de empleados; suministro de servicios de secretaría; suscripción a servicios de internet para terceros; suscripción a servicios de telecomunicaciones para terceros; tramitación de la solicitud de visado de estudiante para terceros [servicios administrativos]; tramitación de solicitudes de visado para terceros [servicios administrativos]; tramitación de suscripciones a servicios telefónicos por cuenta de terceros.
</x:t>
        </x:is>
      </x:c>
      <x:c r="L647" s="3" t="inlineStr">
        <x:is>
          <x:t>No</x:t>
        </x:is>
      </x:c>
      <x:c r="M647" s="3" t="inlineStr">
        <x:is>
          <x:t/>
        </x:is>
      </x:c>
      <x:c r="N647" s="3" t="inlineStr">
        <x:is>
          <x:t/>
        </x:is>
      </x:c>
      <x:c r="O647" s="3" t="inlineStr">
        <x:is>
          <x:t>16 feb. 2023</x:t>
        </x:is>
      </x:c>
      <x:c r="P647" s="3" t="inlineStr">
        <x:is>
          <x:t/>
        </x:is>
      </x:c>
      <x:c r="Q647" s="3" t="inlineStr">
        <x:is>
          <x:t/>
        </x:is>
      </x:c>
    </x:row>
    <x:row r="648">
      <x:c r="A648" s="10" t="inlineStr">
        <x:f xml:space="preserve">HYPERLINK("http://sipi.sic.gov.co/sipi/View.ashx?4486668","SD2022/0125864")</x:f>
      </x:c>
      <x:c r="B648" s="3" t="inlineStr">
        <x:is>
          <x:t>Mística Art </x:t>
        </x:is>
      </x:c>
      <x:c r="C648" s="3" t="inlineStr">
        <x:is>
          <x:t/>
        </x:is>
      </x:c>
      <x:c r="D648" s="3" t="inlineStr">
        <x:is>
          <x:t>05 dic. 2022</x:t>
        </x:is>
      </x:c>
      <x:c r="E648" s="3" t="inlineStr">
        <x:is>
          <x:t/>
        </x:is>
      </x:c>
      <x:c r="F648" s="3" t="inlineStr">
        <x:is>
          <x:t>Negada</x:t>
        </x:is>
      </x:c>
      <x:c r="G648" s="3" t="inlineStr">
        <x:is>
          <x:t>1015</x:t>
        </x:is>
      </x:c>
      <x:c r="H648" s="3" t="inlineStr">
        <x:is>
          <x:t>Maria Alejandra Castillo Rios, calle 74a#113a-29, BOGOTA, CUNDINAMARCA 111031, CO</x:t>
        </x:is>
      </x:c>
      <x:c r="I648" s="3" t="inlineStr">
        <x:is>
          <x:t>3</x:t>
        </x:is>
      </x:c>
      <x:c r="J648" s="3" t="inlineStr">
        <x:is>
          <x:t>11</x:t>
        </x:is>
      </x:c>
      <x:c r="K648" s="3" t="inlineStr">
        <x:is>
          <x:t>3. Aceites esenciales industriales para uso en la fabricación de productos de tabaco; aceites esenciales para la fabricación de productos perfumados; aceites esenciales para uso en la fabricación de productos neutralizadores de olores; aceites esenciales para uso industrial para uso en la fabricación de productos de tabaco; aceites para bebés [productos de tocador]; aceites para después del sol [productos cosméticos]; aceites perfumados para la fabricación de productos cosméticos; almizcle [producto de perfumería]; almohadillas de limpieza impregnadas con productos cosméticos; almohadillas limpiadoras impregnadas de productos cosméticos; ambientadores de interior [productos para perfumar el aire]; ambientadores de interior [productos para perfumar el ambiente]; ambientadores de interior en cuanto productos para perfumar el aire; ambientadores de interior en cuanto productos para perfumar el ambiente; colonias, perfumes y productos cosméticos; colorantes labiales [productos cosméticos]; colorantes para los labios [productos cosméticos]; correctores de imperfecciones [productos cosméticos]; cremas de limpieza [productos cosméticos]; cremas limpiadoras [productos cosméticos]; desodorantes corporales [productos de perfumería]; desodorantes para personas o animales [productos de perfumería]; esmaltes de base para las uñas [productos cosméticos]; esponjas impregnadas con productos de tocador; esponjas impregnadas con productos de tocador no medicinales; espumas en cuanto productos par el peinado; espumas para el cabello [productos de tocador]; espumas para el peinado del cabello [productos de tocador]; extractos de flores [productos de perfumería]; extractos de flores en cuanto productos de perfumería; fragancias y productos de perfumería; geles para después del sol [productos cosméticos]; iononas [productos de perfumería]; leches para después del sol [productos cosméticos]; limpiadores cutáneos [productos cosméticos]; limpiadores de la piel [productos cosméticos]; limpiadores faciales [productos cosméticos]; lociones para bebés [productos de tocador]; lociones para la piel [productos cosméticos]; mascarillas faciales [productos cosméticos]; paños desechables impregnados de productos o compuestos químicos limpiadores para uso industrial o comercial; paños desechables impregnados de productos químicos o compuestos limpiadores para la higiene personal; paños impregnados de productos de limpieza para la piel; paños impregnados de productos limpiadores para la piel; paños o toallitas impregnados de productos limpiadores para la piel; perfumes, aguas de colonia y productos para después del afeitado; polvos para bebés [productos de tocador]; preparaciones blanqueadoras para la piel [productos cosméticos]; preparaciones de higiene en cuanto productos de tocador; preparaciones de protección solar [productos cosméticos]; preparaciones higiénicas en cuanto productos de tocador no medicinales; preparaciones no medicinales para el aseo de animales que no sean productos para lavarlos; preparaciones para el cuidado de la piel [productos cosméticos]; preparaciones sanitarias en cuanto productos de tocador no medicinales; preparaciones y productos para el cuidado de las uñas; productos antiestáticos para uso doméstico; productos antitranspirantes [artículos de tocador]; productos aromáticos para uso doméstico; productos blanqueadores [lavandería]; productos blanqueadores de dientes; productos blanqueadores para el cuero; productos blanqueadores para lavar la ropa; productos blanqueadores para uso doméstico; productos con filtro solar; productos con filtro solar a prueba de agua; productos con filtro solar para uso cosmético; productos con filtro solar resistentes al agua; productos con pantalla solar;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afeitar; productos de aromaterapia; productos de enjuague para el cabello; productos de enjuague para el cabello [champús acondicionadores]; productos de fumigación [perfumes]; productos de glaseado para lavar la ropa; productos de jabón; productos de jabón no medicinales;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productos de limpieza para uso en azulejos; productos de limpieza para vidrios; productos de limpieza químicos en forma de gel para desagües; productos de limpieza químicos en forma de polvo para desagües; productos de limpieza químicos en forma líquida para desagües; productos de limpieza químicos para desagües; productos de limpieza ácidos para desagües; productos de maquillaje;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perfumería, inciensos y fragancias; productos de revestimiento para esculpir uñas; productos de revestimiento para esculpir uñas [productos cosméticos]; productos de textura para el cabello; productos de tocador no medicinales; productos decolorantes para el cabello; productos depilatorios; productos desengrasantes que no sean para procesos de fabricación; productos desoxidantes; productos en aerosol para refrescar el aliento; productos hidratantes antienvejecimiento; productos hidratantes para después del sol; productos hidratantes para el cabello; productos limpiadores con desodorante para lechos higiénicos de animales; productos neutralizantes para permanentes; productos no medicamentosos para refrescar el aliento; productos no medicinales para el cuidado de la piel; productos no medicinales para enjuagarse la boca y hacer gargarismos; productos no medicinales para lavarse las manos; productos no medicinales para lavarse y enjuagarse la boca; productos para ablandar las uñas; productos para aclarar el cabello; productos para aclarar la piel; productos para afilar; productos para afinar el grano de la piel; productos para alisar [lavandería]; productos para amolar; productos para blanquear los dientes; productos para dar brillo; productos para decolorar el cabello; productos para después del afeitado; productos para desrizar el cabello; productos para el cuidado de la piel, no medicinales; productos para el cuidado de las uñas; productos para eliminar las manchas producidas por animales de compañía; productos para lavar perros [champús]; productos para lavar platos; productos para limpiar papel pintado; productos para limpiar papel tapiz; productos para lustrar automóviles; productos para lustrar cromo; productos para lustrar cueros; productos para lustrar instrumentos musicales; productos para lustrar muebles; productos para lustrar pieles curtidas; productos para lustrar pisos; productos para lustrar suelos; productos para mejorar la textura de la piel; productos para perfumar el ambiente; productos para perfumar la ropa; productos para poner la ropa en remojo; productos para pulir guitarras; productos para pulir metales; productos para pulir muebles y pisos; productos para pulir muebles y suelos; productos para quitar barnices; productos para quitar lacas; productos para quitar pinturas; productos para quitar tintes; productos para refrescar el aliento; productos para refrescar el aliento que no sean para uso médico; productos para refrescar el aliento, a saber, barritas masticables de extractos de abedul; productos para refrescar la piel; productos para remojar la ropa; productos para suavizar y eliminar las manchas; productos químicos de uso doméstico para avivar los colores [lavandería]; productos y preparaciones cosméticos para el cuidado de la piel; productos y preparaciones no medicinales para el cuidado de la piel; productos y preparaciones para el cuidado del cabello; protectores solares para los labios [productos cosméticos]; talco para bebés [productos de tocador]; tintes labiales [productos cosméticos]; tintes para los labios [productos cosméticos]; toallas de papel para las manos impregnadas de productos cosméticos; toallitas impregnadas de productos cosméticos; toallitas impregnadas de productos limpiadores para la piel; toallitas o paños impregnados de productos limpiadores para la piel; vainillina sintética [productos de perfumería]; ámbar [productos de perfumería]; velas de masaje para uso cosmético.
</x:t>
        </x:is>
      </x:c>
      <x:c r="L648" s="3" t="inlineStr">
        <x:is>
          <x:t>No</x:t>
        </x:is>
      </x:c>
      <x:c r="M648" s="3" t="inlineStr">
        <x:is>
          <x:t/>
        </x:is>
      </x:c>
      <x:c r="N648" s="3" t="inlineStr">
        <x:is>
          <x:t/>
        </x:is>
      </x:c>
      <x:c r="O648" s="3" t="inlineStr">
        <x:is>
          <x:t>16 feb. 2023</x:t>
        </x:is>
      </x:c>
      <x:c r="P648" s="3" t="inlineStr">
        <x:is>
          <x:t/>
        </x:is>
      </x:c>
      <x:c r="Q648" s="3" t="inlineStr">
        <x:is>
          <x:t/>
        </x:is>
      </x:c>
    </x:row>
    <x:row r="649">
      <x:c r="A649" s="10" t="inlineStr">
        <x:f xml:space="preserve">HYPERLINK("http://sipi.sic.gov.co/sipi/View.ashx?4487098","SD2022/0125970")</x:f>
      </x:c>
      <x:c r="B649" s="3" t="inlineStr">
        <x:is>
          <x:t>INEFABLE BY MJM</x:t>
        </x:is>
      </x:c>
      <x:c r="C649" s="9" t="inlineStr">
        <x:is>
          <x:t/>
        </x:is>
      </x:c>
      <x:c r="D649" s="3" t="inlineStr">
        <x:is>
          <x:t>05 dic. 2022</x:t>
        </x:is>
      </x:c>
      <x:c r="E649" s="3" t="inlineStr">
        <x:is>
          <x:t/>
        </x:is>
      </x:c>
      <x:c r="F649" s="3" t="inlineStr">
        <x:is>
          <x:t>Negada</x:t>
        </x:is>
      </x:c>
      <x:c r="G649" s="3" t="inlineStr">
        <x:is>
          <x:t>INEFABLE</x:t>
        </x:is>
      </x:c>
      <x:c r="H649" s="3" t="inlineStr">
        <x:is>
          <x:t>María José  Montenegro Montoya, Calle 15 #79 - 240, MEDELLIN, ANTIOQUIA, CO</x:t>
        </x:is>
      </x:c>
      <x:c r="I649" s="3" t="inlineStr">
        <x:is>
          <x:t>3</x:t>
        </x:is>
      </x:c>
      <x:c r="J649" s="3" t="inlineStr">
        <x:is>
          <x:t>11</x:t>
        </x:is>
      </x:c>
      <x:c r="K649" s="3" t="inlineStr">
        <x:is>
          <x:t>3. Acondicionadores labiales; bálsamos labiales; bálsamos labiales a base de cáñamo; bálsamos labiales no medicinales; colorantes labiales; colorantes labiales [cosméticos]; colorantes labiales [productos cosméticos]; lápices labiales; lápices labiales hidratantes; paletas de brillos labiales; pomadas labiales; protectores labiales no medicinales; tintes labiales; tintes labiales [cosméticos]; tintes labiales [productos cosméticos]; tintes labiales para uso cosmético; kits de maquillaje; kits de maquillaje que consisten principalmente en bases de maquillaje, rímeles, coloretes, brillos de labios y lápices de labios [sin incluir pinceles ni esponjas]; lápices de maquillaje; maquillaje; maquillaje [cosméticos]; maquillaje de teatro, a saber, sangre falsa; maquillaje para el cuerpo; maquillaje para el rostro; maquillaje para el rostro y el cuerpo; maquillaje para la cara; maquillaje para la cara y el cuerpo; maquillaje para la piel; maquillaje para los ojos; maquillaje para polveras; maquillaje teatral; maquillaje vendido en polveras; maquillajes de base; maquillajes de base en crema; maquillajes de ojos; maquillajes faciales; maquillajes para el teatro; mizu-oshiroi [bases de maquillaje líquidas];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polvos de maquillaje; preparaciones de maquillaje para el rostro y el cuerpo; preparaciones de maquillaje para la cara y el cuerpo; productos cosméticos y de maquillaje; productos de maquillaje; sangre falsa [maquillaje de teatro]; sprays para fijar el maquillaje; tiza para maquillaje; barras de labios con protección solar [cosméticos]; barras de labios en stick con protección solar [cosméticos]; cosméticos; cosméticos de belleza; cosméticos en forma de cremas; cosméticos en forma de polvos; cosméticos no medicinales; cosméticos para el cabello; cosméticos para las cejas; cosméticos para los labios; cosméticos para pestañas; hidratantes [cosméticos]; hidratantes faciales [cosméticos];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limpiadores cosméticos faciales; mascarillas para la piel [cosméticos]; polvos cosméticos; polvos faciales cosméticos; productos cosméticos no medicinales; productos cosméticos para el cuidado corporal; productos cosméticos para el cuidado de la piel; productos cosméticos para la piel; productos cosméticos para las pestañas; productos cosméticos y de belleza.
</x:t>
        </x:is>
      </x:c>
      <x:c r="L649" s="3" t="inlineStr">
        <x:is>
          <x:t>No</x:t>
        </x:is>
      </x:c>
      <x:c r="M649" s="3" t="inlineStr">
        <x:is>
          <x:t>Valentina Hinestroza Grajales, Carrera 75 DA No. 2B SUR 35, MEDELLIN, ANTIOQUIA, CO</x:t>
        </x:is>
      </x:c>
      <x:c r="N649" s="3" t="inlineStr">
        <x:is>
          <x:t/>
        </x:is>
      </x:c>
      <x:c r="O649" s="3" t="inlineStr">
        <x:is>
          <x:t>25 ene. 2024</x:t>
        </x:is>
      </x:c>
      <x:c r="P649" s="3" t="inlineStr">
        <x:is>
          <x:t/>
        </x:is>
      </x:c>
      <x:c r="Q649" s="3" t="inlineStr">
        <x:is>
          <x:t/>
        </x:is>
      </x:c>
    </x:row>
    <x:row r="650">
      <x:c r="A650" s="10" t="inlineStr">
        <x:f xml:space="preserve">HYPERLINK("http://sipi.sic.gov.co/sipi/View.ashx?4487673","SD2022/0126082")</x:f>
      </x:c>
      <x:c r="B650" s="3" t="inlineStr">
        <x:is>
          <x:t>ultra endurance</x:t>
        </x:is>
      </x:c>
      <x:c r="C650" s="3" t="inlineStr">
        <x:is>
          <x:t/>
        </x:is>
      </x:c>
      <x:c r="D650" s="3" t="inlineStr">
        <x:is>
          <x:t>05 dic. 2022</x:t>
        </x:is>
      </x:c>
      <x:c r="E650" s="3" t="inlineStr">
        <x:is>
          <x:t/>
        </x:is>
      </x:c>
      <x:c r="F650" s="3" t="inlineStr">
        <x:is>
          <x:t>Negada</x:t>
        </x:is>
      </x:c>
      <x:c r="G650" s="3" t="inlineStr">
        <x:is>
          <x:t>1040051150</x:t>
        </x:is>
      </x:c>
      <x:c r="H650" s="3" t="inlineStr">
        <x:is>
          <x:t>Luisa Fernanda Álvarez Arcila, Cra 25 # 9-74, LA CEJA, ANTIOQUIA 055010, CO</x:t>
        </x:is>
      </x:c>
      <x:c r="I650" s="3" t="inlineStr">
        <x:is>
          <x:t>3</x:t>
        </x:is>
      </x:c>
      <x:c r="J650" s="3" t="inlineStr">
        <x:is>
          <x:t>11</x:t>
        </x:is>
      </x:c>
      <x:c r="K650" s="3" t="inlineStr">
        <x:is>
          <x:t>3. Abrillantadores y cremas para el cuero; abrillantadores y cremas para la madera; abrillantadores y cremas para metal; abrillantadores y cremas para vinilo; bases de maquillaje en crema; betunes y cremas para el calzado; betunes y cremas para el cuero; betunes y cremas para la madera; betunes y cremas para metal; betunes y cremas para vinilo; bálsamos [cremas] para disimular las imperfecciones de la piel; calcetines impregnados con crema hidratante cosmética; coloretes en crema; cosméticos en forma de cremas; crema corporal; crema corporal para uso cosmético; crema en gel para matificar la piel; crema lavamanos; crema limpiadora; crema no medicinal contra la dermatitis del pañal; crema para aclarar la piel; crema para las manos; crema para lavarse las manos; crema para peinar el cabello;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desmaquillantes; cremas emolientes reparadoras para el cuidado diario de la piel; cremas evanescentes;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botas; cremas para broncear la piel; cremas para cutículas; cremas para dar firmeza al cuerpo; cremas para después de afeitar (no medicinales); cremas para después del afeitado; cremas para después del afeitado (no medicinales); cremas para después del sol; cremas para después del sol de uso cosmético; cremas para el cabello; cremas para el cabello de uso cosmético; cremas para el cabello para uso cosmético; cremas para el calzado; cremas para el cuero; cremas para el cuerpo [cosméticos]; cremas para el cuerpo cosméticas; cremas para el cuidado de la piel que no sean de uso médico;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 piel no medicinales a base de aceites esenciales para uso en aromaterapia; cremas para las botas;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manos a base de cáñamo; cremas para pulir; cremas para reducir la celulitis; cremas para reducir la celulitis de uso cosmético; cremas para tez clara; cremas para tez clara de uso cosmético; cremas para zapatos y botas;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solares para bebés; cremas tonificantes [cosméticos]; cremas tópicas a base de hierbas para reafirmar y realzar el busto; cremas y betunes para el calzado;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gel crema matificante; geles, cremas y aceites de ducha; hidrocremas intensiva; jabones en crema; jabones en crema para el cuerpo; leches, geles, lociones y cremas desmaquillantes;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maquillajes de base en crema; mascarillas corporales en forma de cremas; mascarillas corporales en forma de cremas para uso cosmético; polvos faciales en crema; productos cosméticos en forma de cremas.
</x:t>
        </x:is>
      </x:c>
      <x:c r="L650" s="3" t="inlineStr">
        <x:is>
          <x:t>No</x:t>
        </x:is>
      </x:c>
      <x:c r="M650" s="3" t="inlineStr">
        <x:is>
          <x:t/>
        </x:is>
      </x:c>
      <x:c r="N650" s="3" t="inlineStr">
        <x:is>
          <x:t/>
        </x:is>
      </x:c>
      <x:c r="O650" s="3" t="inlineStr">
        <x:is>
          <x:t>27 feb. 2023</x:t>
        </x:is>
      </x:c>
      <x:c r="P650" s="3" t="inlineStr">
        <x:is>
          <x:t/>
        </x:is>
      </x:c>
      <x:c r="Q650" s="3" t="inlineStr">
        <x:is>
          <x:t/>
        </x:is>
      </x:c>
    </x:row>
    <x:row r="651">
      <x:c r="A651" s="10" t="inlineStr">
        <x:f xml:space="preserve">HYPERLINK("http://sipi.sic.gov.co/sipi/View.ashx?4488085","SD2022/0143950")</x:f>
      </x:c>
      <x:c r="B651" s="3" t="inlineStr">
        <x:is>
          <x:t>VARI FIN</x:t>
        </x:is>
      </x:c>
      <x:c r="C651" s="9" t="inlineStr">
        <x:is>
          <x:t/>
        </x:is>
      </x:c>
      <x:c r="D651" s="3" t="inlineStr">
        <x:is>
          <x:t>31 dic. 2022</x:t>
        </x:is>
      </x:c>
      <x:c r="E651" s="3" t="inlineStr">
        <x:is>
          <x:t/>
        </x:is>
      </x:c>
      <x:c r="F651" s="3" t="inlineStr">
        <x:is>
          <x:t>Negada</x:t>
        </x:is>
      </x:c>
      <x:c r="G651" s="3" t="inlineStr">
        <x:is>
          <x:t>VARIFIN</x:t>
        </x:is>
      </x:c>
      <x:c r="H651" s="3" t="inlineStr">
        <x:is>
          <x:t>SEBASTIAN RINCON GIRALDO, CRA 44 #67 SUR 62, SABANETA, ANTIOQUIA 055450, CO</x:t>
        </x:is>
      </x:c>
      <x:c r="I651" s="3" t="inlineStr">
        <x:is>
          <x:t>3</x:t>
        </x:is>
      </x:c>
      <x:c r="J651" s="3" t="inlineStr">
        <x:is>
          <x:t>11</x:t>
        </x:is>
      </x:c>
      <x:c r="K651" s="3" t="inlineStr">
        <x:is>
          <x:t>3. Aceite de amla para uso cosmético; aceite de neem para uso cosmético; aceite de veppennai para uso cosmético; aceites bronceadores [cosméticos]; aceites cosméticos; aceites cosméticos para la piel; aceites de cáñamo a base de cbd para uso cosmético; aceites de protección solar [cosméticos]; aceites minerales [cosméticos]; aceites para uso cosmético; aceites solares de uso cosmético; apitoxina [veneno de abeja melífera] con fines cosméticos; autobronceadores [cosméticos]; barras de labios con protección solar [cosméticos]; barros corporales para uso cosmético; basma [tinte para uso cosmético]; basma para uso cosmético; baños de aceite para el cuidado del cabello de uso cosmético; bloqueador solar [cosméticos]; brillos para uso cosmético; cintas de estiramiento facial para uso cosmético; cold creams para uso cosmético; colonias, perfumes y productos cosméticos; colorantes labiales [productos cosméticos]; cosméticos; cosméticos a base de cannabis; cosméticos biológicos; cosméticos naturales; cosméticos para el cabello; cosméticos para los labios; cosméticos para polveras; crema corporal para uso cosmético; cremas con retinol para uso cosmético; cremas corporales [cosméticos]; cremas faciales para uso cosmético; cremas para las manos de uso cosmético; cremas para reducir la celulitis de uso cosmético; cremas reparadoras para la piel [cosméticos]; cremas tonificantes [cosméticos]; cremas, leches, lociones, geles y polvos cosméticos para la cara, el cuerpo y las manos; emolientes para la piel de uso cosmético; emulsiones faciales para uso cosmético; emulsiones para el cuerpo de uso cosmético; endurecedores de uñas [cosméticos]; enjuagues para el cabello de uso cosmético; filtro solar [cosméticos]; geles cosméticos; geles hidratantes [cosméticos]; geles para el cuerpo [cosméticos]; geles para uso cosmético; grasas para uso cosmético; henna [tinte cosmético]; henna para uso cosmético; jabones cosméticos; kits de cosméticos que contienen principalmente máscara de pestañas, lápices de labios, lápices de cejas, maquillaje, fundación de maquillaje y brillos de labios; leches bronceadoras [cosméticos]; leches, geles y aceites bronceadores y para después del sol, de uso cosmético; lociones autobronceadoras [cosméticos]; lociones de baño para uso cosmético; lociones faciales [cosméticos]; lociones para el cabello de uso cosmético; lociones para el cuerpo de uso cosmético; lociones para el cuidado del rostro y del cuerpo de uso cosmético; lociones para uso cosmético; lodos corporales para uso cosmético; lápices para uso cosmético; maquillaje [cosméticos]; mascarillas corporales en forma de lociones para uso cosmético; mascarillas corporales para uso cosmético; mascarillas para el cutis [cosméticos]; mascarillas para la piel de uso cosmético; motivos decorativos para uso cosmético; pañitos cosméticos prehumedecidos; perfumería para cosméticos; peróxido de hidrógeno para uso cosmético; pintura corporal para uso cosmético; polvos cosméticos; polvos faciales [cosméticos]; polvos faciales cosméticos; polvos perfumados para uso cosmético; pomadas para uso cosmético; preparados cosméticos para el cuidado del cuerpo; productos con filtro solar para uso cosmético; productos cosméticos de cbd; productos cosméticos decorativos; productos cosméticos no medicinales; productos cosméticos para el cabello y el cuero cabelludo; productos cosméticos para la piel; productos cosméticos para niños; productos cosméticos para uso personal; productos cosméticos y de maquillaje; productos cosméticos y de tocador; productos cosméticos, a saber, leches, lociones y emulsiones; productos de perfumería, aceites esenciales, cosméticos, lociones capilares; productos y preparaciones cosméticos para el cuidado de la piel; protectores solares para los labios [productos cosméticos]; quitaesmaltes de uñas [cosméticos]; reafirmantes en gel para el cuerpo para uso cosmético; revitalizantes cutáneos para uso cosmético; sales de baño para uso cosmético; serum para calmar la piel [cosmético]; sprays de agua mineral para uso cosmético; sprays para el cuerpo de uso cosmético; sueros faciales para uso cosmético; sueros para uso cosmético; talco para uso cosmético; tintas para uso cosmético; tintes cosméticos; tintes labiales [cosméticos]; tónicos cosméticos; tónicos cosméticos para la cara; veneno de abeja con fines cosméticos; preparaciones para el cuidado de la piel a base de cbd; preparados para el cuidado de la piel a base de cbd.
</x:t>
        </x:is>
      </x:c>
      <x:c r="L651" s="3" t="inlineStr">
        <x:is>
          <x:t>No</x:t>
        </x:is>
      </x:c>
      <x:c r="M651" s="3" t="inlineStr">
        <x:is>
          <x:t/>
        </x:is>
      </x:c>
      <x:c r="N651" s="3" t="inlineStr">
        <x:is>
          <x:t/>
        </x:is>
      </x:c>
      <x:c r="O651" s="3" t="inlineStr">
        <x:is>
          <x:t>08 may. 2023</x:t>
        </x:is>
      </x:c>
      <x:c r="P651" s="3" t="inlineStr">
        <x:is>
          <x:t/>
        </x:is>
      </x:c>
      <x:c r="Q651" s="3" t="inlineStr">
        <x:is>
          <x:t/>
        </x:is>
      </x:c>
    </x:row>
    <x:row r="652">
      <x:c r="A652" s="10" t="inlineStr">
        <x:f xml:space="preserve">HYPERLINK("http://sipi.sic.gov.co/sipi/View.ashx?4488246","SD2022/0126231")</x:f>
      </x:c>
      <x:c r="B652" s="3" t="inlineStr">
        <x:is>
          <x:t>ESENCIA DEL SER 11</x:t>
        </x:is>
      </x:c>
      <x:c r="C652" s="9" t="inlineStr">
        <x:is>
          <x:t/>
        </x:is>
      </x:c>
      <x:c r="D652" s="3" t="inlineStr">
        <x:is>
          <x:t>06 dic. 2022</x:t>
        </x:is>
      </x:c>
      <x:c r="E652" s="3" t="inlineStr">
        <x:is>
          <x:t/>
        </x:is>
      </x:c>
      <x:c r="F652" s="3" t="inlineStr">
        <x:is>
          <x:t>Negada</x:t>
        </x:is>
      </x:c>
      <x:c r="G652" s="3" t="inlineStr">
        <x:is>
          <x:t>ESENCIA DEL SER 11</x:t>
        </x:is>
      </x:c>
      <x:c r="H652" s="3" t="inlineStr">
        <x:is>
          <x:t>JULIETA  MOSQUERA MUÑOZ, Calle 36 D Sur No. 24 - 50 Urb. Fiore, Loma El Escobero en Envigado - Antioquia, ENVIGADO, ANTIOQUIA, CO</x:t>
        </x:is>
      </x:c>
      <x:c r="I652" s="3" t="inlineStr">
        <x:is>
          <x:t>3, 41</x:t>
        </x:is>
      </x:c>
      <x:c r="J652" s="3" t="inlineStr">
        <x:is>
          <x:t>11</x:t>
        </x:is>
      </x:c>
      <x:c r="K652" s="3" t="inlineStr">
        <x:is>
          <x:t>3. Aceites aromáticos; aceites aromáticos para el baño; aceites brillantes para el cuerpo; aceites de aromaterapia; aceites de baño; aceites de baño no medicados; aceites de baño para uso cosmético; aceites de masaje, no medicinales; aceites esenciales; aceites esenciales aromáticos; aceites esenciales de aromaterapia; aceites esenciales naturales; aceites esenciales para ambientadores de interior; aceites esenciales para uso cosmético; aceites esenciales para uso en aromaterapia; aceites esenciales para uso personal; aceites y lociones de masaje; aromas [aceites esenciales]; cremas para la piel no medicinales a base de aceites esenciales para uso en aromaterapia; cremas, aceites, lociones y preparaciones limpiadoras e hidratantes; cremas, aceites, lociones, aerosoles, lápices y bálsamos para uso cosmético; productos de perfumería, aceites esenciales.
41. Celebración de talleres; celebración de talleres [formación]; celebración de talleres de formación; dirección de talleres y seminarios; organización de talleres y seminarios sobre conciencia de uno mismo; organización de talleres y seminarios sobre concienciación personal; organización y celebración de coloquios, conferencias, congresos, seminarios, simposios y talleres; organización y celebración de conferencias, congresos, seminarios y talleres de formación; organización y celebración de talleres, tutorías, seminarios y conferencias; organización y dirección de talleres de formación; organización y dirección de talleres y seminarios sobre concienciación personal; preparación, celebración y organización de talleres [formación]; servicios de información y consultoría en materia de preparación, celebración y organización de talleres; talleres de capacitación; talleres de formación; provisión de talleres en línea en el campo del bienestar; servicios de bienestar en cuanto formación en salud y fitness; suministro de manuales y materiales didácticos en el campo del bienestar; suministro de materiales educativos en línea en el campo del bienestar; suministro de cursos de formación continua; organización de clases; organización y celebración de conferencias, convenciones, exposiciones educativas, clases, charlas, seminarios y talleres [formación]; servicios educativos, a saber, clases personalizadas.
</x:t>
        </x:is>
      </x:c>
      <x:c r="L652" s="3" t="inlineStr">
        <x:is>
          <x:t>No</x:t>
        </x:is>
      </x:c>
      <x:c r="M652" s="3" t="inlineStr">
        <x:is>
          <x:t>NATASHA MESA ABAD, CALLE 20 A SUR # 3-48 MEDELLIN, MEDELLIN, ANTIOQUIA 050001, CO</x:t>
        </x:is>
      </x:c>
      <x:c r="N652" s="3" t="inlineStr">
        <x:is>
          <x:t/>
        </x:is>
      </x:c>
      <x:c r="O652" s="3" t="inlineStr">
        <x:is>
          <x:t>16 feb. 2023</x:t>
        </x:is>
      </x:c>
      <x:c r="P652" s="3" t="inlineStr">
        <x:is>
          <x:t/>
        </x:is>
      </x:c>
      <x:c r="Q652" s="3" t="inlineStr">
        <x:is>
          <x:t/>
        </x:is>
      </x:c>
    </x:row>
    <x:row r="653">
      <x:c r="A653" s="10" t="inlineStr">
        <x:f xml:space="preserve">HYPERLINK("http://sipi.sic.gov.co/sipi/View.ashx?4488486","SD2022/0126291")</x:f>
      </x:c>
      <x:c r="B653" s="3" t="inlineStr">
        <x:is>
          <x:t>power force</x:t>
        </x:is>
      </x:c>
      <x:c r="C653" s="3" t="inlineStr">
        <x:is>
          <x:t/>
        </x:is>
      </x:c>
      <x:c r="D653" s="3" t="inlineStr">
        <x:is>
          <x:t>06 dic. 2022</x:t>
        </x:is>
      </x:c>
      <x:c r="E653" s="3" t="inlineStr">
        <x:is>
          <x:t/>
        </x:is>
      </x:c>
      <x:c r="F653" s="3" t="inlineStr">
        <x:is>
          <x:t>Negada</x:t>
        </x:is>
      </x:c>
      <x:c r="G653" s="3" t="inlineStr">
        <x:is>
          <x:t/>
        </x:is>
      </x:c>
      <x:c r="H653" s="3" t="inlineStr">
        <x:is>
          <x:t>Luisa Fernanda Álvarez Arcila, Cra 25 # 9-74, LA CEJA, ANTIOQUIA 055010, CO</x:t>
        </x:is>
      </x:c>
      <x:c r="I653" s="3" t="inlineStr">
        <x:is>
          <x:t>3</x:t>
        </x:is>
      </x:c>
      <x:c r="J653" s="3" t="inlineStr">
        <x:is>
          <x:t>11</x:t>
        </x:is>
      </x:c>
      <x:c r="K653" s="3" t="inlineStr">
        <x:is>
          <x:t>3. Abrillantadores y cremas para el cuero; abrillantadores y cremas para la madera; abrillantadores y cremas para metal; abrillantadores y cremas para vinilo; bases de maquillaje en crema; betunes y cremas para el calzado; betunes y cremas para el cuero; betunes y cremas para la madera; betunes y cremas para metal; betunes y cremas para vinilo; bálsamos [cremas] para disimular las imperfecciones de la piel; calcetines impregnados con crema hidratante cosmética; coloretes en crema; cosméticos en forma de cremas; crema corporal; crema corporal para uso cosmético; crema en gel para matificar la piel; crema lavamanos; crema limpiadora; crema no medicinal contra la dermatitis del pañal; crema para aclarar la piel; crema para las manos; crema para lavarse las manos; crema para peinar el cabello;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desmaquillantes; cremas emolientes reparadoras para el cuidado diario de la piel; cremas evanescentes;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botas; cremas para broncear la piel; cremas para cutículas; cremas para dar firmeza al cuerpo; cremas para después de afeitar (no medicinales); cremas para después del afeitado; cremas para después del afeitado (no medicinales); cremas para después del sol; cremas para después del sol de uso cosmético; cremas para el cabello; cremas para el cabello de uso cosmético; cremas para el cabello para uso cosmético; cremas para el calzado; cremas para el cuero; cremas para el cuerpo [cosméticos]; cremas para el cuerpo cosméticas; cremas para el cuidado de la piel que no sean de uso médico;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 piel no medicinales a base de aceites esenciales para uso en aromaterapia; cremas para las botas;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manos a base de cáñamo; cremas para pulir; cremas para reducir la celulitis; cremas para reducir la celulitis de uso cosmético; cremas para tez clara; cremas para tez clara de uso cosmético; cremas para zapatos y botas;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solares para bebés; cremas tonificantes [cosméticos]; cremas tópicas a base de hierbas para reafirmar y realzar el busto; cremas y betunes para el calzado;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gel crema matificante; geles, cremas y aceites de ducha; hidrocremas intensiva; jabones en crema; jabones en crema para el cuerpo; leches, geles, lociones y cremas desmaquillantes;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maquillajes de base en crema; mascarillas corporales en forma de cremas; mascarillas corporales en forma de cremas para uso cosmético; polvos faciales en crema; productos cosméticos en forma de cremas.
</x:t>
        </x:is>
      </x:c>
      <x:c r="L653" s="3" t="inlineStr">
        <x:is>
          <x:t>No</x:t>
        </x:is>
      </x:c>
      <x:c r="M653" s="3" t="inlineStr">
        <x:is>
          <x:t/>
        </x:is>
      </x:c>
      <x:c r="N653" s="3" t="inlineStr">
        <x:is>
          <x:t/>
        </x:is>
      </x:c>
      <x:c r="O653" s="3" t="inlineStr">
        <x:is>
          <x:t>08 may. 2023</x:t>
        </x:is>
      </x:c>
      <x:c r="P653" s="3" t="inlineStr">
        <x:is>
          <x:t/>
        </x:is>
      </x:c>
      <x:c r="Q653" s="3" t="inlineStr">
        <x:is>
          <x:t/>
        </x:is>
      </x:c>
    </x:row>
    <x:row r="654">
      <x:c r="A654" s="10" t="inlineStr">
        <x:f xml:space="preserve">HYPERLINK("http://sipi.sic.gov.co/sipi/View.ashx?4488726","SD2022/0126343")</x:f>
      </x:c>
      <x:c r="B654" s="3" t="inlineStr">
        <x:is>
          <x:t>amino recovery</x:t>
        </x:is>
      </x:c>
      <x:c r="C654" s="3" t="inlineStr">
        <x:is>
          <x:t/>
        </x:is>
      </x:c>
      <x:c r="D654" s="3" t="inlineStr">
        <x:is>
          <x:t>06 dic. 2022</x:t>
        </x:is>
      </x:c>
      <x:c r="E654" s="3" t="inlineStr">
        <x:is>
          <x:t/>
        </x:is>
      </x:c>
      <x:c r="F654" s="3" t="inlineStr">
        <x:is>
          <x:t>Negada</x:t>
        </x:is>
      </x:c>
      <x:c r="G654" s="3" t="inlineStr">
        <x:is>
          <x:t/>
        </x:is>
      </x:c>
      <x:c r="H654" s="3" t="inlineStr">
        <x:is>
          <x:t>Luisa Fernanda Álvarez Arcila, Cra 25 # 9-74, LA CEJA, ANTIOQUIA 055010, CO</x:t>
        </x:is>
      </x:c>
      <x:c r="I654" s="3" t="inlineStr">
        <x:is>
          <x:t>3</x:t>
        </x:is>
      </x:c>
      <x:c r="J654" s="3" t="inlineStr">
        <x:is>
          <x:t>11</x:t>
        </x:is>
      </x:c>
      <x:c r="K654" s="3" t="inlineStr">
        <x:is>
          <x:t>3. Abrillantadores y cremas para el cuero; abrillantadores y cremas para la madera; abrillantadores y cremas para metal; abrillantadores y cremas para vinilo; bases de maquillaje en crema; betunes y cremas para el calzado; betunes y cremas para el cuero; betunes y cremas para la madera; betunes y cremas para metal; betunes y cremas para vinilo; bálsamos [cremas] para disimular las imperfecciones de la piel; calcetines impregnados con crema hidratante cosmética; coloretes en crema; cosméticos en forma de cremas; crema corporal; crema corporal para uso cosmético; crema en gel para matificar la piel; crema lavamanos; crema limpiadora; crema no medicinal contra la dermatitis del pañal; crema para aclarar la piel; crema para las manos; crema para lavarse las manos; crema para peinar el cabello;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desmaquillantes; cremas emolientes reparadoras para el cuidado diario de la piel; cremas evanescentes;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botas; cremas para broncear la piel; cremas para cutículas; cremas para dar firmeza al cuerpo; cremas para después de afeitar (no medicinales); cremas para después del afeitado; cremas para después del afeitado (no medicinales); cremas para después del sol; cremas para después del sol de uso cosmético; cremas para el cabello; cremas para el cabello de uso cosmético; cremas para el cabello para uso cosmético; cremas para el calzado; cremas para el cuero; cremas para el cuerpo [cosméticos]; cremas para el cuerpo cosméticas; cremas para el cuidado de la piel que no sean de uso médico;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 piel no medicinales a base de aceites esenciales para uso en aromaterapia; cremas para las botas;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manos a base de cáñamo; cremas para pulir; cremas para reducir la celulitis; cremas para reducir la celulitis de uso cosmético; cremas para tez clara; cremas para tez clara de uso cosmético; cremas para zapatos y botas;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solares para bebés; cremas tonificantes [cosméticos]; cremas tópicas a base de hierbas para reafirmar y realzar el busto; cremas y betunes para el calzado;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gel crema matificante; geles, cremas y aceites de ducha; hidrocremas intensiva; jabones en crema; jabones en crema para el cuerpo; leches, geles, lociones y cremas desmaquillantes;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maquillajes de base en crema; mascarillas corporales en forma de cremas; mascarillas corporales en forma de cremas para uso cosmético; polvos faciales en crema; productos cosméticos en forma de cremas.
</x:t>
        </x:is>
      </x:c>
      <x:c r="L654" s="3" t="inlineStr">
        <x:is>
          <x:t>No</x:t>
        </x:is>
      </x:c>
      <x:c r="M654" s="3" t="inlineStr">
        <x:is>
          <x:t/>
        </x:is>
      </x:c>
      <x:c r="N654" s="3" t="inlineStr">
        <x:is>
          <x:t/>
        </x:is>
      </x:c>
      <x:c r="O654" s="3" t="inlineStr">
        <x:is>
          <x:t>08 may. 2023</x:t>
        </x:is>
      </x:c>
      <x:c r="P654" s="3" t="inlineStr">
        <x:is>
          <x:t/>
        </x:is>
      </x:c>
      <x:c r="Q654" s="3" t="inlineStr">
        <x:is>
          <x:t/>
        </x:is>
      </x:c>
    </x:row>
    <x:row r="655">
      <x:c r="A655" s="10" t="inlineStr">
        <x:f xml:space="preserve">HYPERLINK("http://sipi.sic.gov.co/sipi/View.ashx?4488983","SD2022/0126403")</x:f>
      </x:c>
      <x:c r="B655" s="3" t="inlineStr">
        <x:is>
          <x:t>Xanath</x:t>
        </x:is>
      </x:c>
      <x:c r="C655" s="9" t="inlineStr">
        <x:is>
          <x:t/>
        </x:is>
      </x:c>
      <x:c r="D655" s="3" t="inlineStr">
        <x:is>
          <x:t>06 dic. 2022</x:t>
        </x:is>
      </x:c>
      <x:c r="E655" s="3" t="inlineStr">
        <x:is>
          <x:t/>
        </x:is>
      </x:c>
      <x:c r="F655" s="3" t="inlineStr">
        <x:is>
          <x:t>Negada</x:t>
        </x:is>
      </x:c>
      <x:c r="G655" s="3" t="inlineStr">
        <x:is>
          <x:t/>
        </x:is>
      </x:c>
      <x:c r="H655" s="3" t="inlineStr">
        <x:is>
          <x:t>Yuri Tatiana Gómez Peña, Cra 14 # 107 a 88, BUCARAMANGA, SANTANDER, CO</x:t>
        </x:is>
      </x:c>
      <x:c r="I655" s="3" t="inlineStr">
        <x:is>
          <x:t>3</x:t>
        </x:is>
      </x:c>
      <x:c r="J655" s="3" t="inlineStr">
        <x:is>
          <x:t>11</x:t>
        </x:is>
      </x:c>
      <x:c r="K655" s="3" t="inlineStr">
        <x:is>
          <x:t>3. Perfumería y fragancias.
</x:t>
        </x:is>
      </x:c>
      <x:c r="L655" s="3" t="inlineStr">
        <x:is>
          <x:t>No</x:t>
        </x:is>
      </x:c>
      <x:c r="M655" s="3" t="inlineStr">
        <x:is>
          <x:t/>
        </x:is>
      </x:c>
      <x:c r="N655" s="3" t="inlineStr">
        <x:is>
          <x:t/>
        </x:is>
      </x:c>
      <x:c r="O655" s="3" t="inlineStr">
        <x:is>
          <x:t>16 feb. 2023</x:t>
        </x:is>
      </x:c>
      <x:c r="P655" s="3" t="inlineStr">
        <x:is>
          <x:t/>
        </x:is>
      </x:c>
      <x:c r="Q655" s="3" t="inlineStr">
        <x:is>
          <x:t/>
        </x:is>
      </x:c>
    </x:row>
    <x:row r="656">
      <x:c r="A656" s="10" t="inlineStr">
        <x:f xml:space="preserve">HYPERLINK("http://sipi.sic.gov.co/sipi/View.ashx?4489697","SD2022/0126646")</x:f>
      </x:c>
      <x:c r="B656" s="3" t="inlineStr">
        <x:is>
          <x:t>NATURALS PET'S</x:t>
        </x:is>
      </x:c>
      <x:c r="C656" s="9" t="inlineStr">
        <x:is>
          <x:t/>
        </x:is>
      </x:c>
      <x:c r="D656" s="3" t="inlineStr">
        <x:is>
          <x:t>06 dic. 2022</x:t>
        </x:is>
      </x:c>
      <x:c r="E656" s="3" t="inlineStr">
        <x:is>
          <x:t/>
        </x:is>
      </x:c>
      <x:c r="F656" s="3" t="inlineStr">
        <x:is>
          <x:t>Negada</x:t>
        </x:is>
      </x:c>
      <x:c r="G656" s="3" t="inlineStr">
        <x:is>
          <x:t>NATURAL PETS</x:t>
        </x:is>
      </x:c>
      <x:c r="H656" s="3" t="inlineStr">
        <x:is>
          <x:t>Marisol  Montoya Martínez , Calle 34 # 32 18, MEDELLIN, ANTIOQUIA, CO</x:t>
        </x:is>
      </x:c>
      <x:c r="I656" s="3" t="inlineStr">
        <x:is>
          <x:t>3, 44</x:t>
        </x:is>
      </x:c>
      <x:c r="J656" s="3" t="inlineStr">
        <x:is>
          <x:t>11</x:t>
        </x:is>
      </x:c>
      <x:c r="K656" s="3" t="inlineStr">
        <x:is>
          <x:t>3. Cosméticos para animales; jabones para animales; jabones cosméticos; crema limpiadora; espuma limpiadora; limpiadores cutáneos; lociones limpiadoras para animales; cosméticos orgánicos; cosméticos naturales; cosméticos ecológicos; cosméticos; cosméticos para el cuidado del cuerpo; cosméticos para el cuero cabelludo de animales; cosméticos para el cuero cabelludo; cosméticos para el cabello de animales; cosméticos para el cabello; cosméticos para cuidados corporales y estéticos; cosméticos para broncear la piel; cremas cosméticas; cremas para el cuero; cremas para el cuerpo cosméticas; lociones capilares para animales; lociones capilares cosméticas; lociones capilares no medicinales.
44. Servicios médicos; servicios veterinarios; tratamientos de higiene y de belleza para animales; Cría de animales; Asistencia veterinaria; odontología veterinaria; servicios veterinarios; servicios de asesoramiento veterinario; servicios médicos y veterinarios; servicios de información en materia de productos farmacéuticos y cosméticos veterinarios; servicios de información médica y veterinaria prestados por Internet; servicios de información relacionados con productos farmacéuticos veterinarios; suministro de información en línea en materia de servicios veterinarios; servicios de asistencia sanitaria a la fauna silvestre [servicios médicos y veterinarios]; servicios de atención sanitaria a la fauna silvestre [servicios médicos y veterinarios]; servicios de cuidado de animales de compañia [servicios médicos, veterinarios y de aseo]; servicios de cuidado de animales servicios médicos, veterinarios y de aseo]; servicios de cuidado de mascotas [servicios médicos, veterinarios y de aseo]; análisis de la composición física de personas o animales para su aplicación en el ámbito de la medicina o la veterinaria; acupuntura veterinaria.
</x:t>
        </x:is>
      </x:c>
      <x:c r="L656" s="3" t="inlineStr">
        <x:is>
          <x:t>Sí</x:t>
        </x:is>
      </x:c>
      <x:c r="M656" s="3" t="inlineStr">
        <x:is>
          <x:t>DIEGO ALEXIS IBARRA, Calle 6 cn 7e 42 ceiba dos, CUCUTA, NORTE DE SANTANDER, CO</x:t>
        </x:is>
      </x:c>
      <x:c r="N656" s="3" t="inlineStr">
        <x:is>
          <x:t/>
        </x:is>
      </x:c>
      <x:c r="O656" s="3" t="inlineStr">
        <x:is>
          <x:t>07 mar. 2023</x:t>
        </x:is>
      </x:c>
      <x:c r="P656" s="3" t="inlineStr">
        <x:is>
          <x:t/>
        </x:is>
      </x:c>
      <x:c r="Q656" s="3" t="inlineStr">
        <x:is>
          <x:t/>
        </x:is>
      </x:c>
    </x:row>
    <x:row r="657">
      <x:c r="A657" s="10" t="inlineStr">
        <x:f xml:space="preserve">HYPERLINK("http://sipi.sic.gov.co/sipi/View.ashx?4490428","SD2022/0126802")</x:f>
      </x:c>
      <x:c r="B657" s="3" t="inlineStr">
        <x:is>
          <x:t>By Crisval</x:t>
        </x:is>
      </x:c>
      <x:c r="C657" s="9" t="inlineStr">
        <x:is>
          <x:t/>
        </x:is>
      </x:c>
      <x:c r="D657" s="3" t="inlineStr">
        <x:is>
          <x:t>07 dic. 2022</x:t>
        </x:is>
      </x:c>
      <x:c r="E657" s="3" t="inlineStr">
        <x:is>
          <x:t/>
        </x:is>
      </x:c>
      <x:c r="F657" s="3" t="inlineStr">
        <x:is>
          <x:t>Negada</x:t>
        </x:is>
      </x:c>
      <x:c r="G657" s="3" t="inlineStr">
        <x:is>
          <x:t/>
        </x:is>
      </x:c>
      <x:c r="H657" s="3" t="inlineStr">
        <x:is>
          <x:t>MARIANA VALENTINA  PADILLA PARRA, CALLE 72SUR No 32 50 APTO 815, SABANETA, ANTIOQUIA, CO</x:t>
        </x:is>
      </x:c>
      <x:c r="I657" s="3" t="inlineStr">
        <x:is>
          <x:t>3</x:t>
        </x:is>
      </x:c>
      <x:c r="J657" s="3" t="inlineStr">
        <x:is>
          <x:t>11</x:t>
        </x:is>
      </x:c>
      <x:c r="K657" s="3" t="inlineStr">
        <x:is>
          <x:t>3. Adhesivos para pegar pestañas postizas, adhesivos para uso cosmético, lociones para después del afeitado, preparados de aloe vera para uso cosmético, astringentes para uso cosmético; toallitas húmedas para bebés impregnadas con preparados de limpieza; mascarillas de belleza; brillo corporal, pintura corporal con fines cosméticos, preparaciones de colágeno para uso cosmético, aerosoles refrescantes para uso cosmético, cremas cosméticas; productos cosméticos decorativos; lápices cosméticos, preparaciones cosméticas para baños, preparaciones cosméticas para pestañas, preparaciones cosméticas para el cuidado de la piel, productos cosméticos, bastoncillos de algodón para uso cosmético; algodón impregnado con preparados desmaquillantes; calcomanías decorativas para uso cosmético; jabón desodorante, desodorantes para seres humanos o para animales, cintas de doble párpado, preparaciones para duchas con fines higiénicos personales o desodorantes [artículos de tocador, cosméticos para cejas, lápices de cejas, pestañas postizas, parches oculares de gel para uso cosmético, lociones para el cabello, laca para el cabello, preparaciones para alisar el cabello, brillos de labios; pintalabios; barras de labios; pintura corporal de látex líquido para uso cosmético, lociones para uso cosmético, maquillaje, polvo de maquillaje, preparaciones de maquillaje, preparaciones desmaquillantes, geles de masaje, que no sean para uso médico, agua micelar, preparaciones para el cuidado de las uñas, brillo de uñas, esmalte de uñas, quitaesmaltes, aceites para uso cosmético, perfumería, perfumes; preparaciones hidratantes [cosméticos]; pomadas para uso cosmético, aceite de rosa, champús; cremas para blanquear la piel, jabón, quitamanchas, preparaciones para el bronceado [cosméticos, preparaciones de protección solar, toallitas impregnadas de lociones cosméticas, toallitas impregnadas de preparaciones desmaquillantes, preparaciones de tocador, tónicos para uso cosmético, lavados vaginales para higiene personal o desodorantes.
</x:t>
        </x:is>
      </x:c>
      <x:c r="L657" s="3" t="inlineStr">
        <x:is>
          <x:t>No</x:t>
        </x:is>
      </x:c>
      <x:c r="M657" s="3" t="inlineStr">
        <x:is>
          <x:t/>
        </x:is>
      </x:c>
      <x:c r="N657" s="3" t="inlineStr">
        <x:is>
          <x:t/>
        </x:is>
      </x:c>
      <x:c r="O657" s="3" t="inlineStr">
        <x:is>
          <x:t>31 jul. 2023</x:t>
        </x:is>
      </x:c>
      <x:c r="P657" s="3" t="inlineStr">
        <x:is>
          <x:t/>
        </x:is>
      </x:c>
      <x:c r="Q657" s="3" t="inlineStr">
        <x:is>
          <x:t/>
        </x:is>
      </x:c>
    </x:row>
    <x:row r="658">
      <x:c r="A658" s="10" t="inlineStr">
        <x:f xml:space="preserve">HYPERLINK("http://sipi.sic.gov.co/sipi/View.ashx?4490579","SD2022/0126851")</x:f>
      </x:c>
      <x:c r="B658" s="3" t="inlineStr">
        <x:is>
          <x:t>RV ROQUE VILLARREAL </x:t>
        </x:is>
      </x:c>
      <x:c r="C658" s="9" t="inlineStr">
        <x:is>
          <x:t/>
        </x:is>
      </x:c>
      <x:c r="D658" s="3" t="inlineStr">
        <x:is>
          <x:t>07 dic. 2022</x:t>
        </x:is>
      </x:c>
      <x:c r="E658" s="3" t="inlineStr">
        <x:is>
          <x:t/>
        </x:is>
      </x:c>
      <x:c r="F658" s="3" t="inlineStr">
        <x:is>
          <x:t>Negada</x:t>
        </x:is>
      </x:c>
      <x:c r="G658" s="3" t="inlineStr">
        <x:is>
          <x:t/>
        </x:is>
      </x:c>
      <x:c r="H658" s="3" t="inlineStr">
        <x:is>
          <x:t>Roque Emilio  Villarroel Gutierrez , Guaimaral calle 8bn # 9e-128, CUCUTA, NORTE DE SANTANDER, CO</x:t>
        </x:is>
      </x:c>
      <x:c r="I658" s="3" t="inlineStr">
        <x:is>
          <x:t>3, 44</x:t>
        </x:is>
      </x:c>
      <x:c r="J658" s="3" t="inlineStr">
        <x:is>
          <x:t>11</x:t>
        </x:is>
      </x:c>
      <x:c r="K658" s="3" t="inlineStr">
        <x:is>
          <x:t>3. Jabones no medicinales; productos de perfumería, aceites esenciales, cosméticos no medicinales, lociones capilares no medicinales; dentífricos no medicinales.
44. Servicios médicos; servicios tratamientos de higiene y de belleza para personas.
</x:t>
        </x:is>
      </x:c>
      <x:c r="L658" s="3" t="inlineStr">
        <x:is>
          <x:t>No</x:t>
        </x:is>
      </x:c>
      <x:c r="M658" s="3" t="inlineStr">
        <x:is>
          <x:t/>
        </x:is>
      </x:c>
      <x:c r="N658" s="3" t="inlineStr">
        <x:is>
          <x:t/>
        </x:is>
      </x:c>
      <x:c r="O658" s="3" t="inlineStr">
        <x:is>
          <x:t>05 abr. 2023</x:t>
        </x:is>
      </x:c>
      <x:c r="P658" s="3" t="inlineStr">
        <x:is>
          <x:t/>
        </x:is>
      </x:c>
      <x:c r="Q658" s="3" t="inlineStr">
        <x:is>
          <x:t/>
        </x:is>
      </x:c>
    </x:row>
    <x:row r="659">
      <x:c r="A659" s="10" t="inlineStr">
        <x:f xml:space="preserve">HYPERLINK("http://sipi.sic.gov.co/sipi/View.ashx?4490754","SD2022/0126866")</x:f>
      </x:c>
      <x:c r="B659" s="3" t="inlineStr">
        <x:is>
          <x:t>Imagen &amp; Belleza, comercializadora de productos de belleza </x:t>
        </x:is>
      </x:c>
      <x:c r="C659" s="9" t="inlineStr">
        <x:is>
          <x:t/>
        </x:is>
      </x:c>
      <x:c r="D659" s="3" t="inlineStr">
        <x:is>
          <x:t>07 dic. 2022</x:t>
        </x:is>
      </x:c>
      <x:c r="E659" s="3" t="inlineStr">
        <x:is>
          <x:t/>
        </x:is>
      </x:c>
      <x:c r="F659" s="3" t="inlineStr">
        <x:is>
          <x:t>Negada</x:t>
        </x:is>
      </x:c>
      <x:c r="G659" s="3" t="inlineStr">
        <x:is>
          <x:t/>
        </x:is>
      </x:c>
      <x:c r="H659" s="3" t="inlineStr">
        <x:is>
          <x:t> COMERCIALIZADORA IMAGEN &amp; BELLEZA SAS, carrera 38 # 25-50, VILLAVICENCIO, META 1, CO</x:t>
        </x:is>
      </x:c>
      <x:c r="I659" s="3" t="inlineStr">
        <x:is>
          <x:t>3, 35</x:t>
        </x:is>
      </x:c>
      <x:c r="J659" s="3" t="inlineStr">
        <x:is>
          <x:t>11</x:t>
        </x:is>
      </x:c>
      <x:c r="K659" s="3" t="inlineStr">
        <x:is>
          <x:t>3. Productos cosméticos y de belleza; productos de perfumería, aceites esenciales, cosméticos no medicinales, lociones capilares no medicinales; aceites de aromaterapia; aceites de baño para uso cosmético; aceites bronceadores de uso cosmético; aceites cosméticos; cremas, aceites, lociones, aerosoles, lápices y bálsamos para uso cosmético; cremas, aceites, lociones y preparaciones limpiadoras e hidratantes; geles, cremas y aceites de ducha; lociones, cremas y aceites de aplicación tópica para la piel y el cuerpo, de uso cosmético; aguas perfumadas; perfumes, aguas de colonia y productos para después del afeitado; champús para el cabello humano; champús corporales; champús en seco*; aerosoles cosméticos de uso tópico para la piel; barras de labios con protección solar [cosméticos]; barras de labios en stick con protección solar [cosméticos]; colorantes labiales [cosméticos]; correctores de imperfecciones [productos cosméticos]; cosméticos; cosméticos de belleza; cosméticos para cuidados corporales y estéticos; cosméticos para las cejas; cosméticos para los labios; cosméticos para pestañas; cosméticos para tratamiento de belleza cosméticos para el cuidado de belleza; cremas de limpieza [productos cosméticos]; cremas, leches, lociones, geles y polvos cosméticos para la cara, el cuerpo y las manos; esmaltes de base para las uñas [productos cosméticos]; limpiadores cosméticos para la piel; maquillaje [cosméticos]; productos cosméticos de baño y ducha; productos cosméticos y de maquillaje; exfoliantes corporales cosméticos; jabones cosméticos; limpiadores para pinceles cosméticos; productos cosméticos decorativos; cremas antiarrugas para uso cosmético; cremas antienvejecimiento para uso cosmético; cremas para atenuar las manchas de la vejez de uso cosmético; cremas autobronceadoras; cremas depilatorias; cremas desmaquillantes; leches, geles, lociones y cremas desmaquillantes; cremas para reducir la celulitis de uso cosmético; lociones, cremas y preparaciones para el cuidado de la cara, cuerpo, cuero cabelludo, uñas y cabello; adhesivos para pestañas, cabello y uñas postizos; preparaciones cosméticas para secar esmaltes de uñas; quitaesmalte para uñas [cosméticos]; esmaltes de uñas para uso cosmético; preparaciones y productos para el cuidado de las uñas.
35. Servicios de venta de tienda al por menor en línea de productos cosméticos y de belleza; servicios de venta de tienda al por menor en línea que incluyen productos cosméticos y de belleza; servicios de venta de tienda minorista en línea de productos cosméticos y de belleza; servicios de venta minorista en línea de productos cosméticos y de belleza, así como de prendas de vestir y complementos.
</x:t>
        </x:is>
      </x:c>
      <x:c r="L659" s="3" t="inlineStr">
        <x:is>
          <x:t>No</x:t>
        </x:is>
      </x:c>
      <x:c r="M659" s="3" t="inlineStr">
        <x:is>
          <x:t>Lina del Pilar Jimenez Suanca, Calle 2 sur #28-85, VILLAVICENCIO, META 1, CO</x:t>
        </x:is>
      </x:c>
      <x:c r="N659" s="3" t="inlineStr">
        <x:is>
          <x:t/>
        </x:is>
      </x:c>
      <x:c r="O659" s="3" t="inlineStr">
        <x:is>
          <x:t>27 feb. 2023</x:t>
        </x:is>
      </x:c>
      <x:c r="P659" s="3" t="inlineStr">
        <x:is>
          <x:t/>
        </x:is>
      </x:c>
      <x:c r="Q659" s="3" t="inlineStr">
        <x:is>
          <x:t/>
        </x:is>
      </x:c>
    </x:row>
    <x:row r="660">
      <x:c r="A660" s="10" t="inlineStr">
        <x:f xml:space="preserve">HYPERLINK("http://sipi.sic.gov.co/sipi/View.ashx?4490869","SD2022/0126863")</x:f>
      </x:c>
      <x:c r="B660" s="3" t="inlineStr">
        <x:is>
          <x:t>BF BEYOND FACE</x:t>
        </x:is>
      </x:c>
      <x:c r="C660" s="9" t="inlineStr">
        <x:is>
          <x:t/>
        </x:is>
      </x:c>
      <x:c r="D660" s="3" t="inlineStr">
        <x:is>
          <x:t>07 dic. 2022</x:t>
        </x:is>
      </x:c>
      <x:c r="E660" s="3" t="inlineStr">
        <x:is>
          <x:t/>
        </x:is>
      </x:c>
      <x:c r="F660" s="3" t="inlineStr">
        <x:is>
          <x:t>Negada</x:t>
        </x:is>
      </x:c>
      <x:c r="G660" s="3" t="inlineStr">
        <x:is>
          <x:t/>
        </x:is>
      </x:c>
      <x:c r="H660" s="3" t="inlineStr">
        <x:is>
          <x:t>Roque Emilio  Villarroel Gutierrez , Guaimaral calle 8bn # 9e-128, CUCUTA, NORTE DE SANTANDER, CO</x:t>
        </x:is>
      </x:c>
      <x:c r="I660" s="3" t="inlineStr">
        <x:is>
          <x:t>3, 44</x:t>
        </x:is>
      </x:c>
      <x:c r="J660" s="3" t="inlineStr">
        <x:is>
          <x:t>11</x:t>
        </x:is>
      </x:c>
      <x:c r="K660" s="3" t="inlineStr">
        <x:is>
          <x:t>3. Jabones no medicinales; productos de perfumería, aceites esenciales, cosméticos no medicinales, lociones capilares no medicinales.
44. Servicios médicos; tratamientos de higiene y de belleza para personas.
</x:t>
        </x:is>
      </x:c>
      <x:c r="L660" s="3" t="inlineStr">
        <x:is>
          <x:t>No</x:t>
        </x:is>
      </x:c>
      <x:c r="M660" s="3" t="inlineStr">
        <x:is>
          <x:t/>
        </x:is>
      </x:c>
      <x:c r="N660" s="3" t="inlineStr">
        <x:is>
          <x:t/>
        </x:is>
      </x:c>
      <x:c r="O660" s="3" t="inlineStr">
        <x:is>
          <x:t>05 abr. 2023</x:t>
        </x:is>
      </x:c>
      <x:c r="P660" s="3" t="inlineStr">
        <x:is>
          <x:t/>
        </x:is>
      </x:c>
      <x:c r="Q660" s="3" t="inlineStr">
        <x:is>
          <x:t/>
        </x:is>
      </x:c>
    </x:row>
    <x:row r="661">
      <x:c r="A661" s="10" t="inlineStr">
        <x:f xml:space="preserve">HYPERLINK("http://sipi.sic.gov.co/sipi/View.ashx?4491352","SD2022/0130720")</x:f>
      </x:c>
      <x:c r="B661" s="3" t="inlineStr">
        <x:is>
          <x:t>STEIN</x:t>
        </x:is>
      </x:c>
      <x:c r="C661" s="9" t="inlineStr">
        <x:is>
          <x:t/>
        </x:is>
      </x:c>
      <x:c r="D661" s="3" t="inlineStr">
        <x:is>
          <x:t>15 dic. 2022</x:t>
        </x:is>
      </x:c>
      <x:c r="E661" s="3" t="inlineStr">
        <x:is>
          <x:t/>
        </x:is>
      </x:c>
      <x:c r="F661" s="3" t="inlineStr">
        <x:is>
          <x:t>Negada</x:t>
        </x:is>
      </x:c>
      <x:c r="G661" s="3" t="inlineStr">
        <x:is>
          <x:t/>
        </x:is>
      </x:c>
      <x:c r="H661" s="3" t="inlineStr">
        <x:is>
          <x:t>MICHEL LEANDRO BOHORQUEZ ARIAS, CALLE 25 C # 84 B 38 PISO 3, BOGOTA, CUNDINAMARCA 110911, CO</x:t>
        </x:is>
      </x:c>
      <x:c r="I661" s="3" t="inlineStr">
        <x:is>
          <x:t>3</x:t>
        </x:is>
      </x:c>
      <x:c r="J661" s="3" t="inlineStr">
        <x:is>
          <x:t>11</x:t>
        </x:is>
      </x:c>
      <x:c r="K661" s="3" t="inlineStr">
        <x:is>
          <x:t>3. Jabones antitranspirantes; jabones corporales no medicados; jabones cosméticos; jabones de baño; jabones de ducha; jabones de tocador; jabones desodorantes; jabones detergentes; jabones en polvo no medicinales; jabones faciales; jabones industriales; jabones líquidos; jabones no medicinales; jabones para la ducha; jabones para lavar la ropa; jabones para uso doméstico; jabones y detergentes.
</x:t>
        </x:is>
      </x:c>
      <x:c r="L661" s="3" t="inlineStr">
        <x:is>
          <x:t>Sí</x:t>
        </x:is>
      </x:c>
      <x:c r="M661" s="3" t="inlineStr">
        <x:is>
          <x:t/>
        </x:is>
      </x:c>
      <x:c r="N661" s="3" t="inlineStr">
        <x:is>
          <x:t/>
        </x:is>
      </x:c>
      <x:c r="O661" s="3" t="inlineStr">
        <x:is>
          <x:t>17 abr. 2023</x:t>
        </x:is>
      </x:c>
      <x:c r="P661" s="3" t="inlineStr">
        <x:is>
          <x:t/>
        </x:is>
      </x:c>
      <x:c r="Q661" s="3" t="inlineStr">
        <x:is>
          <x:t/>
        </x:is>
      </x:c>
    </x:row>
    <x:row r="662">
      <x:c r="A662" s="10" t="inlineStr">
        <x:f xml:space="preserve">HYPERLINK("http://sipi.sic.gov.co/sipi/View.ashx?4491497","SD2022/0131343")</x:f>
      </x:c>
      <x:c r="B662" s="3" t="inlineStr">
        <x:is>
          <x:t>ARTESANA</x:t>
        </x:is>
      </x:c>
      <x:c r="C662" s="9" t="inlineStr">
        <x:is>
          <x:t/>
        </x:is>
      </x:c>
      <x:c r="D662" s="3" t="inlineStr">
        <x:is>
          <x:t>16 dic. 2022</x:t>
        </x:is>
      </x:c>
      <x:c r="E662" s="3" t="inlineStr">
        <x:is>
          <x:t/>
        </x:is>
      </x:c>
      <x:c r="F662" s="3" t="inlineStr">
        <x:is>
          <x:t>Negada</x:t>
        </x:is>
      </x:c>
      <x:c r="G662" s="3" t="inlineStr">
        <x:is>
          <x:t>ARTESANA</x:t>
        </x:is>
      </x:c>
      <x:c r="H662" s="3" t="inlineStr">
        <x:is>
          <x:t>Santiago Chaparro Arias, calle 23 N # 24 00, ARMENIA, QUINDIO, CO</x:t>
        </x:is>
      </x:c>
      <x:c r="I662" s="3" t="inlineStr">
        <x:is>
          <x:t>3</x:t>
        </x:is>
      </x:c>
      <x:c r="J662" s="3" t="inlineStr">
        <x:is>
          <x:t>11</x:t>
        </x:is>
      </x:c>
      <x:c r="K662"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62" s="3" t="inlineStr">
        <x:is>
          <x:t>No</x:t>
        </x:is>
      </x:c>
      <x:c r="M662" s="3" t="inlineStr">
        <x:is>
          <x:t/>
        </x:is>
      </x:c>
      <x:c r="N662" s="3" t="inlineStr">
        <x:is>
          <x:t/>
        </x:is>
      </x:c>
      <x:c r="O662" s="3" t="inlineStr">
        <x:is>
          <x:t>29 may. 2023</x:t>
        </x:is>
      </x:c>
      <x:c r="P662" s="3" t="inlineStr">
        <x:is>
          <x:t/>
        </x:is>
      </x:c>
      <x:c r="Q662" s="3" t="inlineStr">
        <x:is>
          <x:t/>
        </x:is>
      </x:c>
    </x:row>
    <x:row r="663">
      <x:c r="A663" s="10" t="inlineStr">
        <x:f xml:space="preserve">HYPERLINK("http://sipi.sic.gov.co/sipi/View.ashx?4491950","SD2022/0127106")</x:f>
      </x:c>
      <x:c r="B663" s="3" t="inlineStr">
        <x:is>
          <x:t>GOODMAN</x:t>
        </x:is>
      </x:c>
      <x:c r="C663" s="3" t="inlineStr">
        <x:is>
          <x:t/>
        </x:is>
      </x:c>
      <x:c r="D663" s="3" t="inlineStr">
        <x:is>
          <x:t>07 dic. 2022</x:t>
        </x:is>
      </x:c>
      <x:c r="E663" s="3" t="inlineStr">
        <x:is>
          <x:t/>
        </x:is>
      </x:c>
      <x:c r="F663" s="3" t="inlineStr">
        <x:is>
          <x:t>Negada</x:t>
        </x:is>
      </x:c>
      <x:c r="G663" s="3" t="inlineStr">
        <x:is>
          <x:t/>
        </x:is>
      </x:c>
      <x:c r="H663" s="3" t="inlineStr">
        <x:is>
          <x:t>ANDERSON STIVEN  GARCIA GIRALDO, CRA 9 No. 27 - 95 CONDOMINIO PORTOFINO CASA 19 , CHIA, CUNDINAMARCA, CO</x:t>
        </x:is>
      </x:c>
      <x:c r="I663" s="3" t="inlineStr">
        <x:is>
          <x:t>3</x:t>
        </x:is>
      </x:c>
      <x:c r="J663" s="3" t="inlineStr">
        <x:is>
          <x:t>11</x:t>
        </x:is>
      </x:c>
      <x:c r="K663" s="3" t="inlineStr">
        <x:is>
          <x:t>3. Productos cosméticos, maquillaje, productos de aseo no industriales, artículos de perfumería, talcos cosméticos, geles para el cabello, shampoo, tratamientos cosméticos capilares.
</x:t>
        </x:is>
      </x:c>
      <x:c r="L663" s="3" t="inlineStr">
        <x:is>
          <x:t>Sí</x:t>
        </x:is>
      </x:c>
      <x:c r="M663" s="3" t="inlineStr">
        <x:is>
          <x:t>FERNANDO ANDRÉS  VALDERRAMA GRIJALBA , CL. 97 No. 23-60, OFICINA 603, BOGOTÁ, D.C., CO</x:t>
        </x:is>
      </x:c>
      <x:c r="N663" s="3" t="inlineStr">
        <x:is>
          <x:t/>
        </x:is>
      </x:c>
      <x:c r="O663" s="3" t="inlineStr">
        <x:is>
          <x:t>09 jun. 2023</x:t>
        </x:is>
      </x:c>
      <x:c r="P663" s="3" t="inlineStr">
        <x:is>
          <x:t/>
        </x:is>
      </x:c>
      <x:c r="Q663" s="3" t="inlineStr">
        <x:is>
          <x:t/>
        </x:is>
      </x:c>
    </x:row>
    <x:row r="664">
      <x:c r="A664" s="10" t="inlineStr">
        <x:f xml:space="preserve">HYPERLINK("http://sipi.sic.gov.co/sipi/View.ashx?4491967","SD2022/0127108")</x:f>
      </x:c>
      <x:c r="B664" s="3" t="inlineStr">
        <x:is>
          <x:t>GOODIS</x:t>
        </x:is>
      </x:c>
      <x:c r="C664" s="3" t="inlineStr">
        <x:is>
          <x:t/>
        </x:is>
      </x:c>
      <x:c r="D664" s="3" t="inlineStr">
        <x:is>
          <x:t>07 dic. 2022</x:t>
        </x:is>
      </x:c>
      <x:c r="E664" s="3" t="inlineStr">
        <x:is>
          <x:t/>
        </x:is>
      </x:c>
      <x:c r="F664" s="3" t="inlineStr">
        <x:is>
          <x:t>Negada</x:t>
        </x:is>
      </x:c>
      <x:c r="G664" s="3" t="inlineStr">
        <x:is>
          <x:t/>
        </x:is>
      </x:c>
      <x:c r="H664" s="3" t="inlineStr">
        <x:is>
          <x:t>ANDERSON STIVEN  GARCIA GIRALDO, CRA 9 No. 27 - 95 CONDOMINIO PORTOFINO CASA 19 , CHIA, CUNDINAMARCA, CO</x:t>
        </x:is>
      </x:c>
      <x:c r="I664" s="3" t="inlineStr">
        <x:is>
          <x:t>3</x:t>
        </x:is>
      </x:c>
      <x:c r="J664" s="3" t="inlineStr">
        <x:is>
          <x:t>11</x:t>
        </x:is>
      </x:c>
      <x:c r="K664" s="3" t="inlineStr">
        <x:is>
          <x:t>3. Productos cosméticos. Productos cosméticos para dama. Productos cosméticos para hombres. Productos cosméticos para niños.
</x:t>
        </x:is>
      </x:c>
      <x:c r="L664" s="3" t="inlineStr">
        <x:is>
          <x:t>No</x:t>
        </x:is>
      </x:c>
      <x:c r="M664" s="3" t="inlineStr">
        <x:is>
          <x:t>FERNANDO ANDRÉS  VALDERRAMA GRIJALBA , CL. 97 No. 23-60, OFICINA 603, BOGOTÁ, D.C., CO</x:t>
        </x:is>
      </x:c>
      <x:c r="N664" s="3" t="inlineStr">
        <x:is>
          <x:t/>
        </x:is>
      </x:c>
      <x:c r="O664" s="3" t="inlineStr">
        <x:is>
          <x:t>21 jul. 2023</x:t>
        </x:is>
      </x:c>
      <x:c r="P664" s="3" t="inlineStr">
        <x:is>
          <x:t/>
        </x:is>
      </x:c>
      <x:c r="Q664" s="3" t="inlineStr">
        <x:is>
          <x:t/>
        </x:is>
      </x:c>
    </x:row>
    <x:row r="665">
      <x:c r="A665" s="10" t="inlineStr">
        <x:f xml:space="preserve">HYPERLINK("http://sipi.sic.gov.co/sipi/View.ashx?4491983","SD2022/0127111")</x:f>
      </x:c>
      <x:c r="B665" s="3" t="inlineStr">
        <x:is>
          <x:t>BLESSGO</x:t>
        </x:is>
      </x:c>
      <x:c r="C665" s="3" t="inlineStr">
        <x:is>
          <x:t/>
        </x:is>
      </x:c>
      <x:c r="D665" s="3" t="inlineStr">
        <x:is>
          <x:t>07 dic. 2022</x:t>
        </x:is>
      </x:c>
      <x:c r="E665" s="3" t="inlineStr">
        <x:is>
          <x:t/>
        </x:is>
      </x:c>
      <x:c r="F665" s="3" t="inlineStr">
        <x:is>
          <x:t>Negada</x:t>
        </x:is>
      </x:c>
      <x:c r="G665" s="3" t="inlineStr">
        <x:is>
          <x:t/>
        </x:is>
      </x:c>
      <x:c r="H665" s="3" t="inlineStr">
        <x:is>
          <x:t>ANDERSON STIVEN  GARCIA GIRALDO, CRA 9 No. 27 - 95 CONDOMINIO PORTOFINO CASA 19 , CHIA, CUNDINAMARCA, CO</x:t>
        </x:is>
      </x:c>
      <x:c r="I665" s="3" t="inlineStr">
        <x:is>
          <x:t>3</x:t>
        </x:is>
      </x:c>
      <x:c r="J665" s="3" t="inlineStr">
        <x:is>
          <x:t>11</x:t>
        </x:is>
      </x:c>
      <x:c r="K665" s="3" t="inlineStr">
        <x:is>
          <x:t>3. Productos cosméticos, maquillaje, productos de aseo no industriales, artículos de perfumería, talcos cosméticos, geles para el cabello, shampoo, tratamientos cosméticos capilares.
</x:t>
        </x:is>
      </x:c>
      <x:c r="L665" s="3" t="inlineStr">
        <x:is>
          <x:t>No</x:t>
        </x:is>
      </x:c>
      <x:c r="M665" s="3" t="inlineStr">
        <x:is>
          <x:t>FERNANDO ANDRÉS  VALDERRAMA GRIJALBA , CL. 97 No. 23-60, OFICINA 603, BOGOTÁ, D.C., CO</x:t>
        </x:is>
      </x:c>
      <x:c r="N665" s="3" t="inlineStr">
        <x:is>
          <x:t/>
        </x:is>
      </x:c>
      <x:c r="O665" s="3" t="inlineStr">
        <x:is>
          <x:t>09 jun. 2023</x:t>
        </x:is>
      </x:c>
      <x:c r="P665" s="3" t="inlineStr">
        <x:is>
          <x:t/>
        </x:is>
      </x:c>
      <x:c r="Q665" s="3" t="inlineStr">
        <x:is>
          <x:t/>
        </x:is>
      </x:c>
    </x:row>
    <x:row r="666">
      <x:c r="A666" s="10" t="inlineStr">
        <x:f xml:space="preserve">HYPERLINK("http://sipi.sic.gov.co/sipi/View.ashx?4492017","SD2022/0127120")</x:f>
      </x:c>
      <x:c r="B666" s="3" t="inlineStr">
        <x:is>
          <x:t>WOKIDS</x:t>
        </x:is>
      </x:c>
      <x:c r="C666" s="3" t="inlineStr">
        <x:is>
          <x:t/>
        </x:is>
      </x:c>
      <x:c r="D666" s="3" t="inlineStr">
        <x:is>
          <x:t>07 dic. 2022</x:t>
        </x:is>
      </x:c>
      <x:c r="E666" s="3" t="inlineStr">
        <x:is>
          <x:t/>
        </x:is>
      </x:c>
      <x:c r="F666" s="3" t="inlineStr">
        <x:is>
          <x:t>Negada</x:t>
        </x:is>
      </x:c>
      <x:c r="G666" s="3" t="inlineStr">
        <x:is>
          <x:t/>
        </x:is>
      </x:c>
      <x:c r="H666" s="3" t="inlineStr">
        <x:is>
          <x:t>ANDERSON STIVEN  GARCIA GIRALDO, CRA 9 No. 27 - 95 CONDOMINIO PORTOFINO CASA 19 , CHIA, CUNDINAMARCA, CO</x:t>
        </x:is>
      </x:c>
      <x:c r="I666" s="3" t="inlineStr">
        <x:is>
          <x:t>3</x:t>
        </x:is>
      </x:c>
      <x:c r="J666" s="3" t="inlineStr">
        <x:is>
          <x:t>11</x:t>
        </x:is>
      </x:c>
      <x:c r="K666" s="3" t="inlineStr">
        <x:is>
          <x:t>3. Productos cosméticos, maquillaje, productos de aseo no industriales, artículos de perfumería, talcos cosméticos, geles para el cabello, shampoo, tratamientos cosméticos capilares.
</x:t>
        </x:is>
      </x:c>
      <x:c r="L666" s="3" t="inlineStr">
        <x:is>
          <x:t>Sí</x:t>
        </x:is>
      </x:c>
      <x:c r="M666" s="3" t="inlineStr">
        <x:is>
          <x:t>FERNANDO ANDRÉS  VALDERRAMA GRIJALBA , CL. 97 No. 23-60, OFICINA 603, BOGOTÁ, D.C., CO</x:t>
        </x:is>
      </x:c>
      <x:c r="N666" s="3" t="inlineStr">
        <x:is>
          <x:t/>
        </x:is>
      </x:c>
      <x:c r="O666" s="3" t="inlineStr">
        <x:is>
          <x:t>09 jun. 2023</x:t>
        </x:is>
      </x:c>
      <x:c r="P666" s="3" t="inlineStr">
        <x:is>
          <x:t/>
        </x:is>
      </x:c>
      <x:c r="Q666" s="3" t="inlineStr">
        <x:is>
          <x:t/>
        </x:is>
      </x:c>
    </x:row>
    <x:row r="667">
      <x:c r="A667" s="10" t="inlineStr">
        <x:f xml:space="preserve">HYPERLINK("http://sipi.sic.gov.co/sipi/View.ashx?4492145","SD2022/0129470")</x:f>
      </x:c>
      <x:c r="B667" s="3" t="inlineStr">
        <x:is>
          <x:t>CORTEZA DE PALO Tienda Artesanal</x:t>
        </x:is>
      </x:c>
      <x:c r="C667" s="9" t="inlineStr">
        <x:is>
          <x:t/>
        </x:is>
      </x:c>
      <x:c r="D667" s="3" t="inlineStr">
        <x:is>
          <x:t>13 dic. 2022</x:t>
        </x:is>
      </x:c>
      <x:c r="E667" s="3" t="inlineStr">
        <x:is>
          <x:t/>
        </x:is>
      </x:c>
      <x:c r="F667" s="3" t="inlineStr">
        <x:is>
          <x:t>Negada</x:t>
        </x:is>
      </x:c>
      <x:c r="G667" s="3" t="inlineStr">
        <x:is>
          <x:t/>
        </x:is>
      </x:c>
      <x:c r="H667" s="3" t="inlineStr">
        <x:is>
          <x:t>BRYAN ALEXANDER ESCOBAR VICTORIA, CALLE 39 # 4-05, CALI, VALLE DEL CAUCA, CO</x:t>
        </x:is>
      </x:c>
      <x:c r="I667" s="3" t="inlineStr">
        <x:is>
          <x:t>3, 35</x:t>
        </x:is>
      </x:c>
      <x:c r="J667" s="3" t="inlineStr">
        <x:is>
          <x:t>11</x:t>
        </x:is>
      </x:c>
      <x:c r="K667" s="3" t="inlineStr">
        <x:is>
          <x:t>3. Jabones*; champús y acondicionadores; cosméticos; cosméticos de belleza; cosméticos naturales; cosméticos orgánicos; cosméticos para cuidados corporales y estéticos; cosméticos para el cabello; cosméticos y preparaciones cosméticas; cremas corporales [cosméticos]; cremas y geles cosméticos para cara, manos y cuerpo; jabones cosméticos; polvos cosméticos; productos cosméticos para el cabello y el cuero cabelludo; productos cosméticos para el cuidado corporal; productos cosméticos para el cuidado de la piel; velas de masaje para uso cosmético.
35. Servicio de distribución comercial en el ámbito de los cosméticos; servicios de venta de tienda al por menor en línea de productos cosméticos y de belleza; servicios de venta minorista en línea de cosméticos; servicios de venta minorista en línea de productos cosméticos; servicios de venta minorista o mayorista de productos cosméticos; servicios de venta minorista o mayorista de productos cosméticos, productos de tocador, dentífricos, jabones y detergentes.
</x:t>
        </x:is>
      </x:c>
      <x:c r="L667" s="3" t="inlineStr">
        <x:is>
          <x:t>No</x:t>
        </x:is>
      </x:c>
      <x:c r="M667" s="3" t="inlineStr">
        <x:is>
          <x:t>JOSE LIZANDRO VIVEROS MESIAS, CARRERA 38 # 10-51 BARRIO OLÍMPICO, CALI, VALLE DEL CAUCA, CO</x:t>
        </x:is>
      </x:c>
      <x:c r="N667" s="3" t="inlineStr">
        <x:is>
          <x:t/>
        </x:is>
      </x:c>
      <x:c r="O667" s="3" t="inlineStr">
        <x:is>
          <x:t>07 mar. 2023</x:t>
        </x:is>
      </x:c>
      <x:c r="P667" s="3" t="inlineStr">
        <x:is>
          <x:t/>
        </x:is>
      </x:c>
      <x:c r="Q667" s="3" t="inlineStr">
        <x:is>
          <x:t/>
        </x:is>
      </x:c>
    </x:row>
    <x:row r="668">
      <x:c r="A668" s="10" t="inlineStr">
        <x:f xml:space="preserve">HYPERLINK("http://sipi.sic.gov.co/sipi/View.ashx?4493102","SD2022/0127409")</x:f>
      </x:c>
      <x:c r="B668" s="3" t="inlineStr">
        <x:is>
          <x:t>MOR</x:t>
        </x:is>
      </x:c>
      <x:c r="C668" s="9" t="inlineStr">
        <x:is>
          <x:t/>
        </x:is>
      </x:c>
      <x:c r="D668" s="3" t="inlineStr">
        <x:is>
          <x:t>09 dic. 2022</x:t>
        </x:is>
      </x:c>
      <x:c r="E668" s="3" t="inlineStr">
        <x:is>
          <x:t/>
        </x:is>
      </x:c>
      <x:c r="F668" s="3" t="inlineStr">
        <x:is>
          <x:t>Negada</x:t>
        </x:is>
      </x:c>
      <x:c r="G668" s="3" t="inlineStr">
        <x:is>
          <x:t>MOR</x:t>
        </x:is>
      </x:c>
      <x:c r="H668" s="3" t="inlineStr">
        <x:is>
          <x:t>JUAN DIEGO BONILLA OROZCO, Cra. 1 B # 42B-85  Edificio Mirador de Santa Helena, IBAGUE, TOLIMA, CO</x:t>
        </x:is>
      </x:c>
      <x:c r="I668" s="3" t="inlineStr">
        <x:is>
          <x:t>3, 5</x:t>
        </x:is>
      </x:c>
      <x:c r="J668" s="3" t="inlineStr">
        <x:is>
          <x:t>11</x:t>
        </x:is>
      </x:c>
      <x:c r="K66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668" s="3" t="inlineStr">
        <x:is>
          <x:t>No</x:t>
        </x:is>
      </x:c>
      <x:c r="M668" s="3" t="inlineStr">
        <x:is>
          <x:t/>
        </x:is>
      </x:c>
      <x:c r="N668" s="3" t="inlineStr">
        <x:is>
          <x:t/>
        </x:is>
      </x:c>
      <x:c r="O668" s="3" t="inlineStr">
        <x:is>
          <x:t>20 dic. 2022</x:t>
        </x:is>
      </x:c>
      <x:c r="P668" s="3" t="inlineStr">
        <x:is>
          <x:t/>
        </x:is>
      </x:c>
      <x:c r="Q668" s="3" t="inlineStr">
        <x:is>
          <x:t/>
        </x:is>
      </x:c>
    </x:row>
    <x:row r="669">
      <x:c r="A669" s="10" t="inlineStr">
        <x:f xml:space="preserve">HYPERLINK("http://sipi.sic.gov.co/sipi/View.ashx?4493814","SD2022/0131907")</x:f>
      </x:c>
      <x:c r="B669" s="3" t="inlineStr">
        <x:is>
          <x:t>AzulesVioleta</x:t>
        </x:is>
      </x:c>
      <x:c r="C669" s="9" t="inlineStr">
        <x:is>
          <x:t/>
        </x:is>
      </x:c>
      <x:c r="D669" s="3" t="inlineStr">
        <x:is>
          <x:t>19 dic. 2022</x:t>
        </x:is>
      </x:c>
      <x:c r="E669" s="3" t="inlineStr">
        <x:is>
          <x:t/>
        </x:is>
      </x:c>
      <x:c r="F669" s="3" t="inlineStr">
        <x:is>
          <x:t>Negada</x:t>
        </x:is>
      </x:c>
      <x:c r="G669" s="3" t="inlineStr">
        <x:is>
          <x:t>TRM4</x:t>
        </x:is>
      </x:c>
      <x:c r="H669" s="3" t="inlineStr">
        <x:is>
          <x:t>DANIEL ELIAS  ESPINOSA RUDAS, PARQUE HEREDIA, CONJUNTO SALAMANDRA TORRE 8 APTO 202, CARTAGENA, BOLIVAR, CO</x:t>
        </x:is>
      </x:c>
      <x:c r="I669" s="3" t="inlineStr">
        <x:is>
          <x:t>3</x:t>
        </x:is>
      </x:c>
      <x:c r="J669" s="3" t="inlineStr">
        <x:is>
          <x:t>11</x:t>
        </x:is>
      </x:c>
      <x:c r="K669" s="3" t="inlineStr">
        <x:is>
          <x:t>3. Kits de maquillaje; maquillaje para el rostro y el cuerpo; neceseres de cosmética que contienen principalmente máscara de pestañas, lápices de labios, lápices de cejas, maquillaje, fundación de maquillaje y brillos de labios; preparaciones de maquillaje para el rostro y el cuerpo; productos cosméticos y de maquillaje; productos de maquillaje; preparaciones de maquillaje para la cara y el cuerpo; polvos de maquillaje; neceseres de cosmética que comprenden principalmente máscara de pestañas, lápices de labios, lápices de cejas, maquillaje, fundación de maquillaje y brillos de labios; maquillaje para los ojos; maquillaje vendido en polveras; maquillajes de base; maquillajes de base en crema; maquillajes de ojos; maquillajes faciales; kits de maquillaje que consisten principalmente en bases de maquillaje, rímeles, coloretes, brillos de labios y lápices de labios [sin incluir pinceles ni esponjas]; lápices de maquillaje; maquillaje; maquillaje [cosméticos]; maquillaje de teatro, a saber, sangre falsa; maquillaje para el cuerpo; maquillaje para el rostro; maquillaje para la cara; maquillaje para la cara y el cuerpo; maquillaje para la piel; bases de maquillaje; bases de maquillaje cremosas; bases de maquillaje en crema; bases de maquillaje líquidas; bases de maquillaje para la piel; kits de cosméticos que comprenden principalmente máscara de pestañas, lápices de labios, lápices de cejas, maquillaje, fundación de maquillaje y brillos de labios; aceites de aromaterapia; aceites esenciales de aromaterapia; aceites esenciales para uso en aromaterapia; lociones de aromaterapia; productos de aromaterapia; cremas de aromaterapia; cremas para la piel no medicinales a base de aceites esenciales para uso en aromaterapia; velas de masaje para uso cosmético.
</x:t>
        </x:is>
      </x:c>
      <x:c r="L669" s="3" t="inlineStr">
        <x:is>
          <x:t>No</x:t>
        </x:is>
      </x:c>
      <x:c r="M669" s="3" t="inlineStr">
        <x:is>
          <x:t>Jaime Alberto Espinosa Tietjen, cartagena, CARTAGENA, BOLIVAR, CO</x:t>
        </x:is>
      </x:c>
      <x:c r="N669" s="3" t="inlineStr">
        <x:is>
          <x:t/>
        </x:is>
      </x:c>
      <x:c r="O669" s="3" t="inlineStr">
        <x:is>
          <x:t>27 mar. 2023</x:t>
        </x:is>
      </x:c>
      <x:c r="P669" s="3" t="inlineStr">
        <x:is>
          <x:t/>
        </x:is>
      </x:c>
      <x:c r="Q669" s="3" t="inlineStr">
        <x:is>
          <x:t/>
        </x:is>
      </x:c>
    </x:row>
    <x:row r="670">
      <x:c r="A670" s="10" t="inlineStr">
        <x:f xml:space="preserve">HYPERLINK("http://sipi.sic.gov.co/sipi/View.ashx?4494881","SD2022/0127882")</x:f>
      </x:c>
      <x:c r="B670" s="3" t="inlineStr">
        <x:is>
          <x:t>K KOSCAR SENSITIVA</x:t>
        </x:is>
      </x:c>
      <x:c r="C670" s="9" t="inlineStr">
        <x:is>
          <x:t/>
        </x:is>
      </x:c>
      <x:c r="D670" s="3" t="inlineStr">
        <x:is>
          <x:t>09 dic. 2022</x:t>
        </x:is>
      </x:c>
      <x:c r="E670" s="3" t="inlineStr">
        <x:is>
          <x:t/>
        </x:is>
      </x:c>
      <x:c r="F670" s="3" t="inlineStr">
        <x:is>
          <x:t>Negada</x:t>
        </x:is>
      </x:c>
      <x:c r="G670" s="3" t="inlineStr">
        <x:is>
          <x:t/>
        </x:is>
      </x:c>
      <x:c r="H670" s="3" t="inlineStr">
        <x:is>
          <x:t> KOSCAR S.A.S., Calle 87 No 16-27 Apto 801, BOGOTÁ, D.C., CO</x:t>
        </x:is>
      </x:c>
      <x:c r="I670" s="3" t="inlineStr">
        <x:is>
          <x:t>3</x:t>
        </x:is>
      </x:c>
      <x:c r="J670" s="3" t="inlineStr">
        <x:is>
          <x:t>11</x:t>
        </x:is>
      </x:c>
      <x:c r="K670" s="3" t="inlineStr">
        <x:is>
          <x:t>3. Dentífricos y enjuagues bucales no medicinales; preparaciones de limpieza dental no medicadas; blanqueadores (geles) para uso dental; productos para la higiene bucal no medicados; preparaciones de higiene personal para refrescar el aliento.
</x:t>
        </x:is>
      </x:c>
      <x:c r="L670" s="3" t="inlineStr">
        <x:is>
          <x:t>No</x:t>
        </x:is>
      </x:c>
      <x:c r="M670" s="3" t="inlineStr">
        <x:is>
          <x:t>PAULA YISETH ALVAREZ FARFAN, Calle 2 No 92D-30 Torre 36 Apto 203, BOGOTÁ, D.C., CO</x:t>
        </x:is>
      </x:c>
      <x:c r="N670" s="3" t="inlineStr">
        <x:is>
          <x:t/>
        </x:is>
      </x:c>
      <x:c r="O670" s="3" t="inlineStr">
        <x:is>
          <x:t>17 abr. 2023</x:t>
        </x:is>
      </x:c>
      <x:c r="P670" s="3" t="inlineStr">
        <x:is>
          <x:t/>
        </x:is>
      </x:c>
      <x:c r="Q670" s="3" t="inlineStr">
        <x:is>
          <x:t/>
        </x:is>
      </x:c>
    </x:row>
    <x:row r="671">
      <x:c r="A671" s="10" t="inlineStr">
        <x:f xml:space="preserve">HYPERLINK("http://sipi.sic.gov.co/sipi/View.ashx?4495599","SD2022/0128033")</x:f>
      </x:c>
      <x:c r="B671" s="3" t="inlineStr">
        <x:is>
          <x:t>CLEOX S.A.S</x:t>
        </x:is>
      </x:c>
      <x:c r="C671" s="9" t="inlineStr">
        <x:is>
          <x:t/>
        </x:is>
      </x:c>
      <x:c r="D671" s="3" t="inlineStr">
        <x:is>
          <x:t>10 dic. 2022</x:t>
        </x:is>
      </x:c>
      <x:c r="E671" s="3" t="inlineStr">
        <x:is>
          <x:t/>
        </x:is>
      </x:c>
      <x:c r="F671" s="3" t="inlineStr">
        <x:is>
          <x:t>Negada</x:t>
        </x:is>
      </x:c>
      <x:c r="G671" s="3" t="inlineStr">
        <x:is>
          <x:t/>
        </x:is>
      </x:c>
      <x:c r="H671" s="3" t="inlineStr">
        <x:is>
          <x:t>sara yancely valencia vargas, cra 17a #58-95, BUCARAMANGA, SANTANDER, CO</x:t>
        </x:is>
      </x:c>
      <x:c r="I671" s="3" t="inlineStr">
        <x:is>
          <x:t>3</x:t>
        </x:is>
      </x:c>
      <x:c r="J671" s="3" t="inlineStr">
        <x:is>
          <x:t>11</x:t>
        </x:is>
      </x:c>
      <x:c r="K671"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71" s="3" t="inlineStr">
        <x:is>
          <x:t>No</x:t>
        </x:is>
      </x:c>
      <x:c r="M671" s="3" t="inlineStr">
        <x:is>
          <x:t/>
        </x:is>
      </x:c>
      <x:c r="N671" s="3" t="inlineStr">
        <x:is>
          <x:t/>
        </x:is>
      </x:c>
      <x:c r="O671" s="3" t="inlineStr">
        <x:is>
          <x:t>06 feb. 2023</x:t>
        </x:is>
      </x:c>
      <x:c r="P671" s="3" t="inlineStr">
        <x:is>
          <x:t/>
        </x:is>
      </x:c>
      <x:c r="Q671" s="3" t="inlineStr">
        <x:is>
          <x:t/>
        </x:is>
      </x:c>
    </x:row>
    <x:row r="672">
      <x:c r="A672" s="10" t="inlineStr">
        <x:f xml:space="preserve">HYPERLINK("http://sipi.sic.gov.co/sipi/View.ashx?4495984","SD2022/0128084")</x:f>
      </x:c>
      <x:c r="B672" s="3" t="inlineStr">
        <x:is>
          <x:t>Industrias de Aseo DAM</x:t>
        </x:is>
      </x:c>
      <x:c r="C672" s="9" t="inlineStr">
        <x:is>
          <x:t/>
        </x:is>
      </x:c>
      <x:c r="D672" s="3" t="inlineStr">
        <x:is>
          <x:t>11 dic. 2022</x:t>
        </x:is>
      </x:c>
      <x:c r="E672" s="3" t="inlineStr">
        <x:is>
          <x:t/>
        </x:is>
      </x:c>
      <x:c r="F672" s="3" t="inlineStr">
        <x:is>
          <x:t>Negada</x:t>
        </x:is>
      </x:c>
      <x:c r="G672" s="3" t="inlineStr">
        <x:is>
          <x:t>INDUSTRIAS DE ASEO DAM</x:t>
        </x:is>
      </x:c>
      <x:c r="H672" s="3" t="inlineStr">
        <x:is>
          <x:t>Jeisson Andres Pardo Ortiz, Transversal 22 B n 7 B-39 barrio la Colina, GIRARDOT, CUNDINAMARCA 252431, CO</x:t>
        </x:is>
      </x:c>
      <x:c r="I672" s="3" t="inlineStr">
        <x:is>
          <x:t>3</x:t>
        </x:is>
      </x:c>
      <x:c r="J672" s="3" t="inlineStr">
        <x:is>
          <x:t>11</x:t>
        </x:is>
      </x:c>
      <x:c r="K672" s="3" t="inlineStr">
        <x:is>
          <x:t>3. Detergentes jabonosos para uso doméstico; jabones cosméticos; jabones de baño en forma líquida, sólida o de gel; jabones de tocador; jabones de tocador no medicinales; jabones detergentes; jabones en forma líquida; jabones industriales; jabones líquidos; jabones líquidos para el baño; jabones en crema para el cuerpo; jabones no medicados para el cuerpo; jabones para lavar la ropa; jabones y detergentes; jabones*; detergente líquido; detergentes en comprimidos para lavavajillas; detergentes en gel para lavavajillas; detergentes en polvo para lavavajillas; detergentes de espuma para uso doméstico; detergentes en polvo para la ropa; detergentes para el hogar; detergentes para la limpieza de la ropa para uso doméstico; preparaciones desengrasantes para uso doméstico; solventes desengrasantes, que no sean para procesos de fabricación; productos blanqueadores [lavandería]; productos blanqueadores para lavar la ropa; sustancias blanqueadoras para uso en la limpieza doméstica; preparaciones blanqueadoras; preparaciones blanqueadoras [decolorantes] para uso doméstico; ambientadores de interior [preparaciones perfumadas]; ambientadores de interior [productos para perfumar el aire]; ambientadores de interior [productos para perfumar el ambiente]; ambientadores de interior en cuanto productos para perfumar el aire; preparaciones ambientadoras (perfumes); aceites esenciales para ambientadores de interior; aceites esenciales para aparatos ambientadores de interior; ambientadores perfumados en aerosol; suavizantes de telas; suavizantes de textiles; suavizantes para la ropa.
</x:t>
        </x:is>
      </x:c>
      <x:c r="L672" s="3" t="inlineStr">
        <x:is>
          <x:t>No</x:t>
        </x:is>
      </x:c>
      <x:c r="M672" s="3" t="inlineStr">
        <x:is>
          <x:t/>
        </x:is>
      </x:c>
      <x:c r="N672" s="3" t="inlineStr">
        <x:is>
          <x:t/>
        </x:is>
      </x:c>
      <x:c r="O672" s="3" t="inlineStr">
        <x:is>
          <x:t>27 feb. 2023</x:t>
        </x:is>
      </x:c>
      <x:c r="P672" s="3" t="inlineStr">
        <x:is>
          <x:t/>
        </x:is>
      </x:c>
      <x:c r="Q672" s="3" t="inlineStr">
        <x:is>
          <x:t/>
        </x:is>
      </x:c>
    </x:row>
    <x:row r="673">
      <x:c r="A673" s="10" t="inlineStr">
        <x:f xml:space="preserve">HYPERLINK("http://sipi.sic.gov.co/sipi/View.ashx?4496623","SD2022/0128240")</x:f>
      </x:c>
      <x:c r="B673" s="3" t="inlineStr">
        <x:is>
          <x:t>BELLA EBANO</x:t>
        </x:is>
      </x:c>
      <x:c r="C673" s="9" t="inlineStr">
        <x:is>
          <x:t/>
        </x:is>
      </x:c>
      <x:c r="D673" s="3" t="inlineStr">
        <x:is>
          <x:t>12 dic. 2022</x:t>
        </x:is>
      </x:c>
      <x:c r="E673" s="3" t="inlineStr">
        <x:is>
          <x:t/>
        </x:is>
      </x:c>
      <x:c r="F673" s="3" t="inlineStr">
        <x:is>
          <x:t>Negada</x:t>
        </x:is>
      </x:c>
      <x:c r="G673" s="3" t="inlineStr">
        <x:is>
          <x:t>C-4-1270</x:t>
        </x:is>
      </x:c>
      <x:c r="H673" s="3" t="inlineStr">
        <x:is>
          <x:t> BELLA EBANO BONITA SAS, Cr 31 A Bis No. 4 A 24, BOGOTÁ, D.C., CO</x:t>
        </x:is>
      </x:c>
      <x:c r="I673" s="3" t="inlineStr">
        <x:is>
          <x:t>3, 14, 18, 25, 35</x:t>
        </x:is>
      </x:c>
      <x:c r="J673" s="3" t="inlineStr">
        <x:is>
          <x:t>11</x:t>
        </x:is>
      </x:c>
      <x:c r="K673" s="3" t="inlineStr">
        <x:is>
          <x:t>3. Cosméticos, desmaquilladores, jabones, lacas para el cabello, lápices de cejas, lápices de labios [pintalabios],lociones capilares, lociones para después del afeitado, lociones para uso cosmético, perfumes, pestañas postizas, piedra pómez, piedras para suavizar, polvos de maquillaje, bronceadores, preparaciones para alisar el cabello, preparaciones para ondular el cabello, productos cosméticos para el cuidado de la piel, tintes cosméticos, tintes para la barba, aceites para uso cosmético, acondicionadores para el cabello, brillos de labios, champús, colorantes para el cabello.
14. Artículos de joyería, bisutería, piedras preciosas. Adornos, aderezos, alfileres, amuletos, anillos, broches, remaches de metales preciosos, cadenas, collares, dijes, hilos e hilados de oro, hilos e hilos de plata, medallones, perlas, pulseras, sortijas, hilados e hilos de metales preciosos [artículos de joyería].
18. Bolsas de ruedas para la compra, maletines para documentos, bolsas de playa, bolsos de playa, bolsitos de mano, bolsos de mano; billeteras, carteras de bolsillo, bolsos de viaje, maletas, maletas de mano, bolsas de deporte, monederos, fundas de tarjeta de crédito, monederos (bolsos), monederos de metales preciosos, monederos que no sean de metales preciosos, monederos pequeños, neceseres de belleza, neceseres de cosméticos.
25. Ropa interior y exterior; deportiva y de gimnasia; formal e informal para mujeres, hombres, niños y niñas; todo tipo de prendas de vestir; zapatos, calzado de playa, tacones, sandalias y calzado en general; gorras, gorros y todo tipo de sombrerería, vestidos de baño, gorros de baño, mallas de baño, pareos, medias, calcetín, bodis, pañuelos, fajas, pijamas y disfraces, guantes [prendas de vestir], guantes de esquí.
35. Compra, venta, importación, exportación y comercialización de Cosméticos, desmaquilladores, jabones, lacas para el cabello, lápices de cejas, lápices de labios [pinta labios], lociones capilares, lociones para después del afeitado, lociones para uso cosmético, perfumes, pestañas postizas, piedra pómez, piedras para suavizar, polvos de maquillaje, bronceadores, preparaciones para alisar el cabello, preparaciones para ondular el cabello, productos cosméticos para el cuidado de la piel, tintes cosméticos, tintes para la barba, aceites para uso cosmético, acondicionadores para el cabello, brillos de labios, champús, colorantes para el cabello, artículos de joyería, bisutería, piedras preciosas, adornos, aderezos, alfileres, amuletos, anillos, broches, remaches de metales preciosos, cadenas, collares, dijes, hilos e hilados de oro, hilos e hilos de plata, medallones, perlas, pulseras, sortijas, hilados e hilos de metales preciosos [artículos de joyería], bolsas de ruedas para la compra, maletines para documentos, bolsas de playa, bolsos de playa, bolsitos de mano, bolsos de mano, billeteras, carteras de bolsillo, bolsos de viaje, maletas, maletas de mano, bolsas de deporte, monederos, fundas de tarjeta de crédito, monederos,(bolsos), monederos de metales preciosos, monederos que no sean de metales preciosos, monederos pequeños, neceseres de belleza, neceseres de cosméticos, ropa interior y exterior, deportiva y de gimnasia, formal e informal para mujeres, hombres, niños y niñas, zapatos, calzado de playa, tacones, sandalias, gorras, gorros y todo tipo de sombrerería, vestidos de baño, gorros de baño, mallas de baño, pareos, medias, calcetín, bodis, pañuelos, fajas, pijamas y disfraces, guantes [prendas de vestir], guantes de esquí.
</x:t>
        </x:is>
      </x:c>
      <x:c r="L673" s="3" t="inlineStr">
        <x:is>
          <x:t>No</x:t>
        </x:is>
      </x:c>
      <x:c r="M673" s="3" t="inlineStr">
        <x:is>
          <x:t>GUSTAVO ADOLFO ORTEGA HERNANDEZ, Carrera 25 #1 A SUR 155 OFC. 1355, Edificio Platinum Superior, MEDELLIN, ANTIOQUIA, CO</x:t>
        </x:is>
      </x:c>
      <x:c r="N673" s="3" t="inlineStr">
        <x:is>
          <x:t/>
        </x:is>
      </x:c>
      <x:c r="O673" s="3" t="inlineStr">
        <x:is>
          <x:t>27 abr. 2023</x:t>
        </x:is>
      </x:c>
      <x:c r="P673" s="3" t="inlineStr">
        <x:is>
          <x:t/>
        </x:is>
      </x:c>
      <x:c r="Q673" s="3" t="inlineStr">
        <x:is>
          <x:t/>
        </x:is>
      </x:c>
    </x:row>
    <x:row r="674">
      <x:c r="A674" s="10" t="inlineStr">
        <x:f xml:space="preserve">HYPERLINK("http://sipi.sic.gov.co/sipi/View.ashx?4497754","SD2022/0128521")</x:f>
      </x:c>
      <x:c r="B674" s="3" t="inlineStr">
        <x:is>
          <x:t>nuva</x:t>
        </x:is>
      </x:c>
      <x:c r="C674" s="9" t="inlineStr">
        <x:is>
          <x:t/>
        </x:is>
      </x:c>
      <x:c r="D674" s="3" t="inlineStr">
        <x:is>
          <x:t>12 dic. 2022</x:t>
        </x:is>
      </x:c>
      <x:c r="E674" s="3" t="inlineStr">
        <x:is>
          <x:t/>
        </x:is>
      </x:c>
      <x:c r="F674" s="3" t="inlineStr">
        <x:is>
          <x:t>Negada</x:t>
        </x:is>
      </x:c>
      <x:c r="G674" s="3" t="inlineStr">
        <x:is>
          <x:t>Nuva01</x:t>
        </x:is>
      </x:c>
      <x:c r="H674" s="3" t="inlineStr">
        <x:is>
          <x:t>Valentina  Guzmán Valencia, Carrera 81#45-20, CALI, VALLE DEL CAUCA, CO</x:t>
        </x:is>
      </x:c>
      <x:c r="I674" s="3" t="inlineStr">
        <x:is>
          <x:t>3</x:t>
        </x:is>
      </x:c>
      <x:c r="J674" s="3" t="inlineStr">
        <x:is>
          <x:t>11</x:t>
        </x:is>
      </x:c>
      <x:c r="K674" s="3" t="inlineStr">
        <x:is>
          <x:t>3. Productos cosméticos para el cabello y el cuero cabelludo.
</x:t>
        </x:is>
      </x:c>
      <x:c r="L674" s="3" t="inlineStr">
        <x:is>
          <x:t>No</x:t>
        </x:is>
      </x:c>
      <x:c r="M674" s="3" t="inlineStr">
        <x:is>
          <x:t/>
        </x:is>
      </x:c>
      <x:c r="N674" s="3" t="inlineStr">
        <x:is>
          <x:t/>
        </x:is>
      </x:c>
      <x:c r="O674" s="3" t="inlineStr">
        <x:is>
          <x:t>16 feb. 2023</x:t>
        </x:is>
      </x:c>
      <x:c r="P674" s="3" t="inlineStr">
        <x:is>
          <x:t/>
        </x:is>
      </x:c>
      <x:c r="Q674" s="3" t="inlineStr">
        <x:is>
          <x:t/>
        </x:is>
      </x:c>
    </x:row>
    <x:row r="675">
      <x:c r="A675" s="10" t="inlineStr">
        <x:f xml:space="preserve">HYPERLINK("http://sipi.sic.gov.co/sipi/View.ashx?4498473","SD2022/0128945")</x:f>
      </x:c>
      <x:c r="B675" s="3" t="inlineStr">
        <x:is>
          <x:t>reeva.</x:t>
        </x:is>
      </x:c>
      <x:c r="C675" s="9" t="inlineStr">
        <x:is>
          <x:t/>
        </x:is>
      </x:c>
      <x:c r="D675" s="3" t="inlineStr">
        <x:is>
          <x:t>13 dic. 2022</x:t>
        </x:is>
      </x:c>
      <x:c r="E675" s="3" t="inlineStr">
        <x:is>
          <x:t/>
        </x:is>
      </x:c>
      <x:c r="F675" s="3" t="inlineStr">
        <x:is>
          <x:t>Negada</x:t>
        </x:is>
      </x:c>
      <x:c r="G675" s="3" t="inlineStr">
        <x:is>
          <x:t>Proceso de Registro de Marca reeva.</x:t>
        </x:is>
      </x:c>
      <x:c r="H675" s="3" t="inlineStr">
        <x:is>
          <x:t>JUANITA ALVAREZ RESTREPO, CARRERA 20 # 20 SUR 44, MEDELLIN, ANTIOQUIA, CO</x:t>
        </x:is>
      </x:c>
      <x:c r="I675" s="3" t="inlineStr">
        <x:is>
          <x:t>3</x:t>
        </x:is>
      </x:c>
      <x:c r="J675" s="3" t="inlineStr">
        <x:is>
          <x:t>11</x:t>
        </x:is>
      </x:c>
      <x:c r="K675" s="3" t="inlineStr">
        <x:is>
          <x:t>3. Cosméticos; aceites bronceadores; autobronceadores; bronceadores para la piel; cremas bronceadoras; cremas y lociones bronceadoras; geles bronceadores; cremas hidratantes; cremas hidratantes para después del sol; cremas hidratantes para la piel [cosméticos]; cremas, aceites, lociones y preparaciones limpiadoras e hidratantes; cremas, lociones y geles hidratantes; hidratante para la piel; hidratantes; hidratantes faciales; leches hidratantes; lociones hidratantes; lápices labiales hidratantes; mascarillas hidratantes para la piel; bases de maquillaje; kits de cosméticos que comprenden principalmente máscara de pestañas, lápices de labios, lápices de cejas, maquillaje, fundación de maquillaje y brillos de labios; kits de maquillaje; maquillaje [cosméticos]; maquillaje para el rostro; maquillaje para la cara; maquillajes de base; maquillajes de ojos; maquillajes faciales; polvos de maquillaje; productos de maquillaje; adhesivos para fijar cejas postizas; cosméticos para las cejas; geles para el peinado de las cejas; geles para el teñido de las cejas; kits de cosméticos que contienen principalmente máscara de pestañas, lápices de labios, lápices de cejas, maquillaje, fundación de maquillaje y brillos de labios; lápices de cejas; neceseres de cosmética que contienen principalmente máscara de pestañas, lápices de labios, lápices de cejas, maquillaje, fundación de maquillaje y brillos de labios; polvo de cejas; tintes de cejas; preparaciones cosméticas; aceites para el cabello; acondicionadores de cabello; acondicionadores para el cabello; acondicionadores para uso en el cabello; adhesivos para pestañas, cabello y uñas postizos; ceras para el cabello; champús para el cabello; champús para el cabello y el cuerpo; colorantes para el cabello; cosméticos para el cabello; crema para peinar el cabello; cremas de protección para el cabello; enjuagues para el cabello; espuma moldeadora para el cabello; fijadores para el cabello; hidratantes para el cabello; lociones para el cabello; lociones, cremas y preparaciones para el cuidado de la cara, cuerpo, cuero cabelludo, uñas y cabello; mascarillas para el cabello; preparaciones cosméticas para el cabello y el cuero cabelludo; preparaciones para alisar el cabello; preparaciones para desrizar el cabello; preparaciones para el teñido de cabellos; adhesivos para la fijación de cejas postizas; barras de labios; brillos de labios; cosméticos para los labios; exfoliantes para labios; lápices de labios; lápices de labios [pintalabios]; perfiladores de labios; pintalabios; pintalabios hidratantes; preparaciones para el cuidado de los labios.
</x:t>
        </x:is>
      </x:c>
      <x:c r="L675" s="3" t="inlineStr">
        <x:is>
          <x:t>No</x:t>
        </x:is>
      </x:c>
      <x:c r="M675" s="3" t="inlineStr">
        <x:is>
          <x:t>RODRIGO  VANEGAS GAVIRIA, CALLE 52 # 47-28 OF.329, MEDELLIN, ANTIOQUIA 050001, CO</x:t>
        </x:is>
      </x:c>
      <x:c r="N675" s="3" t="inlineStr">
        <x:is>
          <x:t/>
        </x:is>
      </x:c>
      <x:c r="O675" s="3" t="inlineStr">
        <x:is>
          <x:t>27 feb. 2023</x:t>
        </x:is>
      </x:c>
      <x:c r="P675" s="3" t="inlineStr">
        <x:is>
          <x:t/>
        </x:is>
      </x:c>
      <x:c r="Q675" s="3" t="inlineStr">
        <x:is>
          <x:t/>
        </x:is>
      </x:c>
    </x:row>
    <x:row r="676">
      <x:c r="A676" s="10" t="inlineStr">
        <x:f xml:space="preserve">HYPERLINK("http://sipi.sic.gov.co/sipi/View.ashx?4498960","SD2022/0128807")</x:f>
      </x:c>
      <x:c r="B676" s="3" t="inlineStr">
        <x:is>
          <x:t>Bioteck</x:t>
        </x:is>
      </x:c>
      <x:c r="C676" s="9" t="inlineStr">
        <x:is>
          <x:t/>
        </x:is>
      </x:c>
      <x:c r="D676" s="3" t="inlineStr">
        <x:is>
          <x:t>12 dic. 2022</x:t>
        </x:is>
      </x:c>
      <x:c r="E676" s="3" t="inlineStr">
        <x:is>
          <x:t/>
        </x:is>
      </x:c>
      <x:c r="F676" s="3" t="inlineStr">
        <x:is>
          <x:t>Negada</x:t>
        </x:is>
      </x:c>
      <x:c r="G676" s="3" t="inlineStr">
        <x:is>
          <x:t>Logo Bioteck</x:t>
        </x:is>
      </x:c>
      <x:c r="H676" s="3" t="inlineStr">
        <x:is>
          <x:t>Juan Carlos Vera Puentes, Cra 68 # 1-63 Torre 7 Aptm 1002, BOGOTÁ, D.C., CO</x:t>
        </x:is>
      </x:c>
      <x:c r="I676" s="3" t="inlineStr">
        <x:is>
          <x:t>3</x:t>
        </x:is>
      </x:c>
      <x:c r="J676" s="3" t="inlineStr">
        <x:is>
          <x:t>11</x:t>
        </x:is>
      </x:c>
      <x:c r="K676" s="3" t="inlineStr">
        <x:is>
          <x:t>3. Agentes de limpieza para uso doméstico; agentes y preparaciones de limpieza; cremas de limpieza; cremas de limpieza [cosméticos]; detergentes para la limpieza de la ropa para uso doméstico; detergentes para la limpieza que no sean para procesos de fabricación; geles de limpieza para los dientes; geles para la limpieza de los dientes; preparaciones de limpieza dental; preparaciones de limpieza no medicadas; preparaciones de limpieza no saponáceas; preparaciones de limpieza para cristales; preparaciones de limpieza para el baño; preparaciones de limpieza para el cuerpo; preparaciones de limpieza para el hogar; preparaciones de limpieza para las manos; preparaciones de limpieza para uso doméstico; preparaciones de limpieza para vidrios; preparaciones exfoliantes y de limpieza para la piel; preparaciones para el cuidado y la limpieza del cabello; preparaciones para la limpieza de los platos; preparaciones para la limpieza de superficies duras; preparaciones para la limpieza del baño; preparaciones para la limpieza del cabello; productos de limpieza en sprays para ventanas; productos de limpieza para cristales; productos de limpieza para el hogar; productos de limpieza para uso doméstico; productos de limpieza para vidrios; sustancias de limpieza para uso doméstico; acondicionadores de cabello; acondicionadores de cabello a base de cáñamo; acondicionadores en barritas sólidas para el cabello; acondicionadores para el cabello; acondicionadores para uso en el cabello; champúes para el cabello; champúes para el cabello a base de cáñamo; champús para el cabello; champús para el cabello humano; champús para el cabello y el cuerpo; champús y acondicionadores para el cabello; champús no medicinales para animales de compañía.
</x:t>
        </x:is>
      </x:c>
      <x:c r="L676" s="3" t="inlineStr">
        <x:is>
          <x:t>Sí</x:t>
        </x:is>
      </x:c>
      <x:c r="M676" s="3" t="inlineStr">
        <x:is>
          <x:t/>
        </x:is>
      </x:c>
      <x:c r="N676" s="3" t="inlineStr">
        <x:is>
          <x:t/>
        </x:is>
      </x:c>
      <x:c r="O676" s="3" t="inlineStr">
        <x:is>
          <x:t>27 feb. 2023</x:t>
        </x:is>
      </x:c>
      <x:c r="P676" s="3" t="inlineStr">
        <x:is>
          <x:t/>
        </x:is>
      </x:c>
      <x:c r="Q676" s="3" t="inlineStr">
        <x:is>
          <x:t/>
        </x:is>
      </x:c>
    </x:row>
    <x:row r="677">
      <x:c r="A677" s="10" t="inlineStr">
        <x:f xml:space="preserve">HYPERLINK("http://sipi.sic.gov.co/sipi/View.ashx?4499750","SD2022/0128952")</x:f>
      </x:c>
      <x:c r="B677" s="3" t="inlineStr">
        <x:is>
          <x:t>FELISHA</x:t>
        </x:is>
      </x:c>
      <x:c r="C677" s="9" t="inlineStr">
        <x:is>
          <x:t/>
        </x:is>
      </x:c>
      <x:c r="D677" s="3" t="inlineStr">
        <x:is>
          <x:t>13 dic. 2022</x:t>
        </x:is>
      </x:c>
      <x:c r="E677" s="3" t="inlineStr">
        <x:is>
          <x:t/>
        </x:is>
      </x:c>
      <x:c r="F677" s="3" t="inlineStr">
        <x:is>
          <x:t>Negada</x:t>
        </x:is>
      </x:c>
      <x:c r="G677" s="3" t="inlineStr">
        <x:is>
          <x:t/>
        </x:is>
      </x:c>
      <x:c r="H677" s="3" t="inlineStr">
        <x:is>
          <x:t>Natalia Tobon Garcia, VDA SANTA CATALINA, ABEJORRAL, ANTIOQUIA, CO</x:t>
        </x:is>
      </x:c>
      <x:c r="I677" s="3" t="inlineStr">
        <x:is>
          <x:t>3</x:t>
        </x:is>
      </x:c>
      <x:c r="J677" s="3" t="inlineStr">
        <x:is>
          <x:t>11</x:t>
        </x:is>
      </x:c>
      <x:c r="K67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77" s="3" t="inlineStr">
        <x:is>
          <x:t>No</x:t>
        </x:is>
      </x:c>
      <x:c r="M677" s="3" t="inlineStr">
        <x:is>
          <x:t/>
        </x:is>
      </x:c>
      <x:c r="N677" s="3" t="inlineStr">
        <x:is>
          <x:t/>
        </x:is>
      </x:c>
      <x:c r="O677" s="3" t="inlineStr">
        <x:is>
          <x:t>17 mar. 2023</x:t>
        </x:is>
      </x:c>
      <x:c r="P677" s="3" t="inlineStr">
        <x:is>
          <x:t/>
        </x:is>
      </x:c>
      <x:c r="Q677" s="3" t="inlineStr">
        <x:is>
          <x:t/>
        </x:is>
      </x:c>
    </x:row>
    <x:row r="678">
      <x:c r="A678" s="10" t="inlineStr">
        <x:f xml:space="preserve">HYPERLINK("http://sipi.sic.gov.co/sipi/View.ashx?4500129","SD2022/0129071")</x:f>
      </x:c>
      <x:c r="B678" s="3" t="inlineStr">
        <x:is>
          <x:t>Kirē </x:t>
        </x:is>
      </x:c>
      <x:c r="C678" s="3" t="inlineStr">
        <x:is>
          <x:t/>
        </x:is>
      </x:c>
      <x:c r="D678" s="3" t="inlineStr">
        <x:is>
          <x:t>13 dic. 2022</x:t>
        </x:is>
      </x:c>
      <x:c r="E678" s="3" t="inlineStr">
        <x:is>
          <x:t/>
        </x:is>
      </x:c>
      <x:c r="F678" s="3" t="inlineStr">
        <x:is>
          <x:t>Negada</x:t>
        </x:is>
      </x:c>
      <x:c r="G678" s="3" t="inlineStr">
        <x:is>
          <x:t>KIRÉ</x:t>
        </x:is>
      </x:c>
      <x:c r="H678" s="3" t="inlineStr">
        <x:is>
          <x:t>JUAN JOSÉ DÍEZ RICO, CLL 65 56 84 A320, MEDELLIN, ANTIOQUIA, CO</x:t>
        </x:is>
      </x:c>
      <x:c r="I678" s="3" t="inlineStr">
        <x:is>
          <x:t>3</x:t>
        </x:is>
      </x:c>
      <x:c r="J678" s="3" t="inlineStr">
        <x:is>
          <x:t>11</x:t>
        </x:is>
      </x:c>
      <x:c r="K67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78" s="3" t="inlineStr">
        <x:is>
          <x:t>Sí</x:t>
        </x:is>
      </x:c>
      <x:c r="M678" s="3" t="inlineStr">
        <x:is>
          <x:t/>
        </x:is>
      </x:c>
      <x:c r="N678" s="3" t="inlineStr">
        <x:is>
          <x:t/>
        </x:is>
      </x:c>
      <x:c r="O678" s="3" t="inlineStr">
        <x:is>
          <x:t>07 mar. 2023</x:t>
        </x:is>
      </x:c>
      <x:c r="P678" s="3" t="inlineStr">
        <x:is>
          <x:t/>
        </x:is>
      </x:c>
      <x:c r="Q678" s="3" t="inlineStr">
        <x:is>
          <x:t/>
        </x:is>
      </x:c>
    </x:row>
    <x:row r="679">
      <x:c r="A679" s="10" t="inlineStr">
        <x:f xml:space="preserve">HYPERLINK("http://sipi.sic.gov.co/sipi/View.ashx?4500373","SD2022/0129130")</x:f>
      </x:c>
      <x:c r="B679" s="3" t="inlineStr">
        <x:is>
          <x:t>AKKA HEALTH</x:t>
        </x:is>
      </x:c>
      <x:c r="C679" s="9" t="inlineStr">
        <x:is>
          <x:t/>
        </x:is>
      </x:c>
      <x:c r="D679" s="3" t="inlineStr">
        <x:is>
          <x:t>13 dic. 2022</x:t>
        </x:is>
      </x:c>
      <x:c r="E679" s="3" t="inlineStr">
        <x:is>
          <x:t/>
        </x:is>
      </x:c>
      <x:c r="F679" s="3" t="inlineStr">
        <x:is>
          <x:t>Negada</x:t>
        </x:is>
      </x:c>
      <x:c r="G679" s="3" t="inlineStr">
        <x:is>
          <x:t>AKKA HEALTH</x:t>
        </x:is>
      </x:c>
      <x:c r="H679" s="3" t="inlineStr">
        <x:is>
          <x:t> AKKA HEALTH SAS, CR 3 OESTE 5 59 AP 202 ED, CALI, VALLE DEL CAUCA 760004 , CO</x:t>
        </x:is>
      </x:c>
      <x:c r="I679" s="3" t="inlineStr">
        <x:is>
          <x:t>3, 5</x:t>
        </x:is>
      </x:c>
      <x:c r="J679" s="3" t="inlineStr">
        <x:is>
          <x:t>11</x:t>
        </x:is>
      </x:c>
      <x:c r="K679" s="3" t="inlineStr">
        <x:is>
          <x:t>3. Aceites cosméticos; aceites cosméticos para la piel; aceites de baño para uso cosmético; cold creams para uso cosmético; cosméticos; cosméticos a base de cannabis.
5. Medicamentos; medicamentos a base de hierbas; medicamentos líquidos; medicamentos para uso humano.
</x:t>
        </x:is>
      </x:c>
      <x:c r="L679" s="3" t="inlineStr">
        <x:is>
          <x:t>No</x:t>
        </x:is>
      </x:c>
      <x:c r="M679" s="3" t="inlineStr">
        <x:is>
          <x:t>JUAN PABLO  SANTAELLA MOGOLLON, CARRERA 11# 128-48  APT 207 , BOGOTÁ, D.C., CO</x:t>
        </x:is>
      </x:c>
      <x:c r="N679" s="3" t="inlineStr">
        <x:is>
          <x:t/>
        </x:is>
      </x:c>
      <x:c r="O679" s="3" t="inlineStr">
        <x:is>
          <x:t>26 ene. 2023</x:t>
        </x:is>
      </x:c>
      <x:c r="P679" s="3" t="inlineStr">
        <x:is>
          <x:t/>
        </x:is>
      </x:c>
      <x:c r="Q679" s="3" t="inlineStr">
        <x:is>
          <x:t/>
        </x:is>
      </x:c>
    </x:row>
    <x:row r="680">
      <x:c r="A680" s="10" t="inlineStr">
        <x:f xml:space="preserve">HYPERLINK("http://sipi.sic.gov.co/sipi/View.ashx?4501093","SD2022/0129329")</x:f>
      </x:c>
      <x:c r="B680" s="3" t="inlineStr">
        <x:is>
          <x:t>Zul cosmetics</x:t>
        </x:is>
      </x:c>
      <x:c r="C680" s="9" t="inlineStr">
        <x:is>
          <x:t/>
        </x:is>
      </x:c>
      <x:c r="D680" s="3" t="inlineStr">
        <x:is>
          <x:t>13 dic. 2022</x:t>
        </x:is>
      </x:c>
      <x:c r="E680" s="3" t="inlineStr">
        <x:is>
          <x:t/>
        </x:is>
      </x:c>
      <x:c r="F680" s="3" t="inlineStr">
        <x:is>
          <x:t>Negada</x:t>
        </x:is>
      </x:c>
      <x:c r="G680" s="3" t="inlineStr">
        <x:is>
          <x:t/>
        </x:is>
      </x:c>
      <x:c r="H680" s="3" t="inlineStr">
        <x:is>
          <x:t>Luz Mayerly  Mejia Medina, calle 3 # 15 63 edificio soleri , BUCARAMANGA, SANTANDER, CO</x:t>
        </x:is>
      </x:c>
      <x:c r="I680" s="3" t="inlineStr">
        <x:is>
          <x:t>3</x:t>
        </x:is>
      </x:c>
      <x:c r="J680" s="3" t="inlineStr">
        <x:is>
          <x:t>11</x:t>
        </x:is>
      </x:c>
      <x:c r="K680" s="3" t="inlineStr">
        <x:is>
          <x:t>3. Productos cosméticos de fabricación artesanal, jabones orgánicos, cremas corporales, tintes cosméticos, mascarillas faciales.
</x:t>
        </x:is>
      </x:c>
      <x:c r="L680" s="3" t="inlineStr">
        <x:is>
          <x:t>No</x:t>
        </x:is>
      </x:c>
      <x:c r="M680" s="3" t="inlineStr">
        <x:is>
          <x:t/>
        </x:is>
      </x:c>
      <x:c r="N680" s="3" t="inlineStr">
        <x:is>
          <x:t/>
        </x:is>
      </x:c>
      <x:c r="O680" s="3" t="inlineStr">
        <x:is>
          <x:t>16 feb. 2023</x:t>
        </x:is>
      </x:c>
      <x:c r="P680" s="3" t="inlineStr">
        <x:is>
          <x:t/>
        </x:is>
      </x:c>
      <x:c r="Q680" s="3" t="inlineStr">
        <x:is>
          <x:t/>
        </x:is>
      </x:c>
    </x:row>
    <x:row r="681">
      <x:c r="A681" s="10" t="inlineStr">
        <x:f xml:space="preserve">HYPERLINK("http://sipi.sic.gov.co/sipi/View.ashx?4501189","SD2022/0129342")</x:f>
      </x:c>
      <x:c r="B681" s="3" t="inlineStr">
        <x:is>
          <x:t>BASIC BEAUTY</x:t>
        </x:is>
      </x:c>
      <x:c r="C681" s="3" t="inlineStr">
        <x:is>
          <x:t/>
        </x:is>
      </x:c>
      <x:c r="D681" s="3" t="inlineStr">
        <x:is>
          <x:t>13 dic. 2022</x:t>
        </x:is>
      </x:c>
      <x:c r="E681" s="3" t="inlineStr">
        <x:is>
          <x:t/>
        </x:is>
      </x:c>
      <x:c r="F681" s="3" t="inlineStr">
        <x:is>
          <x:t>Negada</x:t>
        </x:is>
      </x:c>
      <x:c r="G681" s="3" t="inlineStr">
        <x:is>
          <x:t>BASIC BEAUTY</x:t>
        </x:is>
      </x:c>
      <x:c r="H681" s="3" t="inlineStr">
        <x:is>
          <x:t>JUAN JOSÉ DÍEZ RICO, CLL 65 56 84 A320, MEDELLIN, ANTIOQUIA, CO</x:t>
        </x:is>
      </x:c>
      <x:c r="I681" s="3" t="inlineStr">
        <x:is>
          <x:t>3</x:t>
        </x:is>
      </x:c>
      <x:c r="J681" s="3" t="inlineStr">
        <x:is>
          <x:t>11</x:t>
        </x:is>
      </x:c>
      <x:c r="K681"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81" s="3" t="inlineStr">
        <x:is>
          <x:t>No</x:t>
        </x:is>
      </x:c>
      <x:c r="M681" s="3" t="inlineStr">
        <x:is>
          <x:t/>
        </x:is>
      </x:c>
      <x:c r="N681" s="3" t="inlineStr">
        <x:is>
          <x:t/>
        </x:is>
      </x:c>
      <x:c r="O681" s="3" t="inlineStr">
        <x:is>
          <x:t>16 feb. 2023</x:t>
        </x:is>
      </x:c>
      <x:c r="P681" s="3" t="inlineStr">
        <x:is>
          <x:t/>
        </x:is>
      </x:c>
      <x:c r="Q681" s="3" t="inlineStr">
        <x:is>
          <x:t/>
        </x:is>
      </x:c>
    </x:row>
    <x:row r="682">
      <x:c r="A682" s="10" t="inlineStr">
        <x:f xml:space="preserve">HYPERLINK("http://sipi.sic.gov.co/sipi/View.ashx?4501468","SD2022/0129435")</x:f>
      </x:c>
      <x:c r="B682" s="3" t="inlineStr">
        <x:is>
          <x:t>Malu Morada</x:t>
        </x:is>
      </x:c>
      <x:c r="C682" s="9" t="inlineStr">
        <x:is>
          <x:t/>
        </x:is>
      </x:c>
      <x:c r="D682" s="3" t="inlineStr">
        <x:is>
          <x:t>13 dic. 2022</x:t>
        </x:is>
      </x:c>
      <x:c r="E682" s="3" t="inlineStr">
        <x:is>
          <x:t/>
        </x:is>
      </x:c>
      <x:c r="F682" s="3" t="inlineStr">
        <x:is>
          <x:t>Negada</x:t>
        </x:is>
      </x:c>
      <x:c r="G682" s="3" t="inlineStr">
        <x:is>
          <x:t>1000613111</x:t>
        </x:is>
      </x:c>
      <x:c r="H682" s="3" t="inlineStr">
        <x:is>
          <x:t>Laura Jimena Sua Siempira, Calle 8 bis # 79-55, BOGOTA, CUNDINAMARCA, CO</x:t>
        </x:is>
      </x:c>
      <x:c r="I682" s="3" t="inlineStr">
        <x:is>
          <x:t>3</x:t>
        </x:is>
      </x:c>
      <x:c r="J682" s="3" t="inlineStr">
        <x:is>
          <x:t>11</x:t>
        </x:is>
      </x:c>
      <x:c r="K682" s="3" t="inlineStr">
        <x:is>
          <x:t>3. Cosméticos; cosméticos de belleza; cosméticos en forma de cremas; cosméticos naturales; cosméticos para cuidados corporales y estéticos; cosméticos para el cabello; cosméticos para las cejas; cosméticos para pestañas; cosméticos para tratamiento de belleza cosméticos para el cuidado de belleza; cosméticos y preparaciones de cuidado personal; cremas corporales [cosméticos]; cremas de limpieza [cosméticos]; cremas de limpieza [productos cosméticos]; cremas hidratantes para la piel [cosméticos]; cremas limpiadoras [cosméticos]; cremas para la cara [cosméticos]; cremas reparadoras para la piel [cosméticos]; cremas tonificantes [cosméticos]; cremas y geles cosméticos para cara, manos y cuerpo; geles para la cara [cosméticos]; hidratantes [cosméticos]; jabones cosméticos; limpiadores de la piel [cosméticos]; maquillaje [cosméticos]; mascarillas faciales [productos cosméticos]; mascarillas para la piel [cosméticos]; preparados cosméticos para el tratamiento de la piel; productos cosméticos en forma de cremas; productos cosméticos en forma de polvos; productos cosméticos para la piel.
</x:t>
        </x:is>
      </x:c>
      <x:c r="L682" s="3" t="inlineStr">
        <x:is>
          <x:t>No</x:t>
        </x:is>
      </x:c>
      <x:c r="M682" s="3" t="inlineStr">
        <x:is>
          <x:t/>
        </x:is>
      </x:c>
      <x:c r="N682" s="3" t="inlineStr">
        <x:is>
          <x:t/>
        </x:is>
      </x:c>
      <x:c r="O682" s="3" t="inlineStr">
        <x:is>
          <x:t>07 mar. 2023</x:t>
        </x:is>
      </x:c>
      <x:c r="P682" s="3" t="inlineStr">
        <x:is>
          <x:t/>
        </x:is>
      </x:c>
      <x:c r="Q682" s="3" t="inlineStr">
        <x:is>
          <x:t/>
        </x:is>
      </x:c>
    </x:row>
    <x:row r="683">
      <x:c r="A683" s="10" t="inlineStr">
        <x:f xml:space="preserve">HYPERLINK("http://sipi.sic.gov.co/sipi/View.ashx?4501685","SD2022/0130957")</x:f>
      </x:c>
      <x:c r="B683" s="3" t="inlineStr">
        <x:is>
          <x:t>ZUAS</x:t>
        </x:is>
      </x:c>
      <x:c r="C683" s="9" t="inlineStr">
        <x:is>
          <x:t/>
        </x:is>
      </x:c>
      <x:c r="D683" s="3" t="inlineStr">
        <x:is>
          <x:t>16 dic. 2022</x:t>
        </x:is>
      </x:c>
      <x:c r="E683" s="3" t="inlineStr">
        <x:is>
          <x:t/>
        </x:is>
      </x:c>
      <x:c r="F683" s="3" t="inlineStr">
        <x:is>
          <x:t>Negada</x:t>
        </x:is>
      </x:c>
      <x:c r="G683" s="3" t="inlineStr">
        <x:is>
          <x:t>123</x:t>
        </x:is>
      </x:c>
      <x:c r="H683" s="3" t="inlineStr">
        <x:is>
          <x:t>Juan Esteban Henao Arcila, calle 1 # 50 g 28, MEDELLIN, ANTIOQUIA 050001, CO</x:t>
        </x:is>
      </x:c>
      <x:c r="I683" s="3" t="inlineStr">
        <x:is>
          <x:t>3</x:t>
        </x:is>
      </x:c>
      <x:c r="J683" s="3" t="inlineStr">
        <x:is>
          <x:t>11</x:t>
        </x:is>
      </x:c>
      <x:c r="K68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683" s="3" t="inlineStr">
        <x:is>
          <x:t>Sí</x:t>
        </x:is>
      </x:c>
      <x:c r="M683" s="3" t="inlineStr">
        <x:is>
          <x:t/>
        </x:is>
      </x:c>
      <x:c r="N683" s="3" t="inlineStr">
        <x:is>
          <x:t/>
        </x:is>
      </x:c>
      <x:c r="O683" s="3" t="inlineStr">
        <x:is>
          <x:t>30 jun. 2023</x:t>
        </x:is>
      </x:c>
      <x:c r="P683" s="3" t="inlineStr">
        <x:is>
          <x:t/>
        </x:is>
      </x:c>
      <x:c r="Q683" s="3" t="inlineStr">
        <x:is>
          <x:t/>
        </x:is>
      </x:c>
    </x:row>
    <x:row r="684">
      <x:c r="A684" s="10" t="inlineStr">
        <x:f xml:space="preserve">HYPERLINK("http://sipi.sic.gov.co/sipi/View.ashx?4501785","SD2022/0129505")</x:f>
      </x:c>
      <x:c r="B684" s="3" t="inlineStr">
        <x:is>
          <x:t>MOONSUE</x:t>
        </x:is>
      </x:c>
      <x:c r="C684" s="9" t="inlineStr">
        <x:is>
          <x:t/>
        </x:is>
      </x:c>
      <x:c r="D684" s="3" t="inlineStr">
        <x:is>
          <x:t>14 dic. 2022</x:t>
        </x:is>
      </x:c>
      <x:c r="E684" s="3" t="inlineStr">
        <x:is>
          <x:t/>
        </x:is>
      </x:c>
      <x:c r="F684" s="3" t="inlineStr">
        <x:is>
          <x:t>Negada</x:t>
        </x:is>
      </x:c>
      <x:c r="G684" s="3" t="inlineStr">
        <x:is>
          <x:t>Moonsue</x:t>
        </x:is>
      </x:c>
      <x:c r="H684" s="3" t="inlineStr">
        <x:is>
          <x:t>Yeshica Natalia Bartolo Moreno, Cra 25 # 85-80 Av. las américas, PEREIRA, RISARALDA, CO</x:t>
        </x:is>
      </x:c>
      <x:c r="I684" s="3" t="inlineStr">
        <x:is>
          <x:t>3</x:t>
        </x:is>
      </x:c>
      <x:c r="J684" s="3" t="inlineStr">
        <x:is>
          <x:t>11</x:t>
        </x:is>
      </x:c>
      <x:c r="K684" s="3" t="inlineStr">
        <x:is>
          <x:t>3. Cosméticos naturales; productos cosméticos y de belleza.
</x:t>
        </x:is>
      </x:c>
      <x:c r="L684" s="3" t="inlineStr">
        <x:is>
          <x:t>No</x:t>
        </x:is>
      </x:c>
      <x:c r="M684" s="3" t="inlineStr">
        <x:is>
          <x:t>Mauricio Castro Orjuela, Avenida Carrera 19 # 95 - 20, BOGOTA, CUNDINAMARCA 00000, CO</x:t>
        </x:is>
      </x:c>
      <x:c r="N684" s="3" t="inlineStr">
        <x:is>
          <x:t/>
        </x:is>
      </x:c>
      <x:c r="O684" s="3" t="inlineStr">
        <x:is>
          <x:t>27 feb. 2023</x:t>
        </x:is>
      </x:c>
      <x:c r="P684" s="3" t="inlineStr">
        <x:is>
          <x:t/>
        </x:is>
      </x:c>
      <x:c r="Q684" s="3" t="inlineStr">
        <x:is>
          <x:t/>
        </x:is>
      </x:c>
    </x:row>
    <x:row r="685">
      <x:c r="A685" s="10" t="inlineStr">
        <x:f xml:space="preserve">HYPERLINK("http://sipi.sic.gov.co/sipi/View.ashx?4501848","SD2022/0129524")</x:f>
      </x:c>
      <x:c r="B685" s="3" t="inlineStr">
        <x:is>
          <x:t>Beelu Natural</x:t>
        </x:is>
      </x:c>
      <x:c r="C685" s="9" t="inlineStr">
        <x:is>
          <x:t/>
        </x:is>
      </x:c>
      <x:c r="D685" s="3" t="inlineStr">
        <x:is>
          <x:t>14 dic. 2022</x:t>
        </x:is>
      </x:c>
      <x:c r="E685" s="3" t="inlineStr">
        <x:is>
          <x:t/>
        </x:is>
      </x:c>
      <x:c r="F685" s="3" t="inlineStr">
        <x:is>
          <x:t>Negada</x:t>
        </x:is>
      </x:c>
      <x:c r="G685" s="3" t="inlineStr">
        <x:is>
          <x:t>Beelu Natural</x:t>
        </x:is>
      </x:c>
      <x:c r="H685" s="3" t="inlineStr">
        <x:is>
          <x:t>Luisa Maria Acevedo Lopez, Carrera 8 # 15a - 08, Los Almendros, LA VIRGINIA, RISARALDA, CO</x:t>
        </x:is>
      </x:c>
      <x:c r="I685" s="3" t="inlineStr">
        <x:is>
          <x:t>3</x:t>
        </x:is>
      </x:c>
      <x:c r="J685" s="3" t="inlineStr">
        <x:is>
          <x:t>11</x:t>
        </x:is>
      </x:c>
      <x:c r="K685" s="3" t="inlineStr">
        <x:is>
          <x:t>3. Cosméticos; cosméticos de belleza; cosméticos naturales; cosméticos orgánicos; cremas y geles cosméticos para cara, manos y cuerpo.
</x:t>
        </x:is>
      </x:c>
      <x:c r="L685" s="3" t="inlineStr">
        <x:is>
          <x:t>No</x:t>
        </x:is>
      </x:c>
      <x:c r="M685" s="3" t="inlineStr">
        <x:is>
          <x:t/>
        </x:is>
      </x:c>
      <x:c r="N685" s="3" t="inlineStr">
        <x:is>
          <x:t/>
        </x:is>
      </x:c>
      <x:c r="O685" s="3" t="inlineStr">
        <x:is>
          <x:t>27 feb. 2023</x:t>
        </x:is>
      </x:c>
      <x:c r="P685" s="3" t="inlineStr">
        <x:is>
          <x:t/>
        </x:is>
      </x:c>
      <x:c r="Q685" s="3" t="inlineStr">
        <x:is>
          <x:t/>
        </x:is>
      </x:c>
    </x:row>
    <x:row r="686">
      <x:c r="A686" s="10" t="inlineStr">
        <x:f xml:space="preserve">HYPERLINK("http://sipi.sic.gov.co/sipi/View.ashx?4502098","SD2022/0130292")</x:f>
      </x:c>
      <x:c r="B686" s="3" t="inlineStr">
        <x:is>
          <x:t>NATUARIS</x:t>
        </x:is>
      </x:c>
      <x:c r="C686" s="9" t="inlineStr">
        <x:is>
          <x:t/>
        </x:is>
      </x:c>
      <x:c r="D686" s="3" t="inlineStr">
        <x:is>
          <x:t>15 dic. 2022</x:t>
        </x:is>
      </x:c>
      <x:c r="E686" s="3" t="inlineStr">
        <x:is>
          <x:t/>
        </x:is>
      </x:c>
      <x:c r="F686" s="3" t="inlineStr">
        <x:is>
          <x:t>Negada</x:t>
        </x:is>
      </x:c>
      <x:c r="G686" s="3" t="inlineStr">
        <x:is>
          <x:t>NATUARIS</x:t>
        </x:is>
      </x:c>
      <x:c r="H686" s="3" t="inlineStr">
        <x:is>
          <x:t>Tatiana Betancur Quintero, Calle 129 sur N° 54-68 Apartamento 818, CALDAS, ANTIOQUIA, CO</x:t>
        </x:is>
      </x:c>
      <x:c r="I686" s="3" t="inlineStr">
        <x:is>
          <x:t>3</x:t>
        </x:is>
      </x:c>
      <x:c r="J686" s="3" t="inlineStr">
        <x:is>
          <x:t>11</x:t>
        </x:is>
      </x:c>
      <x:c r="K686" s="3" t="inlineStr">
        <x:is>
          <x:t>3. Champú; Cosméticos; mousse, geles, cremas, lociones y bálsamos para el cuidado, estilizado, limpieza, pintado y lacado del cabello; preparaciones hidratantes para el cabello; preparaciones para la limpieza, el cuidado y el embellecimiento de la piel, el cuero cabelludo y el cabello; productos cosméticos para el moldeado del cabello; cosméticos no medicinales; lociones capilares no medicinales; productos de higiene personal que sean productos de tocador; bálsamos que no sean para uso médico; jabones no medicinales; productos de perfumería.
</x:t>
        </x:is>
      </x:c>
      <x:c r="L686" s="3" t="inlineStr">
        <x:is>
          <x:t>No</x:t>
        </x:is>
      </x:c>
      <x:c r="M686" s="3" t="inlineStr">
        <x:is>
          <x:t/>
        </x:is>
      </x:c>
      <x:c r="N686" s="3" t="inlineStr">
        <x:is>
          <x:t/>
        </x:is>
      </x:c>
      <x:c r="O686" s="3" t="inlineStr">
        <x:is>
          <x:t>17 abr. 2023</x:t>
        </x:is>
      </x:c>
      <x:c r="P686" s="3" t="inlineStr">
        <x:is>
          <x:t/>
        </x:is>
      </x:c>
      <x:c r="Q686" s="3" t="inlineStr">
        <x:is>
          <x:t/>
        </x:is>
      </x:c>
    </x:row>
    <x:row r="687">
      <x:c r="A687" s="10" t="inlineStr">
        <x:f xml:space="preserve">HYPERLINK("http://sipi.sic.gov.co/sipi/View.ashx?4502104","SD2022/0129660")</x:f>
      </x:c>
      <x:c r="B687" s="3" t="inlineStr">
        <x:is>
          <x:t>salvit</x:t>
        </x:is>
      </x:c>
      <x:c r="C687" s="3" t="inlineStr">
        <x:is>
          <x:t/>
        </x:is>
      </x:c>
      <x:c r="D687" s="3" t="inlineStr">
        <x:is>
          <x:t>14 dic. 2022</x:t>
        </x:is>
      </x:c>
      <x:c r="E687" s="3" t="inlineStr">
        <x:is>
          <x:t/>
        </x:is>
      </x:c>
      <x:c r="F687" s="3" t="inlineStr">
        <x:is>
          <x:t>Negada</x:t>
        </x:is>
      </x:c>
      <x:c r="G687" s="3" t="inlineStr">
        <x:is>
          <x:t/>
        </x:is>
      </x:c>
      <x:c r="H687" s="3" t="inlineStr">
        <x:is>
          <x:t>Wilson Andrés Muriel Aguilar, vereda Balsa, SAN JOSE DE PARE, BOYACA, CO</x:t>
        </x:is>
      </x:c>
      <x:c r="I687" s="3" t="inlineStr">
        <x:is>
          <x:t>3, 10, 31, 35, 42, 44</x:t>
        </x:is>
      </x:c>
      <x:c r="J687" s="3" t="inlineStr">
        <x:is>
          <x:t>11</x:t>
        </x:is>
      </x:c>
      <x:c r="K687" s="3" t="inlineStr">
        <x:is>
          <x:t>3. Aceites y sales de baño; aceites y sales de baño que no sean para uso médico; sales blanqueadoras; sales de baño; sales de baño cosméticas; sales de baño no medicinales; sales de baño perfumadas; sales de baño que no sean para uso médico; sales para el baño.
10. Aparatos de rayos x para uso veterinario; aparatos de ultrasonido para uso veterinario; aparatos e instrumentos médicos y veterinarios; aparatos e instrumentos quirúrgicos para uso médico, dental o veterinario; aparatos e instrumentos quirúrgicos para uso veterinario; aparatos e instrumentos quirúrgicos, médicos, dentales y veterinarios; aparatos e instrumentos quirúrgicos, médicos, odontológicos y veterinarios; aparatos e instrumentos veterinarios; aparatos veterinarios; aplicadores de bolos para uso veterinario; bolsas de extracción de sangre para uso veterinario; collares cónicos para uso veterinario; mascarillas de protección bucal para uso veterinario; mascarillas de protección nasal para uso veterinario; pistolas de bolos para uso veterinario.
31. Animales acuáticos comestibles vivos; animales de caza vivos; animales de cría; animales de laboratorio vivos; animales de zoológico; animales para la cría; animales vivos; mezclas de alimentos para animales; preparaciones de alimentos para animales; ganado; ganado de cría; ganado para la cría; ovejas [ganado].
35. Servicios de tiendas mayoristas de aparatos veterinarios; servicios de tiendas mayoristas de artículos veterinarios; servicios de tiendas mayoristas de instrumentos veterinarios; servicios de tiendas mayoristas de preparaciones y artículos veterinarios; servicios de tiendas mayoristas en línea de aparatos veterinarios; servicios de tiendas mayoristas en línea de artículos veterinarios; servicios de tiendas mayoristas en línea de instrumentos veterinarios; servicios de tiendas mayoristas en línea de preparaciones y artículos veterinarios; servicios de tiendas minoristas de aparatos veterinarios; servicios de tiendas minoristas de artículos veterinarios; servicios de tiendas minoristas de instrumentos veterinarios; servicios de tiendas minoristas de preparaciones y artículos veterinarios; servicios de tiendas minoristas en línea de aparatos veterinarios; servicios de tiendas minoristas en línea de artículos veterinarios; servicios de tiendas minoristas en línea de instrumentos veterinarios; servicios de tiendas minoristas en línea de preparaciones y artículos veterinarios; servicios de venta al por menor o al por mayor de medicamentos veterinarios; servicios de venta mayorista de aparatos veterinarios; servicios de venta mayorista de artículos veterinarios; servicios de venta mayorista de instrumentos veterinarios; servicios de venta mayorista de preparaciones y artículos veterinarios; servicios de venta mayorista en relación con aparatos veterinarios; servicios de venta mayorista en relación con artículos veterinarios; servicios de venta mayorista en relación con instrumentos veterinarios; servicios de venta mayorista en relación con preparaciones y artículos veterinarios; servicios de venta minorista de aparatos veterinarios; servicios de venta minorista de artículos veterinarios; servicios de venta minorista de instrumentos veterinarios; servicios de venta minorista de preparaciones y artículos veterinarios; servicios de venta minorista en relación con aparatos veterinarios; servicios de venta minorista en relación con artículos veterinarios; servicios de venta minorista en relación con instrumentos veterinarios; servicios de venta minorista en relación con preparaciones y artículos veterinarios; servicios de venta minorista o al mayorista de medicamentos veterinarios; servicios de registro de razas de animales; servicios de tiendas mayoristas de artículos de cama para animales; servicios de tiendas mayoristas de instrumentos de belleza para animales; servicios de tiendas mayoristas de instrumentos higiénicos para animales; servicios de tiendas mayoristas de lechos higiénicos para animales; servicios de tiendas mayoristas de piensos para animales; servicios de tiendas mayoristas de preparaciones para el aseo de animales; servicios de tiendas mayoristas en línea de artículos de cama para animales; servicios de tiendas mayoristas en línea de instrumentos de belleza para animales; servicios de tiendas mayoristas en línea de instrumentos higiénicos para animales; servicios de tiendas mayoristas en línea de lechos higiénicos para animales; servicios de tiendas mayoristas en línea de piensos para animales; servicios de tiendas mayoristas en línea de preparaciones para el aseo de animales; servicios de tiendas minoristas de artículos de cama para animales; servicios de tiendas minoristas de instrumentos de belleza para animales; servicios de tiendas minoristas de instrumentos higiénicos para animales; servicios de tiendas minoristas de lechos higiénicos para animales; servicios de tiendas minoristas de piensos para animales; servicios de tiendas minoristas de preparaciones para el aseo de animales; servicios de tiendas minoristas en línea de artículos de cama para animales; servicios de tiendas minoristas en línea de instrumentos de belleza para animales; servicios de tiendas minoristas en línea de instrumentos higiénicos para animales; servicios de tiendas minoristas en línea de lechos higiénicos para animales; servicios de tiendas minoristas en línea de piensos para animales; servicios de tiendas minoristas en línea de preparaciones para el aseo de animales; servicios de venta mayorista de artículos de cama para animales; servicios de venta mayorista de instrumentos de belleza para animales; servicios de venta mayorista de instrumentos higiénicos para animales; servicios de venta mayorista de lechos higiénicos para animales; servicios de venta mayorista de piensos para animales; servicios de venta mayorista de preparaciones para el aseo de animales; servicios de venta mayorista en relación con artículos de cama para animales; servicios de venta mayorista en relación con instrumentos de belleza para animales; servicios de venta mayorista en relación con instrumentos higiénicos para animales; servicios de venta mayorista en relación con lechos higiénicos para animales; servicios de venta mayorista en relación con piensos para animales; servicios de venta mayorista en relación con preparaciones para el aseo de animales; servicios de venta minorista de artículos de cama para animales; servicios de venta minorista de instrumentos de belleza para animales; servicios de venta minorista de instrumentos higiénicos para animales; servicios de venta minorista de lechos higiénicos para animales; servicios de venta minorista de piensos para animales; servicios de venta minorista de preparaciones para el aseo de animales; servicios de venta minorista en relación con artículos de cama para animales; servicios de venta minorista en relación con instrumentos de belleza para animales; servicios de venta minorista en relación con instrumentos higiénicos para animales; servicios de venta minorista en relación con lechos higiénicos para animales; servicios de venta minorista en relación con piensos para animales; servicios de venta minorista en relación con preparaciones para el aseo de animales; suministro de actividades de leads de ventas para terceros.
42. Servicios de ensayos de la cría de ganado.
44. Cría de aves de corral; servicios de cría de aves de corral; terapia asistida con equinos.
</x:t>
        </x:is>
      </x:c>
      <x:c r="L687" s="3" t="inlineStr">
        <x:is>
          <x:t>No</x:t>
        </x:is>
      </x:c>
      <x:c r="M687" s="3" t="inlineStr">
        <x:is>
          <x:t/>
        </x:is>
      </x:c>
      <x:c r="N687" s="3" t="inlineStr">
        <x:is>
          <x:t/>
        </x:is>
      </x:c>
      <x:c r="O687" s="3" t="inlineStr">
        <x:is>
          <x:t>07 mar. 2023</x:t>
        </x:is>
      </x:c>
      <x:c r="P687" s="3" t="inlineStr">
        <x:is>
          <x:t/>
        </x:is>
      </x:c>
      <x:c r="Q687" s="3" t="inlineStr">
        <x:is>
          <x:t/>
        </x:is>
      </x:c>
    </x:row>
    <x:row r="688">
      <x:c r="A688" s="10" t="inlineStr">
        <x:f xml:space="preserve">HYPERLINK("http://sipi.sic.gov.co/sipi/View.ashx?4502181","SD2022/0129652")</x:f>
      </x:c>
      <x:c r="B688" s="3" t="inlineStr">
        <x:is>
          <x:t>DUQUESA COSMETICS BY CAMILA DUQUE</x:t>
        </x:is>
      </x:c>
      <x:c r="C688" s="9" t="inlineStr">
        <x:is>
          <x:t/>
        </x:is>
      </x:c>
      <x:c r="D688" s="3" t="inlineStr">
        <x:is>
          <x:t>14 dic. 2022</x:t>
        </x:is>
      </x:c>
      <x:c r="E688" s="3" t="inlineStr">
        <x:is>
          <x:t/>
        </x:is>
      </x:c>
      <x:c r="F688" s="3" t="inlineStr">
        <x:is>
          <x:t>Negada</x:t>
        </x:is>
      </x:c>
      <x:c r="G688" s="3" t="inlineStr">
        <x:is>
          <x:t/>
        </x:is>
      </x:c>
      <x:c r="H688" s="3" t="inlineStr">
        <x:is>
          <x:t>CAMILA LOPERA DUQUE, cra 76 a 53 N. 35, MEDELLIN, ANTIOQUIA, CO</x:t>
        </x:is>
      </x:c>
      <x:c r="I688" s="3" t="inlineStr">
        <x:is>
          <x:t>3</x:t>
        </x:is>
      </x:c>
      <x:c r="J688" s="3" t="inlineStr">
        <x:is>
          <x:t>11</x:t>
        </x:is>
      </x:c>
      <x:c r="K688" s="3" t="inlineStr">
        <x:is>
          <x:t>3. Mascarillas de belleza para el cabello; cremas bálsamos de belleza; cosméticos de belleza; cremas de belleza para el rostro y el cuerpo; cosméticos para tratamiento de belleza cosméticos para el cuidado de belleza; preparaciones de cuidado corporal y de belleza para uso cosmético; productos cosméticos y de belleza; abrillantadores capilares; bálsamos capilares; bálsamos capilares no medicinales; champús capilares; cremas capilares; cremas de protección capilar, no medicinales; geles capilares; lociones capilares cosméticas; lociones capilares no medicinales; productos de perfumería, aceites esenciales, cosméticos no medicinales, lociones capilares no medicinales;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aceites esenciales; cosméticos no medicinales; productos cosméticos no medicinales; lociones capilares reparadoras no medicinales; lociones capilares*; preparaciones cosméticas para el cuidado y el tratamiento de la piel; tratamientos de alisado para el cabello; tratamientos de cera para el cabello; tratamientos de queratina para el cabello.
</x:t>
        </x:is>
      </x:c>
      <x:c r="L688" s="3" t="inlineStr">
        <x:is>
          <x:t>No</x:t>
        </x:is>
      </x:c>
      <x:c r="M688" s="3" t="inlineStr">
        <x:is>
          <x:t/>
        </x:is>
      </x:c>
      <x:c r="N688" s="3" t="inlineStr">
        <x:is>
          <x:t/>
        </x:is>
      </x:c>
      <x:c r="O688" s="3" t="inlineStr">
        <x:is>
          <x:t>10 jul. 2023</x:t>
        </x:is>
      </x:c>
      <x:c r="P688" s="3" t="inlineStr">
        <x:is>
          <x:t/>
        </x:is>
      </x:c>
      <x:c r="Q688" s="3" t="inlineStr">
        <x:is>
          <x:t/>
        </x:is>
      </x:c>
    </x:row>
    <x:row r="689">
      <x:c r="A689" s="10" t="inlineStr">
        <x:f xml:space="preserve">HYPERLINK("http://sipi.sic.gov.co/sipi/View.ashx?4503211","SD2022/0129929")</x:f>
      </x:c>
      <x:c r="B689" s="3" t="inlineStr">
        <x:is>
          <x:t>Amelia By Schmidt Cosmetics </x:t>
        </x:is>
      </x:c>
      <x:c r="C689" s="9" t="inlineStr">
        <x:is>
          <x:t/>
        </x:is>
      </x:c>
      <x:c r="D689" s="3" t="inlineStr">
        <x:is>
          <x:t>14 dic. 2022</x:t>
        </x:is>
      </x:c>
      <x:c r="E689" s="3" t="inlineStr">
        <x:is>
          <x:t/>
        </x:is>
      </x:c>
      <x:c r="F689" s="3" t="inlineStr">
        <x:is>
          <x:t>Negada</x:t>
        </x:is>
      </x:c>
      <x:c r="G689" s="3" t="inlineStr">
        <x:is>
          <x:t/>
        </x:is>
      </x:c>
      <x:c r="H689" s="3" t="inlineStr">
        <x:is>
          <x:t>Daniela Parada Leon, Calle 12a #71b-40 torres de san marco 12 t4 apto102, BOGOTÁ, D.C., CO; Danilo Schmidt Huertas, carrera 69 #12b-21 t1 apto 705 , BOGOTÁ, D.C., CO</x:t>
        </x:is>
      </x:c>
      <x:c r="I689" s="3" t="inlineStr">
        <x:is>
          <x:t>3</x:t>
        </x:is>
      </x:c>
      <x:c r="J689" s="3" t="inlineStr">
        <x:is>
          <x:t>11</x:t>
        </x:is>
      </x:c>
      <x:c r="K689" s="3" t="inlineStr">
        <x:is>
          <x:t>3. Jabones no medicinales; productos de perfumería, aceites esenciales, cosméticos no medicinales, lociones capilares no medicinales; •	aceite de almendras; aceite de jazmín; aceite de lavanda; aceite de rosas; aceites esenciales de cidra; aceites esenciales de limón; aceites para uso cosmético; agua micellar; algodón impregnado de preparaciones desmaquillantes; adhesivos [pegamentos] para uso cosmético; adhesivos para pestañas postizas; astringentes para uso cosmético; bálsamos que no sean para uso médico; basma [tinte para uso cosmético]; brillos de labios; cosméticos; productos cosméticos para el cuidado de la piel; crema para aclarar la piel; cremas cosméticas; desmaquilladores; lápices de cejas; leche de almendras para uso cosmético; leches limpiadoras de tocador; maquillaje; productos de maquillaje; máscara de pestañas; mascarillas de belleza; mascarillas de hoja para uso cosmético; neceseres de cosmética; pestañas postizas; polvos de maquillaje; pomadas para uso cosmético; preparaciones con filtro solar; Preparaciones cosméticas para el baño; preparaciones cosméticas para el bronceado de la piel; preparaciones de aloe vera para uso cosmético; preparaciones de colágeno para uso cosmético; preparaciones de tocador*; purpurina corporal / brillantina corporal / escarcha corporal; purpurina para las uñas / brillantina para las uñas / escarcha para las uñas; té de baño para uso cosmético; toallitas impregnadas de lociones cosméticas; toallitas impregnadas de preparaciones desmaquillantes; tónicos para uso cosmético.
</x:t>
        </x:is>
      </x:c>
      <x:c r="L689" s="3" t="inlineStr">
        <x:is>
          <x:t>No</x:t>
        </x:is>
      </x:c>
      <x:c r="M689" s="3" t="inlineStr">
        <x:is>
          <x:t/>
        </x:is>
      </x:c>
      <x:c r="N689" s="3" t="inlineStr">
        <x:is>
          <x:t/>
        </x:is>
      </x:c>
      <x:c r="O689" s="3" t="inlineStr">
        <x:is>
          <x:t>16 ene. 2023</x:t>
        </x:is>
      </x:c>
      <x:c r="P689" s="3" t="inlineStr">
        <x:is>
          <x:t/>
        </x:is>
      </x:c>
      <x:c r="Q689" s="3" t="inlineStr">
        <x:is>
          <x:t/>
        </x:is>
      </x:c>
    </x:row>
    <x:row r="690">
      <x:c r="A690" s="10" t="inlineStr">
        <x:f xml:space="preserve">HYPERLINK("http://sipi.sic.gov.co/sipi/View.ashx?4503228","SD2022/0129913")</x:f>
      </x:c>
      <x:c r="B690" s="3" t="inlineStr">
        <x:is>
          <x:t>COKO SKINCARE</x:t>
        </x:is>
      </x:c>
      <x:c r="C690" s="9" t="inlineStr">
        <x:is>
          <x:t/>
        </x:is>
      </x:c>
      <x:c r="D690" s="3" t="inlineStr">
        <x:is>
          <x:t>14 dic. 2022</x:t>
        </x:is>
      </x:c>
      <x:c r="E690" s="3" t="inlineStr">
        <x:is>
          <x:t/>
        </x:is>
      </x:c>
      <x:c r="F690" s="3" t="inlineStr">
        <x:is>
          <x:t>Negada</x:t>
        </x:is>
      </x:c>
      <x:c r="G690" s="3" t="inlineStr">
        <x:is>
          <x:t>COKO SKINCARE</x:t>
        </x:is>
      </x:c>
      <x:c r="H690" s="3" t="inlineStr">
        <x:is>
          <x:t>MATEO IBARRA PADILLA, Cll 6 # 6-10, ZIPAQUIRA, CUNDINAMARCA 250258, CO</x:t>
        </x:is>
      </x:c>
      <x:c r="I690" s="3" t="inlineStr">
        <x:is>
          <x:t>3</x:t>
        </x:is>
      </x:c>
      <x:c r="J690" s="3" t="inlineStr">
        <x:is>
          <x:t>11</x:t>
        </x:is>
      </x:c>
      <x:c r="K690" s="3" t="inlineStr">
        <x:is>
          <x:t>3. Polvos faciales; aceites faciales; brillos faciales y corporales; cremas faciales; emulsiones faciales; exfoliantes faciales; hidratantes faciales; leches de limpieza facial; mascarillas faciales de belleza; mascarillas faciales limpiadoras; mascarillas faciales para eliminar el exceso de sebo de la cara; mascarillas faciales para limpiar los poros; mascarillas faciales para tonificar la piel; barras de labios.
</x:t>
        </x:is>
      </x:c>
      <x:c r="L690" s="3" t="inlineStr">
        <x:is>
          <x:t>Sí</x:t>
        </x:is>
      </x:c>
      <x:c r="M690" s="3" t="inlineStr">
        <x:is>
          <x:t/>
        </x:is>
      </x:c>
      <x:c r="N690" s="3" t="inlineStr">
        <x:is>
          <x:t/>
        </x:is>
      </x:c>
      <x:c r="O690" s="3" t="inlineStr">
        <x:is>
          <x:t>16 ene. 2023</x:t>
        </x:is>
      </x:c>
      <x:c r="P690" s="3" t="inlineStr">
        <x:is>
          <x:t/>
        </x:is>
      </x:c>
      <x:c r="Q690" s="3" t="inlineStr">
        <x:is>
          <x:t/>
        </x:is>
      </x:c>
    </x:row>
    <x:row r="691">
      <x:c r="A691" s="10" t="inlineStr">
        <x:f xml:space="preserve">HYPERLINK("http://sipi.sic.gov.co/sipi/View.ashx?4504001","SD2022/0131434")</x:f>
      </x:c>
      <x:c r="B691" s="3" t="inlineStr">
        <x:is>
          <x:t>KAMME INTENSIVE REPAIR</x:t>
        </x:is>
      </x:c>
      <x:c r="C691" s="9" t="inlineStr">
        <x:is>
          <x:t/>
        </x:is>
      </x:c>
      <x:c r="D691" s="3" t="inlineStr">
        <x:is>
          <x:t>16 dic. 2022</x:t>
        </x:is>
      </x:c>
      <x:c r="E691" s="3" t="inlineStr">
        <x:is>
          <x:t/>
        </x:is>
      </x:c>
      <x:c r="F691" s="3" t="inlineStr">
        <x:is>
          <x:t>Negada</x:t>
        </x:is>
      </x:c>
      <x:c r="G691" s="3" t="inlineStr">
        <x:is>
          <x:t>KAMME INTENSIVE REPAIR</x:t>
        </x:is>
      </x:c>
      <x:c r="H691" s="3" t="inlineStr">
        <x:is>
          <x:t>KATHERINE  OSPINA DUQUE, CALLE 33 AA 80 C 47, MEDELLIN, ANTIOQUIA, CO</x:t>
        </x:is>
      </x:c>
      <x:c r="I691" s="3" t="inlineStr">
        <x:is>
          <x:t>3, 5</x:t>
        </x:is>
      </x:c>
      <x:c r="J691" s="3" t="inlineStr">
        <x:is>
          <x:t>11</x:t>
        </x:is>
      </x:c>
      <x:c r="K691" s="3" t="inlineStr">
        <x:is>
          <x:t>3. Champús capilares; champús para el cabello; champús y acondicionadores para el cabello; champús anticaspa; champús no medicinales contra la caspa; cremas capilares; lociones capilares cosméticas; mascarillas para el cuidado capilar; preparaciones capilares no medicinales; preparaciones cosméticas no medicinales para tratamientos capilares; bálsamos capilares; tónicos capilares para uso no médico; Aceites capilares; preparaciones de colágeno para uso capilar; preparaciones de biotina para uso capilar.
5. Preparaciones vitamínicas para la alimentación humana; complementos vitamínicos, complementos; dietéticos de vitaminas, preparaciones que contienen vitamina b, complementos nutricionales y alimenticios; champús medicinales.
</x:t>
        </x:is>
      </x:c>
      <x:c r="L691" s="3" t="inlineStr">
        <x:is>
          <x:t>No</x:t>
        </x:is>
      </x:c>
      <x:c r="M691" s="3" t="inlineStr">
        <x:is>
          <x:t/>
        </x:is>
      </x:c>
      <x:c r="N691" s="3" t="inlineStr">
        <x:is>
          <x:t/>
        </x:is>
      </x:c>
      <x:c r="O691" s="3" t="inlineStr">
        <x:is>
          <x:t>29 may. 2023</x:t>
        </x:is>
      </x:c>
      <x:c r="P691" s="3" t="inlineStr">
        <x:is>
          <x:t/>
        </x:is>
      </x:c>
      <x:c r="Q691" s="3" t="inlineStr">
        <x:is>
          <x:t/>
        </x:is>
      </x:c>
    </x:row>
    <x:row r="692">
      <x:c r="A692" s="10" t="inlineStr">
        <x:f xml:space="preserve">HYPERLINK("http://sipi.sic.gov.co/sipi/View.ashx?4504418","SD2022/0130297")</x:f>
      </x:c>
      <x:c r="B692" s="3" t="inlineStr">
        <x:is>
          <x:t>Bichota</x:t>
        </x:is>
      </x:c>
      <x:c r="C692" s="3" t="inlineStr">
        <x:is>
          <x:t/>
        </x:is>
      </x:c>
      <x:c r="D692" s="3" t="inlineStr">
        <x:is>
          <x:t>15 dic. 2022</x:t>
        </x:is>
      </x:c>
      <x:c r="E692" s="3" t="inlineStr">
        <x:is>
          <x:t/>
        </x:is>
      </x:c>
      <x:c r="F692" s="3" t="inlineStr">
        <x:is>
          <x:t>Negada</x:t>
        </x:is>
      </x:c>
      <x:c r="G692" s="3" t="inlineStr">
        <x:is>
          <x:t>Bichota</x:t>
        </x:is>
      </x:c>
      <x:c r="H692" s="3" t="inlineStr">
        <x:is>
          <x:t>Ivan Jose Rivero Fernandez, Calle 61 # 75 173, apto 1404, MEDELLIN,, ANTIOQUIA, CO</x:t>
        </x:is>
      </x:c>
      <x:c r="I692" s="3" t="inlineStr">
        <x:is>
          <x:t>3, 5, 21</x:t>
        </x:is>
      </x:c>
      <x:c r="J692" s="3" t="inlineStr">
        <x:is>
          <x:t>11</x:t>
        </x:is>
      </x:c>
      <x:c r="K692"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21. Utensilios y recipientes para uso doméstico y culinario; peines y esponjas; cepillos; materiales para fabricar cepillos; material de limpieza; vidrio en bruto o semielaborado, excepto el vidrio de construcción; artículos de cristalería, porcelana y loza.
</x:t>
        </x:is>
      </x:c>
      <x:c r="L692" s="3" t="inlineStr">
        <x:is>
          <x:t>Sí</x:t>
        </x:is>
      </x:c>
      <x:c r="M692" s="3" t="inlineStr">
        <x:is>
          <x:t>Esteban  Berrio Lopez, calle 8 # 84f - 155 casa 1090 , MEDELLIN, ANTIOQUIA, CO</x:t>
        </x:is>
      </x:c>
      <x:c r="N692" s="3" t="inlineStr">
        <x:is>
          <x:t/>
        </x:is>
      </x:c>
      <x:c r="O692" s="3" t="inlineStr">
        <x:is>
          <x:t>27 feb. 2023</x:t>
        </x:is>
      </x:c>
      <x:c r="P692" s="3" t="inlineStr">
        <x:is>
          <x:t/>
        </x:is>
      </x:c>
      <x:c r="Q692" s="3" t="inlineStr">
        <x:is>
          <x:t/>
        </x:is>
      </x:c>
    </x:row>
    <x:row r="693">
      <x:c r="A693" s="10" t="inlineStr">
        <x:f xml:space="preserve">HYPERLINK("http://sipi.sic.gov.co/sipi/View.ashx?4505452","SD2022/0130450")</x:f>
      </x:c>
      <x:c r="B693" s="3" t="inlineStr">
        <x:is>
          <x:t>Serendipia cosmética natural</x:t>
        </x:is>
      </x:c>
      <x:c r="C693" s="9" t="inlineStr">
        <x:is>
          <x:t/>
        </x:is>
      </x:c>
      <x:c r="D693" s="3" t="inlineStr">
        <x:is>
          <x:t>15 dic. 2022</x:t>
        </x:is>
      </x:c>
      <x:c r="E693" s="3" t="inlineStr">
        <x:is>
          <x:t/>
        </x:is>
      </x:c>
      <x:c r="F693" s="3" t="inlineStr">
        <x:is>
          <x:t>Negada</x:t>
        </x:is>
      </x:c>
      <x:c r="G693" s="3" t="inlineStr">
        <x:is>
          <x:t>1018462100</x:t>
        </x:is>
      </x:c>
      <x:c r="H693" s="3" t="inlineStr">
        <x:is>
          <x:t>Sergio Alberto Rojas Huertas, carrerp 31D #2b-02, BOGOTA, CUNDINAMARCA, CO</x:t>
        </x:is>
      </x:c>
      <x:c r="I693" s="3" t="inlineStr">
        <x:is>
          <x:t>3</x:t>
        </x:is>
      </x:c>
      <x:c r="J693" s="3" t="inlineStr">
        <x:is>
          <x:t>11</x:t>
        </x:is>
      </x:c>
      <x:c r="K693" s="3" t="inlineStr">
        <x:is>
          <x:t>3. Champús y acondicionadores para el cabello.
</x:t>
        </x:is>
      </x:c>
      <x:c r="L693" s="3" t="inlineStr">
        <x:is>
          <x:t>No</x:t>
        </x:is>
      </x:c>
      <x:c r="M693" s="3" t="inlineStr">
        <x:is>
          <x:t/>
        </x:is>
      </x:c>
      <x:c r="N693" s="3" t="inlineStr">
        <x:is>
          <x:t/>
        </x:is>
      </x:c>
      <x:c r="O693" s="3" t="inlineStr">
        <x:is>
          <x:t>17 abr. 2023</x:t>
        </x:is>
      </x:c>
      <x:c r="P693" s="3" t="inlineStr">
        <x:is>
          <x:t/>
        </x:is>
      </x:c>
      <x:c r="Q693" s="3" t="inlineStr">
        <x:is>
          <x:t/>
        </x:is>
      </x:c>
    </x:row>
    <x:row r="694">
      <x:c r="A694" s="10" t="inlineStr">
        <x:f xml:space="preserve">HYPERLINK("http://sipi.sic.gov.co/sipi/View.ashx?4506240","SD2022/0130635")</x:f>
      </x:c>
      <x:c r="B694" s="3" t="inlineStr">
        <x:is>
          <x:t>BROOKS</x:t>
        </x:is>
      </x:c>
      <x:c r="C694" s="3" t="inlineStr">
        <x:is>
          <x:t/>
        </x:is>
      </x:c>
      <x:c r="D694" s="3" t="inlineStr">
        <x:is>
          <x:t>15 dic. 2022</x:t>
        </x:is>
      </x:c>
      <x:c r="E694" s="3" t="inlineStr">
        <x:is>
          <x:t/>
        </x:is>
      </x:c>
      <x:c r="F694" s="3" t="inlineStr">
        <x:is>
          <x:t>Negada</x:t>
        </x:is>
      </x:c>
      <x:c r="G694" s="3" t="inlineStr">
        <x:is>
          <x:t>M19971</x:t>
        </x:is>
      </x:c>
      <x:c r="H694" s="3" t="inlineStr">
        <x:is>
          <x:t> Cosmética Davis S.A., Av. Gladys Marin N° 6366, Estación Central, SANTIAGO DE CHILE, SANTIAGO, CL</x:t>
        </x:is>
      </x:c>
      <x:c r="I694" s="3" t="inlineStr">
        <x:is>
          <x:t>3</x:t>
        </x:is>
      </x:c>
      <x:c r="J694" s="3" t="inlineStr">
        <x:is>
          <x:t>11</x:t>
        </x:is>
      </x:c>
      <x:c r="K694" s="3" t="inlineStr">
        <x:is>
          <x:t>3. Aceite de baño no medicinales; Aceite de coco para uso cosmético; Aceite de rosa para uso cosmético; Aceites bronceadores [cosméticos]; Aceites cosméticos; Aceites de baño que no sean medicinales; Aceites de baño para el cuidado del cabello de uso cosmético; Aceites de baño para uso cosmético; Aceites de baño y sales de baño que no sean para uso médico; Aceites de tocador;Aceites faciales; Aceites para el acondicionamiento del cabello que no; sean para uso médico; Aceites para el cabello; Aceites para el cuerpo; Aceites para masaje no medicinal; Aceites para uso cosmético; Aceites y lociones bronceadoras; Acondicionadores para el cabello; Bálsamo para el cabello; Bálsamos que no sean para uso médico; Baños de burbujas no medicinales; Champú de bebé; Champús; Champús en seco; Champús para bebés; Champús para el cabello; Champús y acondicionadores para el cabello; Colorantes y tintes para el cabello; Crema de ducha; Crema de manos; Crema de noche; Crema facial; Cremas acondicionadoras de la piel para uso cosmético; Cremascosméticas; Cremas de belleza; Cremas de masaje cosméticas;Cremas depilatorias; Cremas exfoliantes; Cremas para el cabello;Desodorantes para uso personal; Espuma de baño; Espuma de duchay baño; Exfoliante corporal; Exfoliantes para la cara; Gel de ducha y baño; Gel para el cabello; Geles de afeitar; Geles para el cabello;Geles para el peinado; Geles para uso cosméticos; Hidratantes para después del sol; Hidratantes para el cabello; Hidratantes para la piel;Jabón líquido; Jabones cosméticos; Jabones de afeitar; Jabones de tocador; Jabones desodorantes; Jabones para uso personal; Lacas para el cabello; Lociones colorantes para el cabello que no sean parauso médico; Leche hidratante; Preparaciones bronceadoras; Preparaciones colorantes para el cabello que no sean para uso médico; Preparaciones cosméticas; Preparaciones para retirar uñas de gel; Productos cosméticos para el cuidado de la piel; Productos depilatorios; Sales de baño; Talco de bebé; Talco de tocador; Tintes para el cabello; Tintura de cabello; Productos cosméticos y preparaciones de tocador no medicinales; dentífricos no medicinales; preparaciones para blanquear y preparaciones para lavar la ropa; preparaciones para limpiar, pulir, desengrasar y raspar, con exclusión expresa de productos de perfumería, aceites esenciales, locionespara el cuerpo y fragancias, así como cualquier otro tipo de productos que contengan perfume, aromas, aceites esenciales,lociones y/o fragancias.
</x:t>
        </x:is>
      </x:c>
      <x:c r="L694" s="3" t="inlineStr">
        <x:is>
          <x:t>No</x:t>
        </x:is>
      </x:c>
      <x:c r="M694" s="3" t="inlineStr">
        <x:is>
          <x:t>XIMENA CASTELLANOS ABONDANO, Calle 117 No. 5A - 35 piso 3, BOGOTÁ, D.C., CO</x:t>
        </x:is>
      </x:c>
      <x:c r="N694" s="3" t="inlineStr">
        <x:is>
          <x:t/>
        </x:is>
      </x:c>
      <x:c r="O694" s="3" t="inlineStr">
        <x:is>
          <x:t>16 ene. 2023</x:t>
        </x:is>
      </x:c>
      <x:c r="P694" s="3" t="inlineStr">
        <x:is>
          <x:t/>
        </x:is>
      </x:c>
      <x:c r="Q694" s="3" t="inlineStr">
        <x:is>
          <x:t/>
        </x:is>
      </x:c>
    </x:row>
    <x:row r="695">
      <x:c r="A695" s="10" t="inlineStr">
        <x:f xml:space="preserve">HYPERLINK("http://sipi.sic.gov.co/sipi/View.ashx?4507343","SD2022/0144286")</x:f>
      </x:c>
      <x:c r="B695" s="3" t="inlineStr">
        <x:is>
          <x:t>SANTE XXI</x:t>
        </x:is>
      </x:c>
      <x:c r="C695" s="3" t="inlineStr">
        <x:is>
          <x:t/>
        </x:is>
      </x:c>
      <x:c r="D695" s="3" t="inlineStr">
        <x:is>
          <x:t>31 dic. 2022</x:t>
        </x:is>
      </x:c>
      <x:c r="E695" s="3" t="inlineStr">
        <x:is>
          <x:t/>
        </x:is>
      </x:c>
      <x:c r="F695" s="3" t="inlineStr">
        <x:is>
          <x:t>Negada</x:t>
        </x:is>
      </x:c>
      <x:c r="G695" s="3" t="inlineStr">
        <x:is>
          <x:t>Solicitud SANTE XXI 3</x:t>
        </x:is>
      </x:c>
      <x:c r="H695" s="3" t="inlineStr">
        <x:is>
          <x:t> MEMPHIS PRODUCTS S.A., CALLE 17 No. 34-64, BOGOTÁ, D.C., CO</x:t>
        </x:is>
      </x:c>
      <x:c r="I695" s="3" t="inlineStr">
        <x:is>
          <x:t>3</x:t>
        </x:is>
      </x:c>
      <x:c r="J695" s="3" t="inlineStr">
        <x:is>
          <x:t>11</x:t>
        </x:is>
      </x:c>
      <x:c r="K695" s="3" t="inlineStr">
        <x:is>
          <x:t>3. PREPARACIONES PARA LIMPIAR, PULIR, DESENGRASAR Y RASPAR; JABONES; PERFUMERÍA, ACEITES ESENCIALES, COSMÉTICOS, LOCIONES CAPILARES; DENTÍFRICOS.
</x:t>
        </x:is>
      </x:c>
      <x:c r="L695" s="3" t="inlineStr">
        <x:is>
          <x:t>Sí</x:t>
        </x:is>
      </x:c>
      <x:c r="M695" s="3" t="inlineStr">
        <x:is>
          <x:t>ZULMA XIMENA CLAVIJO ORJUELA , CALLE 17 No. 34 - 64, BOGOTÁ, D.C., CO</x:t>
        </x:is>
      </x:c>
      <x:c r="N695" s="3" t="inlineStr">
        <x:is>
          <x:t/>
        </x:is>
      </x:c>
      <x:c r="O695" s="3" t="inlineStr">
        <x:is>
          <x:t>19 may. 2023</x:t>
        </x:is>
      </x:c>
      <x:c r="P695" s="3" t="inlineStr">
        <x:is>
          <x:t/>
        </x:is>
      </x:c>
      <x:c r="Q695" s="3" t="inlineStr">
        <x:is>
          <x:t/>
        </x:is>
      </x:c>
    </x:row>
    <x:row r="696">
      <x:c r="A696" s="10" t="inlineStr">
        <x:f xml:space="preserve">HYPERLINK("http://sipi.sic.gov.co/sipi/View.ashx?4508795","SD2022/0131380")</x:f>
      </x:c>
      <x:c r="B696" s="3" t="inlineStr">
        <x:is>
          <x:t>SPAI SONS</x:t>
        </x:is>
      </x:c>
      <x:c r="C696" s="3" t="inlineStr">
        <x:is>
          <x:t/>
        </x:is>
      </x:c>
      <x:c r="D696" s="3" t="inlineStr">
        <x:is>
          <x:t>30 dic. 2022</x:t>
        </x:is>
      </x:c>
      <x:c r="E696" s="3" t="inlineStr">
        <x:is>
          <x:t/>
        </x:is>
      </x:c>
      <x:c r="F696" s="3" t="inlineStr">
        <x:is>
          <x:t>Negada</x:t>
        </x:is>
      </x:c>
      <x:c r="G696" s="3" t="inlineStr">
        <x:is>
          <x:t>Solicitud SPAI SONS 3</x:t>
        </x:is>
      </x:c>
      <x:c r="H696" s="3" t="inlineStr">
        <x:is>
          <x:t> MEMPHIS PRODUCTS S.A., CALLE 17 No. 34-64, BOGOTÁ, D.C., CO</x:t>
        </x:is>
      </x:c>
      <x:c r="I696" s="3" t="inlineStr">
        <x:is>
          <x:t>3</x:t>
        </x:is>
      </x:c>
      <x:c r="J696" s="3" t="inlineStr">
        <x:is>
          <x:t>11</x:t>
        </x:is>
      </x:c>
      <x:c r="K696" s="3" t="inlineStr">
        <x:is>
          <x:t>3. PREPARACIONES PARA LIMPIAR, PULIR, DESENGRASAR Y RASPAR; JABONES; PERFUMERÍA, ACEITES ESENCIALES, COSMÉTICOS, LOCIONES CAPILARES; DENTÍFRICOS.
</x:t>
        </x:is>
      </x:c>
      <x:c r="L696" s="3" t="inlineStr">
        <x:is>
          <x:t>No</x:t>
        </x:is>
      </x:c>
      <x:c r="M696" s="3" t="inlineStr">
        <x:is>
          <x:t>ZULMA XIMENA CLAVIJO ORJUELA , CALLE 17 No. 34 - 64, BOGOTÁ, D.C., CO</x:t>
        </x:is>
      </x:c>
      <x:c r="N696" s="3" t="inlineStr">
        <x:is>
          <x:t/>
        </x:is>
      </x:c>
      <x:c r="O696" s="3" t="inlineStr">
        <x:is>
          <x:t>08 may. 2023</x:t>
        </x:is>
      </x:c>
      <x:c r="P696" s="3" t="inlineStr">
        <x:is>
          <x:t/>
        </x:is>
      </x:c>
      <x:c r="Q696" s="3" t="inlineStr">
        <x:is>
          <x:t/>
        </x:is>
      </x:c>
    </x:row>
    <x:row r="697">
      <x:c r="A697" s="10" t="inlineStr">
        <x:f xml:space="preserve">HYPERLINK("http://sipi.sic.gov.co/sipi/View.ashx?4509155","SD2022/0131448")</x:f>
      </x:c>
      <x:c r="B697" s="3" t="inlineStr">
        <x:is>
          <x:t>PONARA</x:t>
        </x:is>
      </x:c>
      <x:c r="C697" s="9" t="inlineStr">
        <x:is>
          <x:t/>
        </x:is>
      </x:c>
      <x:c r="D697" s="3" t="inlineStr">
        <x:is>
          <x:t>16 dic. 2022</x:t>
        </x:is>
      </x:c>
      <x:c r="E697" s="3" t="inlineStr">
        <x:is>
          <x:t/>
        </x:is>
      </x:c>
      <x:c r="F697" s="3" t="inlineStr">
        <x:is>
          <x:t>Negada</x:t>
        </x:is>
      </x:c>
      <x:c r="G697" s="3" t="inlineStr">
        <x:is>
          <x:t/>
        </x:is>
      </x:c>
      <x:c r="H697" s="3" t="inlineStr">
        <x:is>
          <x:t>Laura Vanessa  Lizcano Rodríguez , Transv 96 # 69 a 70 casa 6, BOGOTA, CUNDINAMARCA, CO</x:t>
        </x:is>
      </x:c>
      <x:c r="I697" s="3" t="inlineStr">
        <x:is>
          <x:t>3</x:t>
        </x:is>
      </x:c>
      <x:c r="J697" s="3" t="inlineStr">
        <x:is>
          <x:t>11</x:t>
        </x:is>
      </x:c>
      <x:c r="K697" s="3" t="inlineStr">
        <x:is>
          <x:t>3. Champús y acondicionadores para el cabello; jabones corporales no medicados; jabones faciales; jabones*; jabón de afeitar; productos depilatorios; preparaciones no medicinales para el cuidado dental; desodorantes para uso personal; productos con filtro solar; preparaciones fito-cosméticas; champús no medicinales para animales de compañía; champús para bebés; champús*.
</x:t>
        </x:is>
      </x:c>
      <x:c r="L697" s="3" t="inlineStr">
        <x:is>
          <x:t>No</x:t>
        </x:is>
      </x:c>
      <x:c r="M697" s="3" t="inlineStr">
        <x:is>
          <x:t/>
        </x:is>
      </x:c>
      <x:c r="N697" s="3" t="inlineStr">
        <x:is>
          <x:t/>
        </x:is>
      </x:c>
      <x:c r="O697" s="3" t="inlineStr">
        <x:is>
          <x:t>27 abr. 2023</x:t>
        </x:is>
      </x:c>
      <x:c r="P697" s="3" t="inlineStr">
        <x:is>
          <x:t/>
        </x:is>
      </x:c>
      <x:c r="Q697" s="3" t="inlineStr">
        <x:is>
          <x:t/>
        </x:is>
      </x:c>
    </x:row>
    <x:row r="698">
      <x:c r="A698" s="10" t="inlineStr">
        <x:f xml:space="preserve">HYPERLINK("http://sipi.sic.gov.co/sipi/View.ashx?4509664","SD2022/0131555")</x:f>
      </x:c>
      <x:c r="B698" s="3" t="inlineStr">
        <x:is>
          <x:t>Akaia</x:t>
        </x:is>
      </x:c>
      <x:c r="C698" s="9" t="inlineStr">
        <x:is>
          <x:t/>
        </x:is>
      </x:c>
      <x:c r="D698" s="3" t="inlineStr">
        <x:is>
          <x:t>17 dic. 2022</x:t>
        </x:is>
      </x:c>
      <x:c r="E698" s="3" t="inlineStr">
        <x:is>
          <x:t/>
        </x:is>
      </x:c>
      <x:c r="F698" s="3" t="inlineStr">
        <x:is>
          <x:t>Negada</x:t>
        </x:is>
      </x:c>
      <x:c r="G698" s="3" t="inlineStr">
        <x:is>
          <x:t>1007334212</x:t>
        </x:is>
      </x:c>
      <x:c r="H698" s="3" t="inlineStr">
        <x:is>
          <x:t>Gabriela Cardozo Almario, calle 17a # 30b 45, PEREIRA, RISARALDA, CO</x:t>
        </x:is>
      </x:c>
      <x:c r="I698" s="3" t="inlineStr">
        <x:is>
          <x:t>3</x:t>
        </x:is>
      </x:c>
      <x:c r="J698" s="3" t="inlineStr">
        <x:is>
          <x:t>11</x:t>
        </x:is>
      </x:c>
      <x:c r="K698" s="3" t="inlineStr">
        <x:is>
          <x:t>3. Abrasivos flexibles; abrasivos industriales; abrasivos*; abrillantadores capilares; abrillantadores de coches; abrillantadores para calzado; abrillantadores para guitarras; abrillantadores para metales; abrillantadores y cremas para el cuero; abrillantadores y cremas para la madera; abrillantadores y cremas para metal; abrillantadores y cremas para vinilo; aceite de almendras; aceite de amla para uso cosmético; aceite de coco para uso cosmético; aceite de gaulteria; aceite de jazmín; aceite de lavanda; aceite de lavanda para uso cosmético; aceite de masaje, no medicinal; aceite de menta; aceite de menta [perfumería]; aceite de neem para uso cosmético; aceite de ricino para uso cosmético; aceite de rosas; aceite de rosas para uso cosmético; aceite de trementina para desengrasar; aceite de veppennai para uso cosmético; aceite de árbol de té; aceite esencial de citronela de aromaterapia; aceite esencial de coco; aceite esencial de eucalipto de aromaterapia; aceite esencial de eucalipto en forma de bola; aceite esencial de eucalipto en forma de roll-on; aceite esencial de hierba limón de aromaterapia; aceite esencial de hierbabuena en forma de bola; aceite esencial de hierbabuena en forma de roll-on; aceite esencial de lavanda de aromaterapia; aceite esencial de lavanda en forma de bola; aceite esencial de lavanda en forma de roll-on; aceite esencial de limoncillo de aromaterapia; aceite esencial de menta en forma de bola; aceite esencial de menta en forma de roll-on; aceite esencial de neem; aceite esencial de romero de aromaterapia; aceite esencial de veppennai; aceite esencial de yerbabuena en forma de bola; aceite esencial de yerbabuena en forma de roll-on; aceite esencial de árbol de té de aromaterapia; aceite esencial de árbol de té en forma de roll-on; aceite esencial del árbol del té en forma de bola; aceite fijador para el cabello; aceite japonés para fijar el cabello; aceite para el peinado del cabello; aceites aromáticos; aceites aromáticos para el baño; aceites brillantes para el cuerpo; aceites bronceadores; aceites bronceadores [cosméticos]; aceites bronceadores de uso cosmético; aceites cosméticos; aceites cosméticos para la piel; aceites de aromaterapia; aceites de baño; aceites de baño no medicados; aceites de baño no medicinales; aceites de baño para uso cosmético; aceites de baño que no sean medicinales; aceites de baño, que no sean para uso médico; aceites de cáñamo a base de cbd para uso cosmético; aceites de ducha a base de cáñamo; aceites de limpieza; aceites de masaje, no medicinales; aceites de perfumería; aceites de pino para la limpieza de suelos; aceites de protección solar; aceites de protección solar [cosméticos]; aceites de tocador; aceites destilados para el cuidado de belleza;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en cuanto aromatizantes alimentarios; aceites esenciales en cuanto fragancias de lavandería; aceites esenciales en cuanto perfumes de lavandería; aceites esenciales industriales para uso en la fabricación de productos de tabaco; aceites esenciales naturales; aceites esenciales para ambientadores de interior; aceites esenciales para aparatos ambientadores de interior; aceites esenciales para aromatizar bebidas; aceites esenciales para aromatizar el tabaco; aceites esenciales para aromatizar las bebidas; aceites esenciales para aromatizar los alimentos; aceites esenciales para cigarrillos electrónicos; aceites esenciales para el tabaco; aceites esenciales para la fabricación de productos perfumados; aceites esenciales para uso cosmético; aceites esenciales para uso doméstico; aceites esenciales para uso en aromaterapia; aceites esenciales para uso en la fabricación de líquidos para cigarrillos electrónicos [e-liquid]; aceites esenciales para uso en la fabricación de productos neutralizadores de olores; aceites esenciales para uso industrial; aceites esenciales para uso industrial para uso en la fabricación de productos de tabaco; aceites esenciales para uso personal; aceites esenciales que no sean para uso médico o terapéutico; aceites esenciales utilizados como aromatizantes alimentarios; aceites esenciales utilizados como aromatizantes para alimentos; aceites esenciales utilizados como saborizantes alimentarios; aceites esenciales utilizados como saborizantes para alimentos; aceites esenciales utilizados en la fabricación de líquido para cigarrillo electrónico [e-liquid]; aceites esenciales utilizados en procesos de fabricación; aceites etéreos; aceites faciales; aceites hidratantes intensivos; aceites minerales [cosméticos]; aceites no medicados; aceites no medicinales para masajes; aceites para bebés; aceites para bebés [productos de tocador]; aceites para bronceado [cosméticos]; aceites para cutículas; aceites para después del sol; aceites para después del sol [productos cosméticos]; aceites para después del sol de uso cosmético; aceites para el bronceado de la piel; aceites para el cabello; aceites para el cuerpo; aceites para el cuerpo de uso cosmético; aceites para perfumes y fragancias; aceites para uso cosmético; aceites perfumados; aceites perfumados para el cuidado de la piel; aceites perfumados para fabricar preparaciones cosméticas; aceites perfumados para la fabricación de preparaciones cosméticas; aceites perfumados para la fabricación de preparados cosméticos; aceites perfumados para la fabricación de productos cosméticos; aceites perfumados que difunden aromas al ser calentados; aceites puros para uso cosmético; aceites solares de uso cosmético; aceites suavizantes para el cabello; aceites vegetales esenciales; aceites y lociones bronceadoras; aceites y lociones con filtro solar; aceites y lociones de masaje; aceites y lociones de protección solar; aceites y sales de baño; aceites y sales de baño que no sean para uso médico; aclaradores de uñas; acondicionadores de cabello; acondicionadores de cabello a base de cáñamo; acondicionadores de cutícula; acondicionadores en barritas sólidas para el cabello; acondicionadores labiales; acondicionadores para el cabello; acondicionadores para el cabello para bebés; acondicionadores para la piel; acondicionadores para uso en el cabello; adhesivos [pegamentos] para uso cosmético; adhesivos para falsas pestañas; adhesivos para fijar cejas postizas; adhesivos para fijar postizos; adhesivos para fijar uñas postizas; adhesivos para fijar uñas y pestañas postizas; adhesivos para la fijación de cejas postizas; adhesivos para pegar las pestañas postizas; adhesivos para pegar las uñas postizas; adhesivos para pestañas postizas; adhesivos para pestañas, cabello y uñas postizos; adhesivos para postizos capilares; adhesivos para uñas postizas; aditivos de lavandería; aditivos de lavandería para ablandar el agua; aerosoles bucales no medicinales; aerosoles bucales, que no sean no para uso médico; aerosoles cosméticos de uso tópico para la piel; aerosoles depilatorios; aerosoles para afeitar; aerosoles perfumados para el cuerpo; aerosoles perfumados para habitaciones; aerosoles perfumados para interiores; aerosoles perfumados para la ropa; aerosoles perfumados refrescantes para tejidos; aerosoles perfumados refrescantes para textiles; aerosoles perfumados y desodorizantes para tejidos; agentes de aclarado para lavar la ropa; agentes de aclarado para lavavajillas; agentes de enjuague para lavar la ropa; agentes de enjuague para lavavajillas; agentes de lavado para textiles; agentes de limpieza para uso doméstico; agentes de secado para lavaplatos; agentes de secado para lavavajillas; agentes y preparaciones de limpieza; agua de colonia; agua de azahar para uso cosmético; agua de flor de azahar [destilados herbales]; agua de lavanda; agua de perfume; agua de rosas [destilados de hierbas]; agua de tocador que contiene aceite de serpiente; agua micelar; agua micelar de limpieza; agua mineral para el cuerpo y la cara en forma de pulverizadores de niebla; agua mineral para uso cosmético en forma de pulverizadores de niebla; agua oxigenada para el cabello; aguas de colonia para después del afeitado; aguas de tocador; aguas de tocador perfumadas; aguas de tocador y aguas de colonia; aguas de tocador y colonias; aguas perfumadas; aguas perfumadas para la ropa; aire comprimido enlatado para limpiar y quitar el polvo; algas para cosmetología; algodón e hisopos de algodón para uso cosmético; algodón impregnado de preparaciones desmaquillantes; algodón para uso cosmético; algodón y bastoncillos de algodón para uso cosmético; alheña [tinte cosmético]; alheña para uso cosmético; alheña para uso cosmético [henna]; almidones modificados para el apresto; almidones modificados para la colada; almidones naturales para el apresto; almidones naturales para la colada; almidón [apresto]; almidón de apresto [lavandería]; almidón de lavandería para dar brillo; almidón para dar brillo; almidón para el lavado; almidón para la colada; almidón para lavar la ropa; almidón para uso abrasivo; almidón para uso de limpieza; almizcle [producto de perfumería]; almizcle natural; almizcle sintético; almohadillas de algodón para desmaquillar; almohadillas de algodón para uso cosmético; almohadillas de limpieza impregnadas con cosméticos; almohadillas de limpieza impregnadas con productos cosméticos; almohadillas de limpieza impregnadas de cosméticos; almohadillas de limpieza prehumedecidas; almohadillas de limpieza preimpregnadas; almohadillas desmaquillantes de algodón hidrófilo; almohadillas limpiadoras impregnadas de preparaciones de tocador; almohadillas limpiadoras impregnadas de productos cosméticos; almohadillas para uso cosmético; almohadillas, toallitas o pañitos de limpieza prehumedecidos o impregnados; almohadillas, toallitas o pañitos húmedos o impregnados de preparaciones limpiadoras; ambientadores de interior [preparaciones perfumadas]; ambientadores de interior [productos para perfumar el aire]; ambientadores de interior [productos para perfumar el ambiente]; ambientadores de interior en cuanto productos para perfumar el aire; ambientadores de interior en cuanto productos para perfumar el ambiente; ambientadores perfumados en aerosol; amoniaco [álcali volátil] [detergente]; amoníaco [álcali volátil] [detergente]; amoníaco de limpieza; anticalcáreas; antifaces de gel; antitranspirantes de uso personal; antitranspirantes no medicinales; apitoxina [veneno de abeja melífera] con fines cosméticos; aplicadores de betún para el calzado que contienen betún; aprestos para la colada; arena abrasiva; arena para limpiar con chorro de arena; aromas [aceites esenciales]; aromas para fragancias; aromas para uso doméstico; aromatizantes alimentarios [aceites esenciales]; aromatizantes alimentarios en cuanto aceites esenciales; aromatizantes alimentarios o para bebidas en cuanto aceites esenciales; aromatizantes alimenticios a base de aceites esenciales; aromatizantes de pastelería [aceites esenciales]; aromatizantes de pasteles en cuanto aceites esenciales; aromatizantes en cuanto aceites esenciales para el tabaco; aromatizantes en cuanto aceites esenciales para uso en cigarrillos electrónicos; aromatizantes para batidos de frutas u hortalizas [aceites esenciales]; aromatizantes para batidos de leche [aceites esenciales]; aromatizantes para bebidas [aceites esenciales]; aromatizantes para bebidas en cuanto aceites esenciales; aromatizantes para fragancias; aromatizantes para licuados de frutas u hortalizas [aceites esenciales]; astringentes para uso cosmético; autobronceadores; autobronceadores [cosméticos]; azulete; añil de lavandería; añil para azulear la ropa; bandas abrasivas; barnices de pulimento para automóviles; barras de labios; barras de labios con protección solar [cosméticos]; barras de labios en stick con protección solar [cosméticos]; barras de labios hidratantes; barritas de incienso; barros corporales para uso cosmético; bases de maquillaje; bases de maquillaje cremosas; bases de maquillaje en crema; bases de maquillaje líquidas; bases de maquillaje para la piel; bases neutralizantes para labios; bases para esmaltes de uñas; bases para perfumes de flores; basma [tinte para uso cosmético]; basma en cuanto tinte para uso cosmético; basma para uso cosmético; bastoncillos de algodón impregnados de preparaciones desmaquillantes; bastoncillos de algodón impregnados de preparados desmaquilladores; bastoncillos de algodón multiuso para utilización personal; bastoncillos de algodón multiusos para uso personal; bastoncillos de algodón para uso cosmético; bastoncillos de incienso; baños de aceite para el cuidado del cabello; baños de aceite para el cuidado del cabello de uso cosmético; baños de espuma; baños de espuma para bebés; baños no medicinales para el cuerpo; baños no medicinales para los pies; bencina quitamanchas; betunes para botas; betunes y cremas para el calzado; betunes y cremas para el cuero; betunes y cremas para la madera; betunes y cremas para metal; betunes y cremas para vinilo; betún para botas; betún para el calzado; betún para zapatos; bintsuke-abura; bintsuke-abura [aceite japonés para fijar el cabello]; blanco de españa; blanco de tiza; blanqueadores para las uñas; bloqueador solar [cosméticos]; bolas de algodón impregnadas de preparaciones desmaquillantes; bolas de algodón impregnadas de preparados desmaquilladores; bolas de algodón para uso cosmético; bolsitas aromáticas para almohadas de aromaterapia; bolsitas para perfumar la ropa; bolsitas perfumadas; bolsitas perfumadas para almohadillas oculares; bombas de baño; bombas de ducha; botellas tipo roll-on llenas de aceites esenciales; botellas tipo rollo llenas de aceites esenciales; brillantina; brillantina corporal; brillantina para el cabello; brillantina para las uñas; brillos corporales; brillos de labios; brillos de uñas para aplicar sobre el esmalte; brillos faciales; brillos faciales y corporales; brillos para uso cosmético; bronceadores para la piel; bálsamo acondicionador; bálsamo de guritania en cuanto aceites esenciales para uso en la fabricación de barnices; bálsamos [cremas] para disimular las imperfecciones de la piel; bálsamos capilares; bálsamos capilares no medicinales; bálsamos labiales; bálsamos labiales a base de cáñamo; bálsamos labiales no medicinales; bálsamos no medicinales para después de afeitar; bálsamos no medicinales para después del afeitado; bálsamos para después del afeitado; bálsamos para disimular las imperfecciones de la piel; bálsamos para el afeitado; bálsamos para el cabello; bálsamos que no sean para uso médico; calcetines impregnados con crema hidratante cosmética; calcetines impregnados con preparaciones hidratantes para los pies; calcetines pre-humedecidos con preparaciones cosméticas para uso cosmético; calcomanías decorativas para uso cosmético; calcomanías decorativas para uñas; calcomanías para las uñas; carburo de silicio [abrasivo]; carburos metálicos [abrasivos]; cejas postizas; cejas postizas autoadhesivas; cenizas volcánicas para limpiar; cera antideslizante para pisos; cera antideslizante para suelos; cera de carnauba para lustrar automóviles; cera de carnauba para lustrar para uso marítimo; cera de lavandería; cera de sastre; cera de sastre y pez de zapatero; cera de zapatero; cera depilatoria; cera para auto; cera para auto que contiene sellador de pintura; cera para botas; cera para carro; cera para carro que contiene con sellador de pintura; cera para coche; cera para coche que contiene sellador de pintura; cera para el bigote; cera para el cabello; cera para el calzado; cera para el pelo; cera para parqué; cera para pulir; cera para sastres y zapateros; ceras de masaje, que no sean para uso médico; ceras para automóviles; ceras para el cabello; ceras para el calzado; ceras para el cuero; ceras para el cuidado del cabello; ceras para el cuidado del pelo; ceras para el peinado del cabello; ceras para el pelo; ceras para guitarras; ceras para pisos; ceras para suelos; champúes para el cabello; champúes para el cabello a base de cáñamo; champús 3 en 1; champús acondicionadores; champús anticaspa; champús capilares; champús corporales;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para automóviles; champús para bebés; champús para coches; champús para el cabello; champús para el cabello humano; champús para el cabello y el cuerpo; champús para el cuerpo; champús para el lavado de coches y camiones; champús para el lavado de vehículos; champús y acondicionadores; champús y acondicionadores para el cabello; champús*; chicles para blanquear los dientes; cintas adhesivas de doble párpado; cintas de doble párpado; cintas de estiramiento facial para uso cosmético; cintas de lifting facial para uso cosmético; cintas para fijar las pelucas; cola de maquillaje para uso cosmético; cold creams; cold creams para uso cosmético; colonia; colonias para después del afeitado; colonias, perfumes y productos cosméticos; colorantes de labios; colorantes de labios [cosméticos]; colorantes de tocador; colorantes labiales; colorantes labiales [cosméticos]; colorantes labiales [productos cosméticos]; colorantes para blanquear la ropa; colorantes para el cabello; colorantes para lavar la ropa; colorantes para lavar y blanquear la ropa; colorantes para los labios; colorantes para los labios [productos cosméticos]; colorete; colorete en lápiz; colorete líquido; coloretes; coloretes en crema; composiciones para aclarar la piel [cosméticos]; composiciones para la eliminación de lacas; composiciones para quitar barnices; compresas oculares para uso cosmético; compuestos de pulido; compuestos disolventes de pinturas, lacas y barnices; compuestos para pulir pisos; conservantes para el cuero [betunes]; copos de baño; corindón [abrasivo]; corrector facial; correctores antiojeras; correctores de imperfecciones [productos cosméticos]; correctores de líneas y arrugas faciales; correctores de ojeras; correctores de ojos; correctores para disimular manchas e imperfecciones de la piel; corteza de quillay para lavar;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crema corporal para uso cosmético; crema en gel para matificar la piel; crema lavamanos; crema limpiadora; crema no medicinal contra la dermatitis del pañal; crema para aclarar la piel; crema para las manos; crema para lavarse las manos; crema para peinar el cabello;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desmaquillantes; cremas emolientes reparadoras para el cuidado diario de la piel; cremas evanescentes;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botas; cremas para broncear la piel; cremas para cutículas; cremas para dar firmeza al cuerpo; cremas para después de afeitar (no medicinales); cremas para después del afeitado; cremas para después del afeitado (no medicinales); cremas para después del sol; cremas para después del sol de uso cosmético; cremas para el cabello; cremas para el cabello de uso cosmético; desodorantes antitranspirantes; desodorantes corporales; desodorantes corporales [perfumería]; desodorantes corporales [productos de perfumería]; desodorantes corporales en comprimidos; desodorantes de alumbre; desodorantes de bola [artículos de aseo]; desodorantes para animales; desodorantes para animales de compañía; desodorantes para el cuerpo; desodorantes para los pies; desodorantes para mascotas; desodorantes para personas o animales; desodorantes para personas o animales [productos de perfumería]; desodorantes para seres humanos; desodorantes para uso personal; desodorantes para uso personal [perfumería]; desodorantes para uso personal y animal; desodorantes para uso personal y para animales; desodorantes roll-on [artículos de aseo]; desodorantes y antitranspirantes para uso personal; desodorizantes para animales de compañía; desodorizantes para mascotas; destilados de hierbas; destilados de plantas; detergente líquido; detergentes a base de petróleo; detergentes a base de petróleo [para uso doméstico]; detergentes a base de silicio; detergentes comerciales para lavanderías; detergentes de espuma para uso doméstico; detergentes en comprimidos para lavavajillas; detergentes en gel para lavavajillas; detergentes en polvo para la colada; detergentes en polvo para la ropa; detergentes en polvo para lavavajillas; detergentes jabonosos para uso doméstico; detergentes líquidos para lavavajillas; detergentes para automóviles; detergentes para coches; detergentes para el cuero; detergentes para el hogar; detergentes para el lavado de coches y camiones; detergentes para inodoros; detergentes para la colada; detergentes para la limpieza de la ropa para uso doméstico; detergentes para la limpieza que no sean para procesos de fabricación; detergentes para las manos; detergentes para lavado manual de la vajilla; detergentes para lavar la vajilla; detergentes para lavar los platos; detergentes para lavavajillas; detergentes para lavavajillas en forma de gel; detergentes para retretes; detergentes para uso doméstico; detergentes para uso doméstico con propiedades desinfectantes; detergentes que no sean para procesos de fabricación ni para uso médico; diamantina [abrasivo]; difusores de caña compuestos por aceites perfumados en recipientes y cañas; difusores de perfumes de ambiente con varillas; difusores de varillas; discos de algodón para uso cosmético; discos desmaquillantes de algodón hidrófilo; disolventes de pegamento; disolventes de pegamento [que no sean para uso industrial]; disolventes para quitar adhesivos; duchas no medicinales; duchas vaginales no medicinales; duchas vaginales para la higiene íntima o en cuanto desodorantes; eau de parfum; eau de parfum [agua de perfume]; emolientes para la piel; emolientes para la piel de uso cosmético; emulsiones faciales; emulsiones faciales de vitalidad; emulsiones faciales para uso cosmético; emulsiones para después del afeitado; emulsiones para el cuerpo; emulsiones para el cuerpo de uso cosmético; emulsiones térmicas para uso cosmético; emulsiones, geles y lociones para el cuidado de la piel; encáusticos; endurecedores de uñas; endurecedores de uñas [cosméticos]; engrudo [almidón]; enjuagues bucales no medicinales; enjuagues bucales no medicinales para animales de compañía; enjuagues bucales para prevenir las caries que no sean de uso médico; enjuagues bucales que no sean para uso médico; enjuagues de color para el cabello; enjuagues de color para el pelo; enjuagues para el cabello; enjuagues para el cabello de uso cosmético; escarcha corporal; escarcha para las uñas; esencia de badiana; esencia de bergamota; esencia de citronela [aceite esencial]; esencia de cáñamo [aceite esencial]; esencia de eucalipto [aceite esencial]; esencia de gaulteria [aceite esencial]; esencia de helicriso [aceite esencial]; esencia de hierba limón [aceite esencial]; esencia de hierbabuena [aceite esencial]; esencia de lavanda [aceite esencial]; esencia de limoncillo [aceite esencial]; esencia de menta [aceite esencial]; esencia de menta en cuanto aceites esenciales; esencia de neroli [aceite esencial]; esencia de neroli [aceites esenciales]; esencia de niaouli [aceite esencial]; esencia de petitgrain [aceite esencial]; esencia de romero [aceite esencial]; mascarillas limpiadoras para corporales; mascarillas limpiadoras para faciales; mascarillas oculares para uso cosmético; mascarillas para el cabello; mascarillas para el cabello y el cuero cabelludo; mascarillas para el cuero cabelludo; mascarillas para el cuidado capilar; mascarillas para el cuidado de la piel de las manos; mascarillas para el cuidado de la piel de los pies; mascarillas para el cuidado del cabello; mascarillas para el cutis; mascarillas para el cutis [cosméticos]; mascarillas para el peinado del cabello; mascarillas para eliminar los comedones; mascarillas para eliminar los puntos negros; mascarillas para hidratar la piel; mascarillas para la cara; mascarillas para la piel; mascarillas para la piel [cosméticos]; mascarillas para la piel de uso cosmético; mascarillas para pieles grasas; materiales abrasivos de chorro; materiales abrasivos de chorroeado; materiales abrasivos para granallar; materiales de chorreado; materiales de chorreado para la limpieza de superficies; materiales de chorro de arena; materiales de granallado; materiales de limpieza por chorro que contienen minerales triturados; materiales de limpieza por granallado; materiales en forma de granallado para la limpieza a chorro; mechas impregnadas de fragancias para perfumar el ambiente; mechas y reflejos; mechas y reflejos [preparaciones para iluminar el cabello]; menta para perfumería; paños impregnados con preparaciones de limpieza; paños impregnados con preparaciones de pulido para limpiar; paños impregnados con sustancias cosméticas; paños impregnados de detergente para limpiar gafas; piedras de cerámica perfumadas; polvo para el cabello; polvos brillantes para el cuerpo; pomadas no medicinales para prevenir y tratar las quemaduras solares; pomadas para el cabello; pomadas para el cabello de uso cosmético; pomadas para los labios; pomadas para uso cosmético; pomadas y lociones no medicinales contra la dermatitis del pañal; pomanders; pomanders [sustancias aromáticas]; pomanders en cuanto sustancias aromáticas; pomas de olor; pomas de olor [sustancias aromáticas]; popurrís aromáticos; preparaciones abrasivas de chorro; preparaciones abrasivas de chorro a base de arena de olivino; preparaciones abrasivas de chorro a base de bicarbonato de sodio; preparaciones abrasivas de chorro a base de carburo de silicio; preparaciones abrasivas de chorro a base de cerámica; preparaciones abrasivas de chorro a base de corindón; polvos dentales para uso cosmético; polvos dentífricos; polvos faciales; polvos faciales [cosméticos]; polvos faciales blancos para uso cosmético; polvos faciales para uso cosmético; polvos faciales sueltos; polvos faciales, a saber, papel revestido con polvo facial; polvos no medicinales para los pies; polvos para bebés; polvos para bebés [productos de tocador]; polvos para el cuerpo; polvos para el cuerpo de uso cosmético; polvos para fregar; pomada para zapatos; pomadas en barra; pomadas en barra para uso cosmético; pomadas labiales; pomas de olor en cuanto sustancias aromáticas; popurrís [fragancias]; preparaciones abrasivas de chorro a base de hielo seco; preparaciones abrasivas de chorro a base de mazorcas de maíz; preparaciones abrasivas de chorro a base de minerales; preparaciones abrasivas de chorro a base de restos de discos abrasivos; preparaciones abrasivas de chorro a base de vidrio; preparaciones abrasivas de chorro a base de óxido de aluminio; preparaciones abrasivas de chorro a base de óxido de hierro; preparaciones abrasivas de chorro a base de óxido metálico; preparaciones abrasivas de chorroeado; preparaciones ambientadoras (perfumes); preparaciones antiarrugas para el cuidado de la piel; preparaciones antienvejecimiento para el cuidado de la piel; preparaciones autobronceadoras; preparaciones autobronceadoras [cosméticos]; preparaciones blanqueadoras; preparaciones blanqueadoras [decolorantes] para uso doméstico; preparaciones blanqueadoras para la piel [productos cosméticos]; preparaciones brillantes para las frutas; preparaciones bronceadoras y de protección solar; preparaciones abrasivas de chorro a base de gránulos de mazorcas de maíz; preparaciones abrasivas para granallar; preparaciones abrasivas para granallar a base de arena de olivino; preparaciones abrasivas para granallar a base de bicarbonato de sodio; preparaciones abrasivas para granallar a base de carburo de silicio; preparaciones abrasivas para granallar a base de cerámica; preparaciones abrasivas para granallar a base de corindón; preparaciones abrasivas para granallar a base de corindón circonio; preparaciones abrasivas para granallar a base de corindón mezclado y electro corindón; preparaciones abrasivas para granallar a base de cáscaras de frutos secos; preparaciones abrasivas para granallar a base de granate; preparaciones abrasivas para granallar a base de granulado de cáscaras de frutos secos; preparaciones abrasivas para granallar a base de gránulos de harina de mazorcas de maíz; preparaciones abrasivas para granallar a base de gránulos de mazorcas de maíz; preparaciones abrasivas para granallar a base de hielo seco; preparaciones abrasivas para granallar a base de mazorcas de maíz; preparaciones abrasivas para granallar a base de minerales; preparaciones abrasivas para granallar a base de restos de discos abrasivos; preparaciones abrasivas para granallar a base de vidrio; preparaciones abrasivas para granallar a base de óxido de aluminio; preparaciones abrasivas para granallar a base de óxido de hierro; preparaciones abrasivas para granallar a base de óxido metálico; preparaciones capilares a base de aceite de coco virgen ecológico y de aceite de coco virgen; preparaciones capilares de protección solar; preparaciones capilares no medicamentosas; preparaciones capilares no medicinales; preparaciones colorantes de uso cosmético; preparaciones con filtro solar; preparaciones con filtro solar para animales; preparaciones con pantalla solar; preparaciones cosméticas; preparaciones cosméticas adelgazantes; polvos para lavar el cabello; polvos para lavavajillas; polvos para pulir; polvos perfumados; polvos perfumados para uso cosmético; polímeros impermeabilizantes para limpiar, lustrar y proteger las superficies exteriores de automóviles; preparaciones abrasivas de chorro a base de corindón circonio; preparaciones abrasivas de chorro a base de corindón mezclado y electro corindón; preparaciones abrasivas de chorro a base de cáscaras de frutos secos; preparaciones abrasivas de chorro a base de granate; preparaciones abrasivas de chorro a base de granulado de cáscaras de frutos secos; preparaciones abrasivas de chorro a base de gránulos de harina de mazorcas de maíz; preparaciones cosméticas antienvejecimiento; preparaciones cosméticas colorantes; preparaciones cosméticas contra la sequedad de la piel durante el embarazo; preparaciones cosméticas contra las quemaduras solares; preparaciones cosméticas de cuidado facial; preparaciones cosméticas de peluquería; preparaciones cosméticas de protección solar; preparaciones cosméticas de uso tópico para atenuar las arrugas faciales; preparaciones cosméticas no espumantes; preparaciones cosméticas no medicadas; preparaciones cosméticas no medicamentosas para tratamientos capilares; preparaciones cosméticas no medicinales para tratamientos capilares; preparaciones cosméticas para el baño; preparaciones cosméticas para el baño y la ducha; preparaciones cosméticas para el bronceado de la piel; preparaciones cosméticas para el cabello y el cuero cabelludo; preparaciones cosméticas para el cuidado bucal; preparaciones cosméticas para el cuidado de la piel; preparaciones cosméticas para el cuidado de la piel en forma de geles; preparaciones cosméticas para el cuidado de las uñas; preparaciones cosméticas para el cuidado del cabello; preparaciones cosméticas para el cuidado del cuerpo; preparaciones cosméticas para el cuidado y el tratamiento de la piel; preparaciones cosméticas para el rostro; preparaciones cosméticas para el rostro y el cuerpo; preparaciones cosméticas para el tratamiento de la piel; preparaciones cosméticas para impedir el crecimiento del cabello; preparaciones cosméticas para la cara; preparaciones cosméticas para la ducha; preparaciones cosméticas para la regeneración de la piel; preparaciones cosméticas para las uñas; preparaciones cosméticas para pestañas; mezclas de perfumería; mizu-oshiroi; mizu-oshiroi [bases de maquillaje líquidas]; motivos decorativos para uso cosmético; máscara de pestañas; máscara para pestañas largas; máscaras calentadoras en gel para los ojos; máscaras cosméticas de barro; máscaras para el cabello; máscaras para el cabello y el cuero cabelludo; máscaras para el cuero cabelludo; máscaras para pestañas largas; máscaras refrigerantes en gel para los ojos; máscaras refrigerantes para los ojos; neceseres de cosmética;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neutralizadores de color para labios; niebla corporal; niebla corporal en espray; niebla corporal pefumado a rosa en espray; paletas de brillos labiales; paletas de sombras de párpados; palitos de incienso; papel de esmeril; papel de jabón para uso personal; papel de lija; papel de lija para afilar lápices de dibujo; papel de vidrio [lija]; papel para pulir; papel secante anti-brillo [cosméticos]; parches de gel para los ojos con fines cosméticos; parches de lifting facial para uso cosmético; parches desechables calentados al vapor para uso cosmético; parches que contienen preparaciones no medicinales para el cuidado de la pie; pasta abrasiva; pasta de dientes fácil de ingerir; pasta dental en pastillas; pastas cosméticas matificantes para la cara; pastas de dientes no medicinales; pastas de dientes*; pastas dentífricas; pastas para blanquear los dientes; pastas para suavizadores de navajas de afeitar; pastas perfumadas para uso cosmético; pastillas de jabón; pastillas de jabón para el cuerpo; pastillas de pasta de dientes compactas; pastillas para lavavajillas; pañitos cosméticos prehumedecidos; pañitos de limpieza impregnados con preparaciones de tocador; pañitos de limpieza prehumedecidos; pañitos de limpieza preimpregnados; pañitos para bebés; pañitos para bebés para uso cosmético; paños de limpieza húmedos; paños de limpieza impregnados con detergente; perfumes; perfumes líquidos; perfumes para uso industrial; perfumes sólidos; perfumes y aguas de colonia; perfumes y aguas de tocador; perfumes y colonias; perfumes, aguas de colonia y productos para después del afeitado; perlas de baño; piedra pómez artificial; piedra pómez para uso personal; piedras astringentes para después del afeitado; piedras astringentes para después del afeitado para uso cosmético; piedras pómez para uso corporal; pintalabios; pintalabios hidratantes; pintura corporal; pintura corporal de látex líquido; pintura corporal de látex líquido para uso cosmético; piñas perfumadas; plumas de esmalte de uñas; polveras rellenas; polvo de cejas; polvos compactos para polveras; polvos compactos para polveras [cosméticos]; polvos compactos para polveras cosméticas; polvos cosméticos; polvos de baño no medicamentosos; polvos de baño no medicinales; polvos de baño para uso cosmético; polvos de brillo para uso cosmético; polvos de henna; polvos de maquillaje; polvos dentales; polvos dentales hidratados; polvos faciales compactos; polvos faciales cosméticos; polvos faciales cosméticos de color blanco; polvos faciales en crema; polvos faciales en papel; polvos para fregar de uso general; preparaciones cosméticas para proteger la piel de los rayos del sol; preparaciones cosméticas para reafirmar el busto; preparaciones cosméticas para secar esmaltes de uñas; preparaciones cosméticas que contienen colágeno; preparaciones cosméticas termoactivas para el cuidado de la piel; preparaciones de abrasión para esquís; preparaciones de abrasión para tablas de snowboard; preparaciones de afeitar en forma líquida; preparaciones de aloe vera para uso cosmético; preparaciones de baño no medicinales para animales; preparaciones de bloqueadores solares para uso cosmético; preparaciones de burbujas no medicinales; preparaciones de espuma para el baño; preparaciones de fragancias para perfumar el ambiente; preparaciones de granallado; preparaciones de higiene en cuanto productos de tocador; preparaciones de higiene personal para refrescar el aliento; preparaciones de higiene íntima para uso sanitario o utilizadas como desodorantes; preparaciones de jabón no medicinales; preparaciones de lavandería; preparaciones de limpieza; preparaciones de limpieza para el cuerpo; preparaciones de limpieza para el hogar; preparaciones de limpieza para gomas y ruedas de automóviles; preparaciones de limpieza para gomas y ruedas de vehículos; preparaciones de limpieza para las manos; preparaciones de limpieza para neumáticos de vehículos, llantas y cubos de ruedas; preparaciones de limpieza para neumáticos y ruedas de automóviles; preparaciones de limpieza para neumáticos y ruedas de vehículos; preparaciones de limpieza para uso doméstico; champús y acondicionadores para animales de compañía [preparaciones de peluquería no medicinales ni veterinarias]; cremas para el cabello para uso cosmético; cremas para el calzado; cremas para el cuero; cremas para el cuerpo [cosméticos]; cremas para el cuerpo cosméticas; cremas para el cuidado de la piel que no sean de uso médico;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 piel no medicinales a base de aceites esenciales para uso en aromaterapia; cremas para las botas;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manos a base de cáñamo; cremas para pulir; cremas para reducir la celulitis; cremas para reducir la celulitis de uso cosmético; cremas para tez clara; cremas para tez clara de uso cosmético; cremas para zapatos y botas;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solares para bebés; cremas tonificantes [cosméticos]; cremas tópicas a base de hierbas para reafirmar y realzar el busto; cremas y betunes para el calzado;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cristales de baño; cristales de baño para uso cosmético; cristales de baño que no sean para uso médico; cristales de baño, que no sean para uso médico; decapantes para cera de parqué; decolorantes capilares; decolorantes para uso cosmético; dentífricos en forma de goma de mascar; dentífricos ingeribles; dentífricos líquidos; dentífricos no medicinales; dentífricos que no sean para uso médico; dentífricos y enjuagues bucales; dentífricos y enjuagues bucales no medicinales; dentífricos*; depilatorios; desengrasantes con base solvente; desengrasantes para uso en la peil; desincrustantes de cal; desincrustantes para piedra caliza; desincrustantes para uso doméstico; desmaquilladores; desmaquilladores de ojos; desmaquillantes de ojos; desodorantes a base de cáñamo para seres humanos; esencia de trementina para desengrasar; esencia de ylang ylang [aceite esencial]; esencia de árbol de té [aceite esencial]; esencias comestibles para alimentos [aceites esenciales]; esencias comestibles para alimentos [esencias etéricas]; esencias etéreas; esencias y aceites etéreos; esmaltes de base para las uñas [productos cosméticos]; esmaltes de uñas; esmaltes de uñas en gel; esmaltes de uñas para uso cosmético; esmaltes de uñas y quitaesmaltes; esmeril; esponjas impregnadas con artículos de tocador; esponjas impregnadas con jabones; esponjas impregnadas con jabones para uso doméstico; esponjas impregnadas con jabón; esponjas impregnadas con preparaciones limpiadoras; esponjas impregnadas con preparaciones para la limpieza; esponjas impregnadas con productos de tocador; esponjas impregnadas con productos de tocador no medicinales; esprays bucales no medicinales; esprays bucales, que no sean no para uso médico; espráis desodorantes para los pies; espráis desodorantes para mujeres; espráis utilizados como desodorantes y perfumes corporales; espuma de baño; espuma de limpieza; espuma de protección para el cabello; espuma limpiadora; espuma moldeadora; espuma moldeadora para el cabello; espumas [cosméticas]; espumas cosméticas con filtro solar; espumas de afeitar; espumas de baño; espumas de baño, no medicadas; espumas de ducha; espumas de ducha y de baño; espumas de limpieza; espumas depilatorias; espumas en cuanto productos par el peinado; espumas limpiadoras; espumas limpiadoras para la piel; espumas limpiadoras para uso personal; espumas para el baño; espumas para el cabello; espumas para el cabello [productos de tocador]; espumas para el cuidado de la piel; espumas para el peinado; espumas para el peinado del cabello [productos de tocador]; espumas para la ducha; espumas y geles para peinar el cabello; estropajos de acero húmedos para limpiar; estuches para lápices de labios; estuches para pintalabios; exfoliante corporal; exfoliantes; exfoliantes [preparaciones cosméticas]; exfoliantes corporales; exfoliantes corporales cosméticos; exfoliantes corporales para uso cosmético; exfoliantes faciales; exfoliantes faciales y corporales no medicamentosos; exfoliantes faciales y corporales no medicinales; exfoliantes iluminadores; exfoliantes para el cuerpo; exfoliantes para el cuerpo de uso cosmético; exfoliantes para la cara; exfoliantes para la piel; exfoliantes para labios; exfoliantes para las manos; exfoliantes para los pies; exfoliantes para uso cosmético; extensiones de pestañas; extractos de flores [productos de perfumería]; extractos de flores en cuanto perfumes; extractos de flores en cuanto productos de perfumería; extractos de plantas para uso cosmético; fangos corporales para uso cosmético; fijadores capilares; fijadores para el cabello; filtro solar [cosméticos]; fondo de maquillaje; fortalecedores de uñas; fragancias; fragancias corporales; fragancias de ambiente; fragancias para automóviles; fragancias para el hogar; fragancias para la industria manufacturera; fragancias para perfumar el ambiente; fragancias para uso doméstico; fragancias para uso personal; fragancias y productos de perfumería; fundación de maquillaje; gargarismos que no sean de uso médico; gel crema matificante; gel de baño; gel de lavanda; gel exfoliante, no medicinal; gel para baño y ducha; gel para ducha y baño; gelatina de algas marinas para la colada; geles antienvejecimiento; geles antienvejecimiento para uso cosmético; geles blanqueadores para uso dental; geles bronceadores; geles bronceadores [cosméticos]; geles capilares; geles corporales y faciales [cosméticos]; geles cosméticos; geles de aloe vera para uso cosmético; geles de baño; geles de baño no medicinales; geles de baño y de ducha; geles de baño y de ducha no medicinales; geles de belleza; geles de ducha; geles de ducha a base de cáñamo; geles de ducha no para uso médico; geles de ducha y de baño; geles de lavanda; geles de lavanda para uso cosmético; geles de limpieza de inodoros; geles de limpieza para los dientes; geles de masaje que no sean para uso médico; geles de protección para el cabello; geles dentífricos; geles depilatorios; geles desmaquillantes; geles exfoliantes, no medicinales; geles hidratantes; geles hidratantes [cosméticos]; geles no medicinales; geles no medicinales para después de afeitar; geles no medicinales para después del afeitado; geles para acelerar, realzar y prolongar el bronceado de la piel; geles para antes del afeitado; geles para dar forma al cabello; geles para después del afeitado; geles para después del sol; geles para después del sol [productos cosméticos]; geles para después del sol de uso cosmético; geles para el afeitado; geles para el baño [no medicinales]; geles para el bronceado de la piel; geles para el cabello; geles para el cuerpo [cosméticos]; geles para el cuerpo y la cara [cosméticos]; geles para el peinado; geles para el peinado de las cejas; geles para el peinado del cabello; geles para el teñido de las cejas; geles para la cara [cosméticos]; geles para la ducha; geles para la ducha no para uso médico; geles para la limpieza de los dientes; geles para los ojos; geles para los ojos de uso cosmético; geles para uso cosmético; geles para uso en el cabello; geles y espumas para el cabello; geles y sales de baño y de ducha no medicinales; geles, aerosoles, espumas y bálsamos para peinar y cuidar el cabello; geles, cremas y aceites de ducha; geles, espráis, espumas y bálsamos para peinar y cuidar el cabello; geraniol; goma de mascar para blanquear los dientes; granulado para pulir; granulados de limpieza facial; granulados para pulir; grasas para uso cosmético; guantes para lijar; guantes pre-humedecidos con preparaciones cosméticas para uso cosmético; guata para uso cosmético; guata y bastoncillos de algodón para uso cosmético; hamamelis [destilados de hierbas]; heliotropina; henna [tinte cosmético]; henna para uso cosmético; henna para uso cosmético [alheña]; hidratante para la piel; hidratantes; hidratantes [cosméticos]; hidratantes a base de cáñamo; hidratantes corporales a base de cáñamo; hidratantes cosméticas para el rostro; hidratantes cosméticas para la cara; hidratantes faciales; hidratantes faciales [cosméticos]; hidratantes faciales de uso cosmético; hidratantes para el cabello; hidratantes para la piel; hidratantes para la piel utilizados como cosméticos; hidrocremas intensiva; hidrolatos; hierbas para el baño que no sean para uso médico; hilas para uso cosmético; hisopos de algodón impregnados de preparaciones desmaquillantes; hisopos de algodón impregnados de preparados desmaquilladores; hisopos de algodón para uso cosmético; hisopos impregnados de preparaciones desmaquillantes; hisopos impregnados de preparados desmaquilladores; hisopos para uso cosmético; hojas abrasivas; hojas antiestáticas para secadoras; incienso y conos de incienso; incienso*; inciensos para fumigar para aromatizar habitaciones; iononas [productos de perfumería]; jabones antitranspirantes; jabones antitranspirantes para los pies; jabones corporales no medicados; jabones cosméticos; jabones de acero inoxidable; jabones de baño; jabones de baño en forma líquida, sólida o de gel; jabones de ducha; jabones de lufa; jabones de papel para uso personal; jabones de tocador; jabones de tocador no medicinales; jabones de tocador perfumados; jabones desodorantes; jabones desodorantes a base de cáñamo; jabones desodorizantes; jabones detergentes; jabones en crema; jabones en crema para el cuerpo; jabones en forma líquida; jabones en polvo no medicinales;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alfombras; jabones para avivar los colores de materias textiles; jabones para el cuerpo; jabones para el cuidado del cuerpo; jabones para guarnicionería; jabones para la colada; jabones para la ducha; jabones para la piel; jabones para las manos; jabones para lavar la ropa; jabones para silla de montar; jabones para uso doméstico; jabones para uso personal; jabones perfumados; jabones vegetales; jabones y detergentes; jabones*; jabón de afeitar; jabón de almendras; jabón de aloe vera; jabón de baño; jabón en polvo; jabón en polvo para la colada; jabón en polvo para lavar; jabón en seco; jabón granulado; jabón líquido para baños de pies; jabón líquido para el cuerpo; jabón líquido para la colada; jabón líquido para lavar la loza; jabón líquido para lavar la ropa; jabón líquido para lavar la vajilla; jalea de petróleo para uso cosmético; joyas de piel autoadhesivas para uso cosmético; joyas de piel en cuanto motivos decorativos para uso cosmético; joyas de piel en cuanto transferencias decorativas para uso cosmético; joyas de piel para uso cosmético; joyas de tatuaje para uso cosmético; joyería de piel autoadhesivas para uso cosmético; joyería de piel en cuanto motivos decorativos para uso cosmético; joyería de piel en cuanto transferencias decorativas para uso cosmético; joyería de piel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lejía para uso en la limpieza; limpiador cutáneo con propiedades suavizantes [cosmético]; limpiadores con base solvente; limpiadores con pulverizador para refrescar protectores bucales para deportes; limpiadores cosméticos cutáneos; limpiadores cosméticos faciales; limpiadores cosméticos para la piel; limpiadores cutáneos; limpiadores cutáneos [cosméticos]; limpiadores cutáneos [productos cosméticos]; limpiadores cutáneos con propiedades suavizantes [cosméticos]; limpiadores cutáneos no medicinales; limpiadores de hornos; limpiadores de la piel; limpiadores de la piel a base de cáñamo; limpiadores de la piel no medicinales; limpiadores desodorizantes para alfombras; limpiadores faciales; limpiadores faciales [cosméticos]; limpiadores faciales [productos cosméticos]; limpiadores líquidos para la piel; limpiadores no medicinales para la piel; limpiadores para alfombras; limpiadores para bandas blancas de neumáticos; limpiadores para camas [arena] de animales; limpiadores para la cara; kits para el cuidado de las uñas que comprenden principalmente lacas de uñas y quitaesmaltes; kits para el cuidado de las uñas que comprenden principalmente lacas de uñas, quitaesmaltes y uñas postizas; lacas de uñas; lacas para el cabello; lacas para las uñas; lacas y geles fijadores para el cabello; lavados no medicinales; lavados vaginales no medicinales; leche bronceadora; leche de almendras para uso cosmético; leche hidratante para después de afeitar; leche hidratante para después del afeitado; leche para después del afeitado; leches bronceadoras; leches bronceadoras [cosméticos]; leches corporales para bebés; leches de baño; leches de belleza; leches de limpieza facial; leches desmaquillantes; leches hidratantes; leches hidratantes corporales; leches limpiadoras; leches limpiadoras de tocador; leches limpiadoras para el cuidado de la piel; leches para después de tomar el sol para uso cosmético; leches para después del sol; leches para después del sol [productos cosméticos]; leches para después del sol de uso cosmético; leches para el cuerpo; leches para el cuerpo de uso cosmético; leches para el rostro y el cuerpo; leches para el rostro y el cuerpo de uso cosmético; leches y lociones para el rostro; leches y lociones para el rostro de uso cosmético; leches, geles y aceites bronceadores y para después del sol, de uso cosmético; leches, geles, lociones y cremas desmaquillantes; lejía; lejía de soda; lejía de sosa; lejía para uso doméstico; limpiadores de la piel [cosméticos]; limpiadores de la piel [productos cosméticos]; limpiadores para pinceles cosméticos; limpiadores para tapizados; limpiadores para uso doméstico; lociones antienvejecimiento; lociones antienvejecimiento para uso cosmético; lociones autobronceadoras [cosméticos]; lociones brillantes para el cuerpo; lociones bronceadoras; lociones capilares cosméticas; lociones capilares no medicinales; lociones capilares reparadoras no medicamentosas; lociones capilares reparadoras no medicinales; lociones limpiadoras para la piel; lociones lácteas; lociones lácteas para el cuidado de la piel; lociones no medicadas para el rostro; lociones no medicinales para aclarar la piel; lociones no medicinales para el cuidado de la piel [cosméticos]; lociones no medicinales para la piel; lociones no medicinales para los pies; lociones para bebés; lociones para bebés [productos de tocador]; lociones para después de afeitar; lociones para después del afeitado; lociones para después del sol; lociones para después del sol de uso cosmético; lociones para el afeitado; lociones para el bronceado de la piel; lociones para el cabello; lociones para el cabello de uso cosmético; lociones para el cuidado del rostro y del cuerpo de uso cosmético; lociones para el peinado; lociones para el rostro y el cuerpo; lociones para el rostro y el cuerpo de uso cosmético; lociones para fortalecer el cabello; lociones para fortalecer las uñas; lociones para la barba; lociones para la piel; lociones para la piel [productos cosméticos]; lociones para la piel no medicadas; lociones para las manos; lociones para las manos de uso cosmético; lociones para los ojos; lociones para el cuidado del rostro y del cuerpo; lociones para los ojos de uso cosmético; lociones para ondular el cabello; lociones para ondular el cabello de forma permanente; lociones para reducir la celulitis; lociones para reducir la celulitis de uso cosmético; lociones para rizar el cabello; lociones para uso cosmético; lociones perfumadas [preparaciones de tocador]; lociones perfumadas para el cuerpo; lociones tonificantes para el cuerpo; lociones tónicas para el cuerpo; lociones tónicas para el rostro, el cuerpo y las manos de uso cosmético; lociones y cremas corporales perfumadas; lociones, cremas y preparaciones para el cuidado del rostro, cuerpo, cuero cabelludo, uñas y cabello; loción de malagueta; loción de malagueta para uso cosmético; lodos corporales para uso cosmético; láminas abrasivas; lápices de cejas; lápices de labios; lápices de labios [pintalabios]; lápices de labios [pintalabios] hidratantes; lápices de labios hidratantes; lápices de maquillaje; lápices de ojos; lociones, cremas y aceites de aplicación tópica para la piel y el cuerpo, de uso cosmético; lociones, cremas y preparaciones para el cuidado de la cara, cuerpo, cuero cabelludo, uñas y cabello; lápices de ojos para uso cosmético; lápices de párpados; lápices labiales; lápices labiales hidratantes; lápices para aplicar el esmalte de uñas; lápices para uso cosmético; lápices perfiladores de ojos; lápices quitaesmaltes; lápices quitaesmaltes de uñas; líquidos antideslizantes para pisos; líquidos antideslizantes para suelos; líquidos de limpieza; líquidos de limpieza en seco; líquidos de limpieza para objetivos de cámaras; líquidos limpiadores para caracteres de máquinas de escribir; líquidos limpiaparabrisas; líquidos para cigarrillos electrónicos [e-liquid] que contienen aceites esenciales; líquidos para cigarrillos electrónicos [e-liquid] que contienen aceites esenciales, utilizados para rellenar cartuchos de cigarrillos electrónicos; líquidos para cigarrillos electrónicos [e-liquid] que contienen aromas en cuanto aceites esenciales, utilizados para rellenar cartuchos de cigarrillos electrónicos; líquidos para cigarrillos electrónicos [e-liquid] que contienen aromas que sean aceites esenciales; líquidos para cigarrillos electrónicos a base de aceites esenciales; líquidos para cigarrillos electrónicos que contienen aromas en cuanto aceites esenciales; líquidos para cigarrillos electrónicos que contienen aromas en cuanto aceites esenciales, utilizados para rellenar los cartuchos de cigarrillos electrónicos; líquidos para el lavado de platos a máquina; líquidos para fregar; líquidos para lavar la vajilla; líquidos para lavar los platos; líquidos para lavarse las manos no medicinales a base de jabón; líquidos para limpiar anteojos; líquidos para limpiar gafas; líquidos y polvos de uso general para limpiar, lustrar y raspar; madera perfumada; maderas aromáticas; manteca a base de vegetales para uso cosmético; manteca corporal; manteca corporal para uso cosmético; manteca de almendra para uso cosmético; manteca de aloe vera para uso cosmético; manteca de argán para uso cosmético; manteca de cacao para uso cosmético; lociones capilares*; lociones colorantes para el cabello; lociones con filtro solar; lociones con filtro solar para uso cosmético; lociones con pantalla solar; lociones con pantalla solar para uso cosmético; lociones corporales; lociones cosméticas para el bronceado de la piel; lociones cosméticas para el cuidado de la piel; lociones cosméticas para el rostro; lociones cosméticas para la cara; lociones cosméticas para la piel; lociones cosméticas para reducir la aparición de manchas de envejecimiento y pecas; lociones de aromaterapia; lociones de baño; lociones de baño para uso cosmético; lociones de belleza; lociones de limpieza dental; lociones de protección para el cabello; lociones de protección solar; lociones de protección solar para uso cosmético; lociones depilatorias; lociones desmaquillantes; lociones estimulantes no medicinales para la piel; lociones faciales; lociones faciales [cosméticos]; lociones faciales no medicadas; lociones fijadoras para ondular el cabello; lociones hidratantes; lociones hidratantes [cosméticos]; lociones hidratantes para el cuerpo; lociones hidratantes para el cuerpo [cosméticos]; lociones hidratantes para la piel; lociones hidratantes para la piel [cosméticos]; lociones lechosas; lociones lechosas para el cuidado de la piel; lociones limpiadoras no medicadas; lociones para el cuerpo; lociones para el cuerpo de uso cosmético; lociones para el cuidado de la piel; lociones para el cuidado de la piel [cosméticos]; manteca de coco para uso cosmético; manteca de karité para uso cosmético; maquillaje; maquillaje [cosméticos]; maquillaje de teatro, a saber, sangre falsa; maquillaje para el cuerpo; maquillaje para el rostro; maquillaje para el rostro y el cuerpo; maquillaje para la cara; maquillaje para la cara y el cuerpo; maquillaje para la piel; maquillaje para los ojos; maquillaje para polveras; maquillaje teatral; maquillaje vendido en polveras; maquillajes de base; maquillajes de base en crema; maquillajes de ojos; maquillajes faciales; maquillajes para el teatro; mascarillas corporales; mascarillas corporales en forma de cremas; mascarillas corporales en forma de cremas para uso cosmético; mascarillas corporales en forma de lociones; mascarillas corporales en forma de lociones para uso cosmético; mascarillas corporales en polvo; mascarillas corporales en polvo para uso cosmético; mascarillas corporales para uso cosmético; mascarillas cosméticas; mascarillas cosméticas para el cutis; mascarillas de belleza; mascarillas de belleza para el cabello; mascarillas de belleza para el contorno de los ojos; mascarillas de belleza para las manos; mascarillas desechables calentadas al vapor, que no sean para uso médico; mascarillas envasadas para uso cosmético; mascarillas faciales; mascarillas faciales [productos cosméticos]; mascarillas faciales cosméticas;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hidratantes para la piel; mascarillas limpiadoras; papel secante anti-brillo para uso cosmético; papel secante facial [cosméticos]; papel secante facial para uso cosmético; papel secante para pieles grasas; papel secante para rostros oleosos; papel secante para uso cosmético; papeles abrasivos; parches cosméticos con filtro y pantalla solar para aplicar sobre la piel; parches de estiramiento facial para uso cosmético; parches de gel para los ojos de uso cosmético; parches refrigerantes en gel para los ojos; paños desechables impregnados de compuestos limpiadores para uso facial; paños desechables impregnados de productos o compuestos químicos limpiadores para uso industrial o comercial; paños desechables impregnados de productos químicos o compuestos limpiadores para la higiene personal; paños húmedos para bebés; paños húmedos para bebés de uso cosmético; paños húmedos para desempolvar; paños húmedos para limpiar, desempolvar o lustrar; paños húmedos para lustrar; paños impregnados de detergentes para la limpieza de objetivos de cámaras; paños impregnados de preparaciones abrillantadoras para limpiar; paños impregnados de preparaciones de limpieza; paños impregnados de preparaciones desmaquilladoras; paños impregnados de productos de limpieza para la piel; paños impregnados de productos limpiadores para la piel; paños o toallitas impregnados de productos limpiadores para la piel; pebetes de incienso; pegatinas de arte corporal; pegatinas decorativas para el cuerpo; pegatinas decorativas para uñas; perfiladores de labios; perfiladores de ojos; perfumería para cosméticos; perfumería y fragancias; perlas de baño para uso cosmético; perlitas de baño; perlitas de baño para uso cosmético; peróxido de hidrógeno para uso cosmético; pestañas artificiales magnéticas; pestañas postizas; pestañas postizas magnéticas; pez de zapatero; pez negra de zapatero; piedra pómez; piedras de alumbre [astringentes]; piedras de alumbre para el afeitado; piedras para el afeitado [astringentes]; piedras para el afeitado en cuanto astringentes; piedras para el afeitado en cuanto astringentes para uso cosmético; piedras para pulir; piedras para suavizar; piedras para suavizar los pies; pintura corporal para uso cosmético; pintura facial; pintura para la cara y el cuerpo; polvos de alheña; polvos de basma; polvos de baño; preparaciones de colágeno para uso cosmético; preparaciones de cuidado corporal no medicamentosas; preparaciones de cuidado corporal no medicinales; preparaciones de cuidado corporal y de belleza para uso cosmético; preparaciones de cuidado facial; preparaciones de cuidado facial [cosméticos]; preparaciones de limpieza dental; preparaciones de limpieza nasal para la higiene personal; preparaciones de limpieza no medicadas; preparaciones de limpieza no medicadas para el cuerpo; preparaciones de limpieza no saponáceas; preparaciones de limpieza para azulejos; preparaciones de limpieza para cristales; preparaciones de limpieza para el baño; preparaciones de limpieza para uso en los inodoros; preparaciones de limpieza para vidrios; preparaciones de limpieza polivalentes; preparaciones de maquillaje para el rostro y el cuerpo; preparaciones de maquillaje para la cara y el cuerpo; preparaciones de permanente para ondular el cabello; preparaciones de permanente para ondular y rizar el cabello; preparaciones de permanente para rizar el cabello; preparaciones de protección solar; preparaciones de protección solar [productos cosméticos]; preparaciones de protección solar para animales; preparaciones de protección solar para uso cosmético; preparaciones de pulido para esquís; preparaciones de pulido para tablas de snowboard; preparaciones de pulido y abrasión para esquís; preparaciones de pulido y abrasión para tablas de snowboard; preparaciones de tintes capilares; preparaciones de tocador no medicinales; preparaciones de tocador*; preparaciones decapantes para el piso; preparaciones decapantes para suelos; preparaciones depilatorias y exfoliantes; preparaciones desatascadoras para desagües; preparaciones desatascadoras para fregaderos; preparaciones desengrasantes para uso doméstico; preparaciones desengrasantes para uso en la piel; preparaciones exfoliantes faciales para uso cosmético; preparaciones exfoliantes y de limpieza para la piel; preparaciones faciales; preparaciones faciales [cosméticos]; preparaciones fito-cosméticas; preparaciones hidratantes; preparaciones hidratantes para después de afeitar; preparaciones hidratantes para después del afeitado; preparaciones higiénicas en cuanto productos de tocador no medicinales; preparaciones limpiadoras de uso personal; preparaciones limpiadoras no medicamentosas para la piel; preparaciones limpiadoras no medicinales para la higiene íntima; preparaciones limpiadoras no medicinales para la piel; preparaciones limpiadoras para automóviles; preparaciones limpiadoras para cueros; preparaciones limpiadoras para pieles curtidas; preparaciones limpiadoras para tejidos; preparaciones limpiadoras y pulidoras; preparaciones limpiaparabrisas; preparaciones líquidas no medicinales para limpiar las manos; preparaciones mentoladas para el baño que no sean de uso médico; preparaciones no medicadas para el baño; preparaciones no medicadas para el baño de pies; preparaciones no medicadas para el cabello; preparaciones no medicadas para uso en la ducha; preparaciones no medicinales para aliviar las quemaduras solares; preparaciones no medicinales para el aseo de animales que no sean productos para lavarlos; preparaciones no medicinales para el baño; preparaciones no medicinales para el cuidado bucal; preparaciones no medicinales para el cuidado de la piel; preparaciones no medicinales para el cuidado de la piel, el cabello y el cuero cabelludo; preparaciones hidratantes [cosméticos]; preparaciones no medicinales para el cuidado de los labios; preparaciones no medicinales para el cuidado de los pies; preparaciones no medicinales para el cuidado del cabello; preparaciones no medicinales para el cuidado dental; preparaciones no medicinales para el cuidado dental de los animales; preparaciones no medicinales para masajes; preparaciones no saponáceas para el lavado; preparaciones para ablandar las cutículas; preparaciones para abrillantar los dientes; preparaciones para aclarar la piel [cosméticos]; preparaciones para alisar el cabello; preparaciones para antes y después de afeitar; preparaciones para antes y después del afeitado; preparaciones para atildar el cabello; preparaciones para baños de espuma; preparaciones para baños de espuma para uso cosmético; preparaciones para baños oculares que no sean para uso médico; preparaciones para blanquear; preparaciones para blanquear la piel; preparaciones para blanquear la piel [cosméticos]; preparaciones para blanquear los dientes; preparaciones para blanquear y otras sustancias para lavar la ropa; preparaciones para blanquear y preparaciones de lavandería; preparaciones para cuidados corporales y de belleza; preparaciones para dar brillo a las hojas de las plantas; preparaciones para dar brillo las frutas; preparaciones para decolorar el cabello; preparaciones para decolorar el pelo; preparaciones para desatascar cañerías; preparaciones para desatascar desagües; preparaciones para desatascar desagües y fregaderos; preparaciones para después del afeitado; preparaciones para desrizar el cabello; preparaciones para disolver pinturas; preparaciones para el afeitado en forma líquida; preparaciones para el afeitado y para después del afeitado; preparaciones para el baño de los animales; preparaciones para el baño que no sean para uso médico; preparaciones para el baño y la ducha; preparaciones para el bronceado de la piel; preparaciones para el cuidado bucal [no medicinales]; preparaciones para el cuidado bucal, no medicinales; preparaciones para el cuidado de la piel; preparaciones para el cuidado de la piel [productos cosméticos]; preparaciones para el cuidado de la piel a base de cbd; preparaciones para el cuidado de la piel, no medicinales; preparaciones para el cuidado de las uñas; preparaciones para el cuidado de los labios; preparaciones para el cuidado del cabello; preparaciones para el cuidado del cuero cabelludo y del cabello; preparaciones para el cuidado del cuerpo y la belleza; preparaciones para el cuidado dental; preparaciones para el cuidado dental de las personas; preparaciones para el cuidado dental de los animales; preparaciones para el cuidado y la belleza personal; preparaciones para el cuidado y la limpieza del cabello; preparaciones para el cuidado y limpieza de los animales; preparaciones para el lavado; preparaciones para el lavado de la ropa; preparaciones para el lavado para uso doméstico; preparaciones para el peinado; preparaciones para el peinado del cabello; preparaciones para el pulido de la madera; preparaciones para el pulido de metales; preparaciones para el pulido de vinilo; preparaciones para el pulido del cuero; preparaciones para el teñido de cabellos; preparaciones para el tratamiento de coloración permanente del cabello; preparaciones para el tratamiento de permanente de coloración del cabello; preparaciones para el tratamiento de pulido de la madera; preparaciones para eliminar la cal, el óxido o la grasa; preparaciones para fregar; preparaciones para hacer brillar las frutas; preparaciones para la ducha; preparaciones para la ducha y el baño; preparaciones para la fijación del cabello; preparaciones para la higiene dental; preparaciones para la limpieza de dentaduras postizas; preparaciones para la limpieza de los platos; preparaciones para la limpieza de superficies duras; preparaciones para la limpieza del baño; preparaciones para la limpieza del cabello; preparaciones para lavar el cabello; preparaciones para lavar frutas y hortalizas; preparaciones para lavar la cara; preparaciones para lavar la ropa; preparaciones para lavar la vajilla; preparaciones para lavar los platos; preparaciones para lavar y blanquear; preparaciones para limpiar alfombras; preparaciones para limpiar automóviles; preparaciones para limpiar carburadores y estárteres; preparaciones para limpiar cristales; preparaciones para limpiar dentaduras postizas; preparaciones para limpiar desagües; preparaciones para limpiar las hojas de las plantas; preparaciones para limpiar pisos; preparaciones para limpiar prótesis dentales; preparaciones para limpiar y hacer brillar las hojas de las plantas;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fregar y raspar; preparaciones para limpiar, lavar y pulir; preparaciones para limpiar, lustrar y fregar; preparaciones para limpiar, proteger y conservar las superficies de los vehículos; preparaciones para limpiar, pulir, desengrasar y raspar; preparaciones para limpiar, pulir, fregar y raspar; preparaciones para limpiar, teñir, colorear, decolorar, marcar y peinar el cabello; preparaciones para sacar brillo a las frutas; preparaciones para suavizar y eliminar las manchas; preparaciones para teñir el cabello; preparaciones para teñir y decolorar el cabello; preparaciones para tratamientos capilares; preparaciones perfumadas para el cuidado del cuerpo; preparaciones químicas de limpieza para uso doméstico; preparaciones sanitarias en cuanto productos de tocador no medicinales; preparaciones y productos para el cuidado de las uñas; preparaciones y sustancias depilatorias; preparaciones y sustancias para limpiar y lavar; preparaciones y sustancias para limpiar, fregar y pulir; preparacioness no medicinales para después de afeitar; preparacioness no medicinales para después del afeitado; preparación nutritiva para el cabello; preparaciónes nutritiva para el cabello; preparados blanqueadores de dientes; preparados cosméticos para el cuidado del cuerpo; preparados cosméticos para el tratamiento de la piel; preparados no medicinales para el cuidado de la piel; preparaciones para limpiarse las manos; preparaciones para lustrar, fregar y raspar;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perfumar el ambiente; preparaciones para pulir; preparaciones para pulir dentaduras postizas; preparaciones para pulir el cuero; preparaciones para pulir el vinilo; preparaciones para pulir la madera; preparaciones para pulir las tablas de snowboard; preparaciones para pulir las uñas; preparaciones para pulir los esquís; preparaciones para pulir metales; preparaciones para pulir prótesis dentales; preparaciones para pulir y raspar las tablas de snowboard; preparaciones para pulir y raspar los esquís; preparaciones para quitar ceras; preparaciones para quitar la cera de los pisos; preparaciones para quitar las cutículas; preparaciones para quitar las cutículas de uso cosmético; preparaciones para quitar o disolver pinturas y barnices; preparaciones para quitar o eliminar barnices y pinturas; preparaciones para raspar; preparaciones para raspar las tablas de snowboard; preparaciones para raspar los esquís; preparaciones para retirar uñas de gel; preparaciones para rizar el cabello; preparaciones para rizar permanente el cabello; preparados para el cuidado de la piel a base de cbd; preparados para el tratamiento de coloración permanente del cabello; preparados para el tratamiento de permanente de coloración del cabello; productos antiestáticos para uso doméstico; productos antitranspirantes [artículos de tocador]; productos aromáticos para uso doméstico; productos blanqueadores [lavandería]; productos blanqueadores de dientes; productos blanqueadores para el cuero; productos blanqueadores para lavar la ropa; productos blanqueadores para uso doméstico; productos con filtro solar; productos con filtro solar a prueba de agua; productos con filtro solar para uso cosmético; productos con filtro solar resistentes al agua; productos con pantalla solar;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afeitar; productos de aromaterapia; productos de enjuague para el cabello; productos de enjuague para el cabello [champús acondicionadores]; productos de fumigación [perfumes]; productos de glaseado para lavar la ropa; productos de jabón; productos de jabón no medicinales;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productos de limpieza para uso en azulejos; productos de limpieza para vidrios; productos de limpieza químicos en forma de gel para desagües; productos de limpieza químicos en forma de polvo para desagües; productos de limpieza químicos en forma líquida para desagües; productos de limpieza químicos para desagües; productos de limpieza ácidos para desagües; productos de maquillaje;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perfumería, inciensos y fragancias; productos de revestimiento para esculpir uñas; productos de revestimiento para esculpir uñas [productos cosméticos]; productos de textura para el cabello; productos de tocador no medicinales; productos decolorantes para el cabello; productos depilatorios; productos desengrasantes que no sean para procesos de fabricación; productos desoxidantes; productos en aerosol para refrescar el aliento; productos hidratantes antienvejecimiento; productos hidratantes para después del sol; productos hidratantes para el cabello; productos limpiadores con desodorante para lechos higiénicos de animales; productos neutralizantes para permanentes; productos no medicamentosos para refrescar el aliento; productos no medicinales para el cuidado de la piel; productos no medicinales para enjuagarse la boca y hacer gargarismos; productos no medicinales para lavarse las manos; productos no medicinales para lavarse y enjuagarse la boca; productos para ablandar las uñas; productos para aclarar el cabello; productos para aclarar la piel; productos para afilar; productos para afinar el grano de la piel; productos para alisar [lavandería]; productos para amolar; productos para blanquear los dientes; productos para dar brillo; productos para decolorar el cabello; productos para después del afeitado; productos para desrizar el cabello; productos para el cuidado de la piel, no medicinales; productos para el cuidado de las uñas; productos para eliminar las manchas producidas por animales de compañía; productos para lavar perros [champús]; productos para lavar platos; productos para limpiar papel pintado; productos para limpiar papel tapiz; productos para lustrar automóviles; productos para lustrar cromo; productos para lustrar cueros; productos para lustrar instrumentos musicales; productos para lustrar muebles; productos para lustrar pieles curtidas; productos para lustrar pisos; productos para lustrar suelos; productos para mejorar la textura de la piel; productos para perfumar el ambiente; productos para perfumar la ropa; productos para poner la ropa en remojo; productos para pulir guitarras; productos para pulir metales; productos para pulir muebles y pisos; productos para pulir muebles y suelos; productos para quitar barnices; productos para quitar lacas; productos para quitar pinturas; productos para quitar tintes; productos para refrescar el aliento; productos para refrescar el aliento que no sean para uso médico; productos para refrescar el aliento, a saber, barritas masticables de extractos de abedul; productos para refrescar la piel; productos para remojar la ropa; productos para suavizar y eliminar las manchas; productos químicos de uso doméstico para avivar los colores [lavandería]; productos y preparaciones cosméticos para el cuidado de la piel; productos y preparaciones no medicinales para el cuidado de la piel; productos y preparaciones para el cuidado del cabello; protectores labiales no medicinales; protectores solares en barra; protectores solares en stick; protectores solares para bebés; protectores solares para los labios; protectores solares para los labios [productos cosméticos]; puntas de uñas; purpurina corporal; purpurina para las uñas; quitacalas; quitaesmalte para uñas [cosméticos]; quitaesmaltes; quitaesmaltes de uñas [cosméticos]; quitamanchas; quitamanchas en forma de palito; quitamanchas en forma de stick; quitamanchas en forma de varilla; reafirmantes en gel para el cuerpo para uso cosmético; recambios de ambientadores para difusores de varillas; recambios de fragancias para ambientadores de aceites esenciales enchufables; recambios de fragancias para ambientadores electrónicos de aceites esenciales; recambios de fragancias para difusores de aceites esenciales enchufables; recambios de fragancias para difusores electrónicos de aceites esenciales; recambios de perfumes para difusores de aceites esenciales enchufables; recambios de perfumes para difusores electrónicos de aceites esenciales; recambios para dispensadores eléctricos de ambientadores; recambios para dispensadores no eléctricos de ambientadores; reparadores de uñas; revitalizantes cutáneos para uso cosmético; revitalizantes para el cabello; sprays para afeitar; sprays para el cuerpo; sprays para el cuerpo de uso cosmético; sprays para fijar el maquillaje; sprays perfumados refrescantes para tejidos; sprays perfumados refrescantes para textiles; sprays perfumados y desodorizantes para tejidos; suavizantes de telas; suavizantes de textiles; suavizantes para el cabello; suavizantes para el cabello de uso cosmético; suavizantes para la ropa; sueros antiedad multiactivos; sueros de belleza; sueros faciales; sueros faciales para uso cosmético; sueros no medicados para la piel de la cara; sueros no medicinales para la piel; sueros para el contorno de los ojos; sueros para el cuidado del cabello; sueros para el lifting facial; sueros para el peinado del cabello; sueros para la piel a base de cáñamo; sueros para uso cosmético; sustancias blanqueadoras para uso en la limpieza doméstica; sustancias de limpieza para uso doméstico; sustancias para fregar; sustancias para la lavandería; sustancias para lavar; talco; talco de tocador; talco para bebés; talco para bebés [productos de tocador]; talco para uso cosmético; talco perfumado; talco perfumado para uso cosmético; tatuajes temporales con fines cosméticos; tatuajes temporales para uso cosmético; tela abrasiva; tela de esmeril; tela de vidrio [tela abrasiva]; tela y papel abrasivos; terpenos [aceites esenciales]; terpenos en cuanto aceites esenciales; tintas para la barba; tintas para uso cosmético; tintes cosméticos; tintes de cejas; tintes de labios; tintes de labios [cosméticos]; tintes de labios para uso cosmético; tintes de pestañas; tintes de tocador; tintes labiales; tintes labiales [cosméticos]; tintes labiales [productos cosméticos]; tintes labiales para uso cosmético; tintes para cejas; tintes para el cabello; tintes para la barba; tintes para los labios; tintes para los labios [productos cosméticos]; tintes para pestañas; tintes temporales para hacer mechas; tintes y decolorantes para el cabello; tinturas para el cabello; tinturas para el cabello [tintes]; tiras abrasivas; tiras blanqueadoras de dientes impregnadas con preparaciones blanqueadoras [cosméticos]; tiras blanqueadoras dentales; tiras de cera para la depilación; tiras para eliminar los comedones; tiras para eliminar los puntos negros; tiras para refrescar el aliento; tiza para limpiar; tiza para maquillaje; tiza para uso cosmético; toallas de papel para las manos impregnadas de cosméticos; toallas de papel para las manos impregnadas de productos cosméticos; toallitas antiestáticas para secadora; toallitas antiestáticas para secadoras de ropa; toallitas atrapacolor para la colada; toallitas atrapacolor para la ropa; toallitas cosméticas impregnadas; toallitas cosméticas prehumedecidas; toallitas de limpieza prehumedecidas; toallitas de limpieza preimpregnadas; toallitas de papel húmedas para limpiar la vajilla; toallitas desechables impregnadas con preparados cosméticos para bebés; toallitas desechables impregnadas con preparados de limpieza para bebés; toallitas desechables impregnadas de agua de colonia; toallitas desechables impregnadas de colonia; toallitas húmedas con preparaciones de limpieza para uso doméstico; toallitas húmedas impregnadas con detergente; toallitas húmedas para uso higiénico y cosmético; toallitas impregnadas con desodorantes para uso personal; toallitas impregnadas con detergente para la vajilla; toallitas impregnadas con preparaciones de limpieza para animales de compañía; toallitas impregnadas con preparaciones de limpieza para mascotas; toallitas impregnadas con preparados antitranspirantes para uso personal; toallitas impregnadas con preparados cosméticos; toallitas impregnadas con preparados de bronceador; toallitas impregnadas con preparados de limpieza personal; toallitas impregnadas con preparados para el cuidado de la piel; toallitas impregnadas con sustancias cosméticas; toallitas impregnadas con un limpiador de la piel; toallitas impregnadas de aceites esenciales, para uso cosmético; toallitas impregnadas de lociones cosméticas; toallitas impregnadas de preparaciones desmaquillantes; toallitas impregnadas de productos cosméticos; toallitas impregnadas de productos limpiadores para la piel; toallitas limpiadoras para el rostro; toallitas o paños impregnados de productos limpiadores para la piel; toallitas para bebés; toallitas para bebés impregnadas de preparaciones de limpieza; toallitas para el rostro; toallitas para la colada impregnadas con detergente; toallitas para la colada impregnadas con suavizante; toallitas para la higiene femenina; toallitas pre-humedecidas impregnadas con líquido para lavar platos; tonificantes para el cabello; tonificantes para el cabello para uso cosmético; transferencias de tatuajes removibles; transferencias temporal de tatuajes; tratamientos de alisado para el cabello; tratamientos de cera para el cabello; tratamientos de permanente del cabello; tratamientos de permanente para el cabello; tratamientos de queratina para el cabello; tratamientos para permanentes capilares; trementina para desengrasar; trozos de papel de lija para afilar lápices de dibujo; trípoli para pulir; tónicos clarificadores faciales; tónicos cosméticos; tónicos cosméticos para el rostro; tónicos cosméticos para la cara; tónicos faciales; tónicos faciales [cosméticos]; tónicos faciales clarificantes; tónicos faciales revitalizantes; tónicos no medicinales para la piel; tónicos para la piel para uso cosmético; tónicos para uso cosmético; tónicos revitalizantes faciales; uñas postizas; uñas postizas de metales preciosos; uñas postizas para los dedos de los pies; vainillina sintética [productos de perfumería]; varillas de incienso; varitas de incienso; velas de masaje para uso cosmético; veneno de abeja con fines cosméticos; álcali volátil [amoniaco] [detergente]; ámbar [productos de perfumería]; ámbar gris; ámbar gris [perfume]; revitalizantes para el cabello de uso cosmético; revitalizantes para la piel; rodillos abrasivos; rojo de joyero; rojo para pulir; rubores para las mejillas; saborizantes alimentarios [aceites esenciales]; saborizantes alimentarios en cuanto aceites esenciales; saborizantes de pastelería [aceites esenciales]; saborizantes de pasteles en cuanto aceites esenciales; saborizantes para batidos de leche [aceites esenciales]; saborizantes para bebidas [aceites esenciales]; saborizantes para bebidas en cuanto aceites esenciales; safrol; sales blanqueadoras; sales de baño; sales de baño cosméticas; sales de baño no medicinales; sales de baño para uso cosmético; sales de baño perfumadas; sales de baño que no sean para uso médico; sales para el baño; sangre falsa; sangre falsa [maquillaje de teatro]; saquitos perfumados; serum calmante para la piel; serum de corrección para el contorno de los ojos; serum para calmar la piel [cosmético]; serum para el contorno de ojos; soda [cenizas] para limpiar; soda para blanquear; soluciones de rizado permanente en frío; soluciones decapantes; soluciones limpiadoras para aparatos odontológicos de esterilización por ultrasonidos; soluciones para el lavado de la cara a base de gel, no medicinales; soluciones para el lavado de la cara a base de jabón, no medicinales; soluciones para el lavado de la cara sin aclarado, no medicinales; soluciones para el lavado de manos a base de gel, no medicinales; soluciones para el lavado de manos a base de jabón, no medicinales; soluciones para el lavado de manos sin aclarado, no medicinales; soluciones para limpiar lentes de anteojos; soluciones para limpiar lentes de gafas; soluciones para permanentes en frío; solventes desengrasantes, que no sean para procesos de fabricación; solventes limpiadores, que no sean para procesos de fabricación; sombras de ojos; sombras de ojos en polvo o en lápiz; sombras de párpados; sosa [cenizas] para limpiar; sosa para blanquear; souflés corporal [preparaciones perfumadas para el cuidado del cuerpo]; souflés corporal en cuanto preparaciones perfumadas para el cuidado del cuerpo; sprays antiestática para prendas de vestir; sprays de agua mineral para uso cosmético; sprays depilatorios.
</x:t>
        </x:is>
      </x:c>
      <x:c r="L698" s="3" t="inlineStr">
        <x:is>
          <x:t>Sí</x:t>
        </x:is>
      </x:c>
      <x:c r="M698" s="3" t="inlineStr">
        <x:is>
          <x:t/>
        </x:is>
      </x:c>
      <x:c r="N698" s="3" t="inlineStr">
        <x:is>
          <x:t/>
        </x:is>
      </x:c>
      <x:c r="O698" s="3" t="inlineStr">
        <x:is>
          <x:t>17 mar. 2023</x:t>
        </x:is>
      </x:c>
      <x:c r="P698" s="3" t="inlineStr">
        <x:is>
          <x:t/>
        </x:is>
      </x:c>
      <x:c r="Q698" s="3" t="inlineStr">
        <x:is>
          <x:t/>
        </x:is>
      </x:c>
    </x:row>
    <x:row r="699">
      <x:c r="A699" s="10" t="inlineStr">
        <x:f xml:space="preserve">HYPERLINK("http://sipi.sic.gov.co/sipi/View.ashx?4510604","SD2022/0131745")</x:f>
      </x:c>
      <x:c r="B699" s="3" t="inlineStr">
        <x:is>
          <x:t>SKIN MIRACLE</x:t>
        </x:is>
      </x:c>
      <x:c r="C699" s="9" t="inlineStr">
        <x:is>
          <x:t/>
        </x:is>
      </x:c>
      <x:c r="D699" s="3" t="inlineStr">
        <x:is>
          <x:t>19 dic. 2022</x:t>
        </x:is>
      </x:c>
      <x:c r="E699" s="3" t="inlineStr">
        <x:is>
          <x:t/>
        </x:is>
      </x:c>
      <x:c r="F699" s="3" t="inlineStr">
        <x:is>
          <x:t>Negada</x:t>
        </x:is>
      </x:c>
      <x:c r="G699" s="3" t="inlineStr">
        <x:is>
          <x:t>C-5-1449</x:t>
        </x:is>
      </x:c>
      <x:c r="H699" s="3" t="inlineStr">
        <x:is>
          <x:t>GLORIA ISABEL  DIAZ OCHOA, CALLE 79 C SUR 54 66 BOD 7, LA ESTRELLA, ANTIOQUIA, CO</x:t>
        </x:is>
      </x:c>
      <x:c r="I699" s="3" t="inlineStr">
        <x:is>
          <x:t>3</x:t>
        </x:is>
      </x:c>
      <x:c r="J699" s="3" t="inlineStr">
        <x:is>
          <x:t>11</x:t>
        </x:is>
      </x:c>
      <x:c r="K699" s="3" t="inlineStr">
        <x:is>
          <x:t>3. Cosméticos, cremas, cremas cosméticas, lociones para uso cosmético, preparaciones cosméticas para el baño, preparaciones cosméticas para el bronceado de la piel, preparaciones de aloe vera para uso cosmético, cremas corporales, cremas corporales [cosméticos], cremas reafirmantes corporales, mascarillas corporales en forma de cremas, lociones y cremas corporales perfumadas, mascarillas corporales en forma de cremas para uso cosmético, cremas faciales, cremas faciales para uso cosmético, cremas orgánicas de estiramiento facial, polvos faciales en crema, cremas no medicadas para exfoliantes faciales.
</x:t>
        </x:is>
      </x:c>
      <x:c r="L699" s="3" t="inlineStr">
        <x:is>
          <x:t>No</x:t>
        </x:is>
      </x:c>
      <x:c r="M699" s="3" t="inlineStr">
        <x:is>
          <x:t>GUSTAVO ADOLFO ORTEGA HERNANDEZ, Carrera 25 #1 A SUR 155 OFC. 1355, Edificio Platinum Superior, MEDELLIN, ANTIOQUIA, CO</x:t>
        </x:is>
      </x:c>
      <x:c r="N699" s="3" t="inlineStr">
        <x:is>
          <x:t/>
        </x:is>
      </x:c>
      <x:c r="O699" s="3" t="inlineStr">
        <x:is>
          <x:t>07 mar. 2023</x:t>
        </x:is>
      </x:c>
      <x:c r="P699" s="3" t="inlineStr">
        <x:is>
          <x:t/>
        </x:is>
      </x:c>
      <x:c r="Q699" s="3" t="inlineStr">
        <x:is>
          <x:t/>
        </x:is>
      </x:c>
    </x:row>
    <x:row r="700">
      <x:c r="A700" s="10" t="inlineStr">
        <x:f xml:space="preserve">HYPERLINK("http://sipi.sic.gov.co/sipi/View.ashx?4510628","SD2022/0131758")</x:f>
      </x:c>
      <x:c r="B700" s="3" t="inlineStr">
        <x:is>
          <x:t>SA'ON</x:t>
        </x:is>
      </x:c>
      <x:c r="C700" s="9" t="inlineStr">
        <x:is>
          <x:t/>
        </x:is>
      </x:c>
      <x:c r="D700" s="3" t="inlineStr">
        <x:is>
          <x:t>19 dic. 2022</x:t>
        </x:is>
      </x:c>
      <x:c r="E700" s="3" t="inlineStr">
        <x:is>
          <x:t/>
        </x:is>
      </x:c>
      <x:c r="F700" s="3" t="inlineStr">
        <x:is>
          <x:t>Negada</x:t>
        </x:is>
      </x:c>
      <x:c r="G700" s="3" t="inlineStr">
        <x:is>
          <x:t>SA'ON</x:t>
        </x:is>
      </x:c>
      <x:c r="H700" s="3" t="inlineStr">
        <x:is>
          <x:t>CARDONA SALAZAR JESSICA PAOLA, Cll 66b n 26-11 cuba, PEREIRA, RISARALDA, CO</x:t>
        </x:is>
      </x:c>
      <x:c r="I700" s="3" t="inlineStr">
        <x:is>
          <x:t>3</x:t>
        </x:is>
      </x:c>
      <x:c r="J700" s="3" t="inlineStr">
        <x:is>
          <x:t>11</x:t>
        </x:is>
      </x:c>
      <x:c r="K700"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00" s="3" t="inlineStr">
        <x:is>
          <x:t>No</x:t>
        </x:is>
      </x:c>
      <x:c r="M700" s="3" t="inlineStr">
        <x:is>
          <x:t/>
        </x:is>
      </x:c>
      <x:c r="N700" s="3" t="inlineStr">
        <x:is>
          <x:t/>
        </x:is>
      </x:c>
      <x:c r="O700" s="3" t="inlineStr">
        <x:is>
          <x:t>07 mar. 2023</x:t>
        </x:is>
      </x:c>
      <x:c r="P700" s="3" t="inlineStr">
        <x:is>
          <x:t/>
        </x:is>
      </x:c>
      <x:c r="Q700" s="3" t="inlineStr">
        <x:is>
          <x:t/>
        </x:is>
      </x:c>
    </x:row>
    <x:row r="701">
      <x:c r="A701" s="10" t="inlineStr">
        <x:f xml:space="preserve">HYPERLINK("http://sipi.sic.gov.co/sipi/View.ashx?4512295","SD2022/0132144")</x:f>
      </x:c>
      <x:c r="B701" s="3" t="inlineStr">
        <x:is>
          <x:t>CURLY CROWN SECRETS</x:t>
        </x:is>
      </x:c>
      <x:c r="C701" s="3" t="inlineStr">
        <x:is>
          <x:t/>
        </x:is>
      </x:c>
      <x:c r="D701" s="3" t="inlineStr">
        <x:is>
          <x:t>19 dic. 2022</x:t>
        </x:is>
      </x:c>
      <x:c r="E701" s="3" t="inlineStr">
        <x:is>
          <x:t/>
        </x:is>
      </x:c>
      <x:c r="F701" s="3" t="inlineStr">
        <x:is>
          <x:t>Negada</x:t>
        </x:is>
      </x:c>
      <x:c r="G701" s="3" t="inlineStr">
        <x:is>
          <x:t>MARCANDINAS</x:t>
        </x:is>
      </x:c>
      <x:c r="H701" s="3" t="inlineStr">
        <x:is>
          <x:t>AUDREY CORREA GIRALDO, SIN ESTABLECER, CALI, VALLE DEL CAUCA, CO</x:t>
        </x:is>
      </x:c>
      <x:c r="I701" s="3" t="inlineStr">
        <x:is>
          <x:t>3, 38</x:t>
        </x:is>
      </x:c>
      <x:c r="J701" s="3" t="inlineStr">
        <x:is>
          <x:t>11</x:t>
        </x:is>
      </x:c>
      <x:c r="K701" s="3" t="inlineStr">
        <x:is>
          <x:t>3. COSMÉTICOS CAPILARES Y CORPORALES TALES COMO: CHAMPÚS, PREPARACIONES COSMÉTICAS DE TRATAMIENTO (NO MEDICINALES), GELES, LOCIONES CAPILARES Y CORPORALES, PREPARACIONES PARA ALISAR EL CABELLO, MASCARILLAS DE BELLEZA, TINTES COSMÉTICOS, CREMAS CORPORALES, ACONDICIONADORES, CREMAS PARA PEINAR, ACEITES COSMÉTICOS, PREPARACIONES PARA EL CUIDADO DEL CABELLO A BASE DE SILICONAS, LOCIONES PARA EL CUIDADO DEL CABELLO, MAQUILLAJE, SUEROS CAPILARES Y FACIALES, SPRAYS DESENREDANTES, TÓNICOS CAPILARES.
38. TELECOMUNICACIONES; CANAL INFORMATIVO CON AUDIO Y VÍDEOS DE USO DE NUESTROS PRODUCTOS COSMÉTICOS PARA ENSEÑAR A LA GENTE SU CORRECTO USO Y PODER DESCRIBIR LAS VENTAJAS DE LOS MISMOS; PROVISIÓN DE CANALES DE TELECOMUNICACIÓN PARA SERVICIOS DE TELEVENTA; SERVICIOS DE COMUNICACIÓN POR TELEFONÍA MÓVIL; COMUNICACIONES POR TERMINALES DE ORDENADOR O COMPUTADORA; COMUNICACIONES TELEFÓNICAS, ENVÍO DE MENSAJES; PROVISIÓN DE FOROS DE DISCUSIÓN [CHATS] EN INTERNET Y EN LÍNEA; TRANSMISIÓN DE ARCHIVOS DIGITALES / TRANSMISIÓN DE ARCHIVOS INFORMÁTICOS; TRANSMISIÓN DE MENSAJES E IMÁGENES ASISTIDA POR ORDENADOR O COMPUTADORA; TRANSMISIÓN DE VÍDEO A LA CARTA; TRANSMISIÓN POR SATÉLITE, SERVICIOS DE VIDEOCONFERENCIA.
</x:t>
        </x:is>
      </x:c>
      <x:c r="L701" s="3" t="inlineStr">
        <x:is>
          <x:t>No</x:t>
        </x:is>
      </x:c>
      <x:c r="M701" s="3" t="inlineStr">
        <x:is>
          <x:t>FERNANDO HIGUERA RODRIGUEZ, Cra. 7 # 17-51 Ofiicna 709, BOGOTÁ, D.C., CO</x:t>
        </x:is>
      </x:c>
      <x:c r="N701" s="3" t="inlineStr">
        <x:is>
          <x:t/>
        </x:is>
      </x:c>
      <x:c r="O701" s="3" t="inlineStr">
        <x:is>
          <x:t>16 feb. 2023</x:t>
        </x:is>
      </x:c>
      <x:c r="P701" s="3" t="inlineStr">
        <x:is>
          <x:t/>
        </x:is>
      </x:c>
      <x:c r="Q701" s="3" t="inlineStr">
        <x:is>
          <x:t/>
        </x:is>
      </x:c>
    </x:row>
    <x:row r="702">
      <x:c r="A702" s="10" t="inlineStr">
        <x:f xml:space="preserve">HYPERLINK("http://sipi.sic.gov.co/sipi/View.ashx?4512358","SD2022/0132169")</x:f>
      </x:c>
      <x:c r="B702" s="3" t="inlineStr">
        <x:is>
          <x:t>BTL </x:t>
        </x:is>
      </x:c>
      <x:c r="C702" s="9" t="inlineStr">
        <x:is>
          <x:t/>
        </x:is>
      </x:c>
      <x:c r="D702" s="3" t="inlineStr">
        <x:is>
          <x:t>19 dic. 2022</x:t>
        </x:is>
      </x:c>
      <x:c r="E702" s="3" t="inlineStr">
        <x:is>
          <x:t/>
        </x:is>
      </x:c>
      <x:c r="F702" s="3" t="inlineStr">
        <x:is>
          <x:t>Negada</x:t>
        </x:is>
      </x:c>
      <x:c r="G702" s="3" t="inlineStr">
        <x:is>
          <x:t>BTL</x:t>
        </x:is>
      </x:c>
      <x:c r="H702" s="3" t="inlineStr">
        <x:is>
          <x:t>DINISLEY JUDITH RODRIGUEZ CHARRIS, CALLE 9 N° 1 - 69, SANTO TOMAS, ATLÁNTICO 083060, CO</x:t>
        </x:is>
      </x:c>
      <x:c r="I702" s="3" t="inlineStr">
        <x:is>
          <x:t>3</x:t>
        </x:is>
      </x:c>
      <x:c r="J702" s="3" t="inlineStr">
        <x:is>
          <x:t>11</x:t>
        </x:is>
      </x:c>
      <x:c r="K702" s="3" t="inlineStr">
        <x:is>
          <x:t>3. Bálsamos capilares; champús capilares; cremas capilares; decolorantes capilares; lociones capilares cosméticas; mascarillas para el cuidado capilar; bases para esmaltes de uñas; esmaltes de base para las uñas [productos cosméticos]; esmaltes de uñas; esmaltes de uñas en gel; kits para el cuidado de las uñas que comprenden principalmente esmaltes de uñas, quitaesmaltes y uñas postizas; quitaesmaltes; quitaesmaltes de uñas [cosméticos]; preparaciones de tintes capilares; tintes para cejas; tintes para el cabello; tintes y decolorantes para el cabello; tratamientos de queratina para el cabello.
</x:t>
        </x:is>
      </x:c>
      <x:c r="L702" s="3" t="inlineStr">
        <x:is>
          <x:t>No</x:t>
        </x:is>
      </x:c>
      <x:c r="M702" s="3" t="inlineStr">
        <x:is>
          <x:t/>
        </x:is>
      </x:c>
      <x:c r="N702" s="3" t="inlineStr">
        <x:is>
          <x:t/>
        </x:is>
      </x:c>
      <x:c r="O702" s="3" t="inlineStr">
        <x:is>
          <x:t>07 mar. 2023</x:t>
        </x:is>
      </x:c>
      <x:c r="P702" s="3" t="inlineStr">
        <x:is>
          <x:t/>
        </x:is>
      </x:c>
      <x:c r="Q702" s="3" t="inlineStr">
        <x:is>
          <x:t/>
        </x:is>
      </x:c>
    </x:row>
    <x:row r="703">
      <x:c r="A703" s="10" t="inlineStr">
        <x:f xml:space="preserve">HYPERLINK("http://sipi.sic.gov.co/sipi/View.ashx?4512412","SD2022/0132176")</x:f>
      </x:c>
      <x:c r="B703" s="3" t="inlineStr">
        <x:is>
          <x:t>NEUTRADERM </x:t>
        </x:is>
      </x:c>
      <x:c r="C703" s="3" t="inlineStr">
        <x:is>
          <x:t/>
        </x:is>
      </x:c>
      <x:c r="D703" s="3" t="inlineStr">
        <x:is>
          <x:t>19 dic. 2022</x:t>
        </x:is>
      </x:c>
      <x:c r="E703" s="3" t="inlineStr">
        <x:is>
          <x:t/>
        </x:is>
      </x:c>
      <x:c r="F703" s="3" t="inlineStr">
        <x:is>
          <x:t>Negada</x:t>
        </x:is>
      </x:c>
      <x:c r="G703" s="3" t="inlineStr">
        <x:is>
          <x:t>M2022/001094</x:t>
        </x:is>
      </x:c>
      <x:c r="H703" s="3" t="inlineStr">
        <x:is>
          <x:t> FINANCIERE BATTEUR, SAS, AVENUE DU GENERAL DE GAULLE 14200, HEROUVILLE-SAINT-CLAIR, CALVADOS, FR</x:t>
        </x:is>
      </x:c>
      <x:c r="I703" s="3" t="inlineStr">
        <x:is>
          <x:t>3, 5</x:t>
        </x:is>
      </x:c>
      <x:c r="J703" s="3" t="inlineStr">
        <x:is>
          <x:t>11</x:t>
        </x:is>
      </x:c>
      <x:c r="K703" s="3" t="inlineStr">
        <x:is>
          <x:t>3. Productos de higiene y tocador, jabones supergrasos, perfumes, cosméticos, lociones para el cabello; leches y geles limpiadores, lociones tónicas, cremas, champús, geles de ducha y cremas de ducha; cremas de manos, barra de labios; agua y leche desmaquillantes, cremas limpiadoras, lociones faciales, lociones faciales y corporales, aceite corporal, gel limpiador y purificante para el rostro; duchas vaginales para la higiene íntima o en cuanto desodorantes; preparaciones de higiene íntima para uso sanitario o utilizadas como desodorantes; preparaciones limpiadoras no medicinales para la higiene íntima; preparaciones de higiene en cuanto productos de tocador.
5. Preparaciones higiénicas para uso médico; preparaciones sanitarias de higiene personal que no sean productos de tocador.
</x:t>
        </x:is>
      </x:c>
      <x:c r="L703" s="3" t="inlineStr">
        <x:is>
          <x:t>Sí</x:t>
        </x:is>
      </x:c>
      <x:c r="M703" s="3" t="inlineStr">
        <x:is>
          <x:t>JUAN GUILLERMO MOURE PEREZ, CARRERA 5 No. 34-03, BOGOTÁ, D.C., CO</x:t>
        </x:is>
      </x:c>
      <x:c r="N703" s="3" t="inlineStr">
        <x:is>
          <x:t/>
        </x:is>
      </x:c>
      <x:c r="O703" s="3" t="inlineStr">
        <x:is>
          <x:t>09 jun. 2023</x:t>
        </x:is>
      </x:c>
      <x:c r="P703" s="3" t="inlineStr">
        <x:is>
          <x:t/>
        </x:is>
      </x:c>
      <x:c r="Q703" s="3" t="inlineStr">
        <x:is>
          <x:t/>
        </x:is>
      </x:c>
    </x:row>
    <x:row r="704">
      <x:c r="A704" s="10" t="inlineStr">
        <x:f xml:space="preserve">HYPERLINK("http://sipi.sic.gov.co/sipi/View.ashx?4512534","SD2022/0132199")</x:f>
      </x:c>
      <x:c r="B704" s="3" t="inlineStr">
        <x:is>
          <x:t>LUXE</x:t>
        </x:is>
      </x:c>
      <x:c r="C704" s="9" t="inlineStr">
        <x:is>
          <x:t/>
        </x:is>
      </x:c>
      <x:c r="D704" s="3" t="inlineStr">
        <x:is>
          <x:t>19 dic. 2022</x:t>
        </x:is>
      </x:c>
      <x:c r="E704" s="3" t="inlineStr">
        <x:is>
          <x:t/>
        </x:is>
      </x:c>
      <x:c r="F704" s="3" t="inlineStr">
        <x:is>
          <x:t>Negada</x:t>
        </x:is>
      </x:c>
      <x:c r="G704" s="3" t="inlineStr">
        <x:is>
          <x:t>REGISTRO TRIDIMENSIONAL LUXE I</x:t>
        </x:is>
      </x:c>
      <x:c r="H704" s="3" t="inlineStr">
        <x:is>
          <x:t>JUAN DAVID SAÑUDO OCHOA, CR 80 CL 20A 55, MEDELLIN, ANTIOQUIA 050010, CO</x:t>
        </x:is>
      </x:c>
      <x:c r="I704" s="3" t="inlineStr">
        <x:is>
          <x:t>3</x:t>
        </x:is>
      </x:c>
      <x:c r="J704" s="3" t="inlineStr">
        <x:is>
          <x:t>11</x:t>
        </x:is>
      </x:c>
      <x:c r="K70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04" s="3" t="inlineStr">
        <x:is>
          <x:t>No</x:t>
        </x:is>
      </x:c>
      <x:c r="M704" s="3" t="inlineStr">
        <x:is>
          <x:t/>
        </x:is>
      </x:c>
      <x:c r="N704" s="3" t="inlineStr">
        <x:is>
          <x:t/>
        </x:is>
      </x:c>
      <x:c r="O704" s="3" t="inlineStr">
        <x:is>
          <x:t>06 feb. 2023</x:t>
        </x:is>
      </x:c>
      <x:c r="P704" s="3" t="inlineStr">
        <x:is>
          <x:t/>
        </x:is>
      </x:c>
      <x:c r="Q704" s="3" t="inlineStr">
        <x:is>
          <x:t/>
        </x:is>
      </x:c>
    </x:row>
    <x:row r="705">
      <x:c r="A705" s="10" t="inlineStr">
        <x:f xml:space="preserve">HYPERLINK("http://sipi.sic.gov.co/sipi/View.ashx?4512546","SD2022/0132203")</x:f>
      </x:c>
      <x:c r="B705" s="3" t="inlineStr">
        <x:is>
          <x:t>LUXE</x:t>
        </x:is>
      </x:c>
      <x:c r="C705" s="9" t="inlineStr">
        <x:is>
          <x:t/>
        </x:is>
      </x:c>
      <x:c r="D705" s="3" t="inlineStr">
        <x:is>
          <x:t>19 dic. 2022</x:t>
        </x:is>
      </x:c>
      <x:c r="E705" s="3" t="inlineStr">
        <x:is>
          <x:t/>
        </x:is>
      </x:c>
      <x:c r="F705" s="3" t="inlineStr">
        <x:is>
          <x:t>Negada</x:t>
        </x:is>
      </x:c>
      <x:c r="G705" s="3" t="inlineStr">
        <x:is>
          <x:t>REGISTRO TRIDIMENSIONAL LUXE II</x:t>
        </x:is>
      </x:c>
      <x:c r="H705" s="3" t="inlineStr">
        <x:is>
          <x:t>JUAN DAVID SAÑUDO OCHOA, CR 80 CL 20A 55, MEDELLIN, ANTIOQUIA 050010, CO</x:t>
        </x:is>
      </x:c>
      <x:c r="I705" s="3" t="inlineStr">
        <x:is>
          <x:t>3</x:t>
        </x:is>
      </x:c>
      <x:c r="J705" s="3" t="inlineStr">
        <x:is>
          <x:t>11</x:t>
        </x:is>
      </x:c>
      <x:c r="K70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05" s="3" t="inlineStr">
        <x:is>
          <x:t>No</x:t>
        </x:is>
      </x:c>
      <x:c r="M705" s="3" t="inlineStr">
        <x:is>
          <x:t/>
        </x:is>
      </x:c>
      <x:c r="N705" s="3" t="inlineStr">
        <x:is>
          <x:t/>
        </x:is>
      </x:c>
      <x:c r="O705" s="3" t="inlineStr">
        <x:is>
          <x:t>27 feb. 2023</x:t>
        </x:is>
      </x:c>
      <x:c r="P705" s="3" t="inlineStr">
        <x:is>
          <x:t/>
        </x:is>
      </x:c>
      <x:c r="Q705" s="3" t="inlineStr">
        <x:is>
          <x:t/>
        </x:is>
      </x:c>
    </x:row>
    <x:row r="706">
      <x:c r="A706" s="10" t="inlineStr">
        <x:f xml:space="preserve">HYPERLINK("http://sipi.sic.gov.co/sipi/View.ashx?4512779","SD2022/0132252")</x:f>
      </x:c>
      <x:c r="B706" s="3" t="inlineStr">
        <x:is>
          <x:t>Ritual Ancestral</x:t>
        </x:is>
      </x:c>
      <x:c r="C706" s="9" t="inlineStr">
        <x:is>
          <x:t/>
        </x:is>
      </x:c>
      <x:c r="D706" s="3" t="inlineStr">
        <x:is>
          <x:t>20 dic. 2022</x:t>
        </x:is>
      </x:c>
      <x:c r="E706" s="3" t="inlineStr">
        <x:is>
          <x:t/>
        </x:is>
      </x:c>
      <x:c r="F706" s="3" t="inlineStr">
        <x:is>
          <x:t>Negada</x:t>
        </x:is>
      </x:c>
      <x:c r="G706" s="3" t="inlineStr">
        <x:is>
          <x:t>Ritual ANCESTRAL</x:t>
        </x:is>
      </x:c>
      <x:c r="H706" s="3" t="inlineStr">
        <x:is>
          <x:t>CAMILA LOPERA DUQUE, cra 76 a 53 N. 35, MEDELLIN, ANTIOQUIA, CO</x:t>
        </x:is>
      </x:c>
      <x:c r="I706" s="3" t="inlineStr">
        <x:is>
          <x:t>3</x:t>
        </x:is>
      </x:c>
      <x:c r="J706" s="3" t="inlineStr">
        <x:is>
          <x:t>11</x:t>
        </x:is>
      </x:c>
      <x:c r="K706" s="3" t="inlineStr">
        <x:is>
          <x:t>3. Aceites destilados para el cuidado de belleza; bálsamos de belleza (cremas); cosméticos de belleza; cosméticos para tratamiento de belleza cosméticos para el cuidado de belleza; cremas balsámicas de belleza; cremas de belleza; cremas de belleza para el cuerpo; cremas de belleza para el rostro y el cuerpo; geles de belleza; leches de belleza; lociones de belleza; mascarillas de belleza; mascarillas de belleza para el cabello; mascarillas de belleza para las manos; mascarillas faciales de belleza; preparaciones de cuidado corporal y de belleza para uso cosmético; preparaciones para cuidados corporales y de belleza; preparaciones para el cuidado del cuerpo y la belleza; preparaciones para el cuidado y la belleza personal; productos cosméticos y de belleza; abrillantadores capilares; adhesivos para postizos capilares; bálsamos capilares; bálsamos capilares no medicinales; champús capilares; cremas capilares; cremas de protección capilar, no medicinales; decolorantes capilares; fijadores capilares; geles capilares; lociones capilares cosméticas; lociones capilares no medicinales; lociones capilares reparadoras no medicamentosas; lociones capilares reparadoras no medicinales; lociones capilares*;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preparaciones de tintes capilares; preparaciones para tratamientos capilares; productos de perfumería, aceites esenciales, cosméticos no medicinales, lociones capilares no medicinales; productos de perfumería, aceites esenciales, cosméticos, lociones capilares; tratamientos para permanentes capilares; cremas no medicinales para el tratamiento del cuero cabelludo; preparaciones cosméticas para el cuidado y el tratamiento de la piel; tratamientos de alisado para el cabello; tratamientos de cera para el cabello; tratamientos de queratina para el cabello.
</x:t>
        </x:is>
      </x:c>
      <x:c r="L706" s="3" t="inlineStr">
        <x:is>
          <x:t>Sí</x:t>
        </x:is>
      </x:c>
      <x:c r="M706" s="3" t="inlineStr">
        <x:is>
          <x:t/>
        </x:is>
      </x:c>
      <x:c r="N706" s="3" t="inlineStr">
        <x:is>
          <x:t/>
        </x:is>
      </x:c>
      <x:c r="O706" s="3" t="inlineStr">
        <x:is>
          <x:t>17 mar. 2023</x:t>
        </x:is>
      </x:c>
      <x:c r="P706" s="3" t="inlineStr">
        <x:is>
          <x:t/>
        </x:is>
      </x:c>
      <x:c r="Q706" s="3" t="inlineStr">
        <x:is>
          <x:t/>
        </x:is>
      </x:c>
    </x:row>
    <x:row r="707">
      <x:c r="A707" s="10" t="inlineStr">
        <x:f xml:space="preserve">HYPERLINK("http://sipi.sic.gov.co/sipi/View.ashx?4512935","SD2022/0132282")</x:f>
      </x:c>
      <x:c r="B707" s="3" t="inlineStr">
        <x:is>
          <x:t>ALAMA PERFUMES </x:t>
        </x:is>
      </x:c>
      <x:c r="C707" s="3" t="inlineStr">
        <x:is>
          <x:t/>
        </x:is>
      </x:c>
      <x:c r="D707" s="3" t="inlineStr">
        <x:is>
          <x:t>20 dic. 2022</x:t>
        </x:is>
      </x:c>
      <x:c r="E707" s="3" t="inlineStr">
        <x:is>
          <x:t/>
        </x:is>
      </x:c>
      <x:c r="F707" s="3" t="inlineStr">
        <x:is>
          <x:t>Negada</x:t>
        </x:is>
      </x:c>
      <x:c r="G707" s="3" t="inlineStr">
        <x:is>
          <x:t>ALMA PERFUMES</x:t>
        </x:is>
      </x:c>
      <x:c r="H707" s="3" t="inlineStr">
        <x:is>
          <x:t>maria fernanda  betancur hernandez, carrera 43 a # 45 b sur 81 casa 109, ENVIGADO, ANTIOQUIA, CO</x:t>
        </x:is>
      </x:c>
      <x:c r="I707" s="3" t="inlineStr">
        <x:is>
          <x:t>3</x:t>
        </x:is>
      </x:c>
      <x:c r="J707" s="3" t="inlineStr">
        <x:is>
          <x:t>11</x:t>
        </x:is>
      </x:c>
      <x:c r="K70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07" s="3" t="inlineStr">
        <x:is>
          <x:t>No</x:t>
        </x:is>
      </x:c>
      <x:c r="M707" s="3" t="inlineStr">
        <x:is>
          <x:t/>
        </x:is>
      </x:c>
      <x:c r="N707" s="3" t="inlineStr">
        <x:is>
          <x:t/>
        </x:is>
      </x:c>
      <x:c r="O707" s="3" t="inlineStr">
        <x:is>
          <x:t>07 mar. 2023</x:t>
        </x:is>
      </x:c>
      <x:c r="P707" s="3" t="inlineStr">
        <x:is>
          <x:t/>
        </x:is>
      </x:c>
      <x:c r="Q707" s="3" t="inlineStr">
        <x:is>
          <x:t/>
        </x:is>
      </x:c>
    </x:row>
    <x:row r="708">
      <x:c r="A708" s="10" t="inlineStr">
        <x:f xml:space="preserve">HYPERLINK("http://sipi.sic.gov.co/sipi/View.ashx?4513981","SD2022/0132609")</x:f>
      </x:c>
      <x:c r="B708" s="3" t="inlineStr">
        <x:is>
          <x:t>Luminiscience</x:t>
        </x:is>
      </x:c>
      <x:c r="C708" s="9" t="inlineStr">
        <x:is>
          <x:t/>
        </x:is>
      </x:c>
      <x:c r="D708" s="3" t="inlineStr">
        <x:is>
          <x:t>20 dic. 2022</x:t>
        </x:is>
      </x:c>
      <x:c r="E708" s="3" t="inlineStr">
        <x:is>
          <x:t/>
        </x:is>
      </x:c>
      <x:c r="F708" s="3" t="inlineStr">
        <x:is>
          <x:t>Negada</x:t>
        </x:is>
      </x:c>
      <x:c r="G708" s="3" t="inlineStr">
        <x:is>
          <x:t/>
        </x:is>
      </x:c>
      <x:c r="H708" s="3" t="inlineStr">
        <x:is>
          <x:t> ROGANS S.A.S., CL 36 15 32 OF 901 ED COLSEGUROS BRR CENTRO, BUCARAMANGA, SANTANDER, CO</x:t>
        </x:is>
      </x:c>
      <x:c r="I708" s="3" t="inlineStr">
        <x:is>
          <x:t>3, 5, 44</x:t>
        </x:is>
      </x:c>
      <x:c r="J708" s="3" t="inlineStr">
        <x:is>
          <x:t>11</x:t>
        </x:is>
      </x:c>
      <x:c r="K708" s="3" t="inlineStr">
        <x:is>
          <x:t>3. Abrasivos; aceite de almendras; aceite de gaulteria; aceite de jazmín; aceite de lavanda; aceite de rosas; aceites de limpieza; aceites de perfumería / aceites para perfumes y fragancias; aceites de tocador; aceites esenciales / aceites etéreos; aceites esenciales de cedro; aceites esenciales de cidra; aceites esenciales de limón; aceites para uso cosmético; acondicionadores para el cabello; adhesivos [pegamentos] para uso cosmético; adhesivos para pestañas postizas; adhesivos para postizos capilares; agentes de secado para lavaplatos / agentes de secado para lavavajillas; agua de Colonia; agua de lavanda; aguas de tocador; aguas perfumadas; aire comprimido enlatado para limpiar y quitar el polvo; algodón para uso cosmético / guata para uso cosmético; almidón [apresto] / almidón de apresto [lavandería] / engrudo [almidón]; almidón para dar brillo / almidón de lavandería para dar brillo; almizcle [producto de perfumería]; ámbar [productos de perfumería]; amoniaco [álcali volátil] [detergente] / álcali volátil [amoniaco] [detergente] / amoníaco [álcali volátil] [detergente]; añil de lavandería / añil para azulear la ropa / azulete; aromas [aceites esenciales]; aromatizantes alimentarios [aceites esenciales] / saborizantes alimentarios [aceites esenciales]; aromatizantes de pastelería [aceites esenciales] / saborizantes de pastelería [aceites esenciales]; aromatizantes para bebidas [aceites esenciales] / saborizantes para bebidas [aceites esenciales]; astringentes para uso cosmético; bálsamos que no sean para uso médico; bases para perfumes de flores; bastoncillos de algodón para uso cosmético / hisopos para uso cosmético; betún para el calzado; blanco de España / blanco de tiza; brillos de labios; carburo de silicio [abrasivo]; carburos metálicos [abrasivos]; cenizas volcánicas para limpiar; cera antideslizante para suelos / cera antideslizante para pisos; cera de lavandería; cera de sastre; cera de zapatero; cera depilatoria; cera para el bigote; cera para el calzado; cera para parqué; cera para pulir; ceras para suelos / ceras para pisos; champús en seco*; champús para animales [preparaciones de higiene no medicamentosas]; champús para animales de compañía [preparaciones higiénicas no medicinales]; champús*; colorantes de tocador / tintes de tocador; colorantes para el cabello / tintes para el cabello; conservantes para el cuero [betunes]; corindón [abrasivo]; corteza de quillay para lavar; cosméticos; cosméticos para animales; cosméticos para las cejas; cosméticos para pestañas; crema para aclarar la piel; cremas cosméticas; cremas para el calzado; cremas para el cuero / ceras para el cuero; cremas para pulir; decapantes para cera de parqué; decolorantes para uso cosmético; dentífricos*; desincrustantes para uso doméstico desmaquilladores; desodorantes para animales de compañía; desodorantes para personas o animales [productos de perfumería]; detergentes que no sean para procesos de fabricación ni para uso médico; diamantina [abrasivo]; duchas vaginales para la higiene íntima o en cuanto desodorantes; encáusticos / productos para pulir muebles y pisos / productos para pulir muebles y suelos; enjuagues bucales que no sean para uso médico; esencia de badiana; esencia de bergamota; esencia de menta [aceite esencial]; esencia de trementina para desengrasar / aceite de trementina para desengrasar; esencias etéreas; esmeril; estuches para pintalabios / estuches para lápices de labios; extractos de flores [productos de perfumería]; extractos de plantas para uso cosmético; geles blanqueadores para uso dental; geles de masaje que no sean para uso médico; geraniol; grasas para uso cosmético; heliotropina; henna [tinte cosmético] / alheña [tinte cosmético]; incienso*; iononas [productos de perfumería]; jabón de afeitar; jabón de almendras; jabones antitranspirantes; jabones antitranspirantes para los pies; jabones desodorantes; jabones para avivar los colores de materias textiles; jabones; jalea de petróleo para uso cosmético; lacas de uñas / esmaltes de uñas; lacas para el cabello; lápices de cejas; lápices de labios [pintalabios] / pintalabios; lápices para uso cosmético; leche de almendras para uso cosmético; leches limpiadoras de tocador; lejía; lejía de soda / lejía de sosa; líquidos antideslizantes para suelos / líquidos antideslizantes para pisos; líquidos limpiaparabrisas; lociones capilares; lociones para después del afeitado; lociones para uso cosmético; maderas aromáticas; maquillaje; máscara de pestañas; mascarillas de belleza; menta para perfumería; motivos decorativos para uso cosmético / calcomanías decorativas para uso cosmético; neceseres de cosmética; paños de limpieza impregnados con detergente; papel de esmeril; papel de lija / papel de vidrio [lija]; papel para pulir; papeles abrasivos; pastas para suavizadores de navajas de afeitar; pastillas de jabón; pegatinas decorativas para uñas / calcomanías decorativas para uñas; perfumes; peróxido de hidrógeno para uso cosmético; pestañas postizas; pez de zapatero; piedra pómez; piedras de alumbre [astringentes]; piedras para el afeitado [astringentes] / piedras astringentes para después del afeitado; piedras para pulir; piedras para suavizar; polvos de maquillaje; pomadas para uso cosmético; popurrís aromáticos; preparaciones con filtro solar; preparaciones cosméticas adelgazantes; preparaciones cosméticas para el baño; preparaciones cosméticas para el bronceado de la piel; preparaciones de aloe vera para uso cosmético; preparaciones de colágeno para uso cosmético; preparaciones de higiene íntima para uso sanitario o utilizadas como desodorantes; preparaciones de lavandería; preparaciones de tocador; preparaciones fito-cosméticas; preparaciones limpiadoras no medicinales para la higiene íntima; preparaciones para alisar el cabello; preparaciones para baños oculares que no sean para uso médico; preparaciones para bruñir; preparaciones para desatascar desagües; preparaciones para el baño que no sean de uso médico; preparaciones para limpiar prótesis dentales / preparaciones para limpiar dentaduras postizas; preparaciones para ondular el cabello; preparaciones para pulir; preparaciones para pulir prótesis dentales / preparaciones para pulir dentaduras postizas; productos antiestáticos para uso doméstico; productos antitranspirantes [artículos de tocador]; productos blanqueadores [lavandería] / productos blanqueadores para lavar la ropa; productos blanqueadores para el cuero; productos cosméticos para el cuidado de la piel; productos de afeitar; productos de fumigación [perfumes]; productos de glaseado para lavar la ropa; productos de limpieza; productos de limpieza en seco; productos de maquillaje; productos de perfumería; productos depilatorios / depilatorios; productos desengrasantes que no sean para procesos de fabricación; productos desoxidantes; productos en aerosol para refrescar el aliento; productos neutralizantes para permanentes; productos para afilar / productos para amolar; productos para alisar [lavandería]; productos para dar brillo; productos para dar brillo a las hojas de las plantas; productos para el cuidado de las uñas; productos para limpiar papel pintado / productos para limpiar papel tapiz; productos para perfumar el ambiente; productos para perfumar la ropa / bolsitas para perfumar la ropa; productos para quitar barnices; productos para quitar lacas; productos para quitar pinturas; productos para quitar tintes; productos para remojar la ropa; productos químicos de uso doméstico para avivar los colores [lavandería]; quitaesmaltes; quitamanchas; rojo para pulir / rojo de joyero; safrol; sales blanqueadoras; sales de baño que no sean para uso médico; soda [cenizas] para limpiar / sosa [cenizas] para limpiar; soda para blanquear / sosa para blanquear; soluciones decapantes; suavizantes para la ropa; talco de tocador; tela de esmeril; tela de vidrio [tela abrasiva]; tela para pulir [alisar] / tela abrasiva; terpenos [aceites esenciales]; tintes cosméticos; tintes para la barba; tiras blanqueadoras dentales; tiras para refrescar el aliento; tiza para limpiar; toallitas impregnadas de lociones cosméticas; toallitas impregnadas de preparaciones desmaquillantes; trementina para desengrasar; trípoli para pulir; uñas postizas; varillas de incienso; velas de masaje para uso cosmético.
5. Abrasivos para uso odontológico; acaricidas; aceite alcanforado; aceite de hígado de bacalao; aceite de mostaza para uso médico; aceite de ricino para uso médico; aceites para uso médico; acetato de aluminio para uso farmacéutico; acetatos para uso farmacéutico; ácido gálico para uso farmacéutico; ácidos para uso farmacéutico; aconitina; adhesivos para prótesis dentales; adhesivos [pegamentos] quirúrgicos; adyuvantes para uso médico; aerosoles fríos para uso médico; agua blanca; agua de mar para baños medicinales; agua de melisa para uso farmacéutico; agua oxigenada para uso médico; aguas minerales para uso médico; aguas termales; alcaloides para uso médico; alcanfor para uso médico; alcoholes medicinales; alcohol para uso farmacéutico; aldehído fórmico para uso farmacéutico; aldehídos para uso farmacéutico; aleaciones de metales preciosos para uso odontológico; alginatos para uso farmacéutico; algodón antiséptico; algodón aséptico; algodón hidrófilo; algodón para uso médico; alguicidas; alimentos a base de albúmina para uso médico; alimentos dietéticos para uso médico; alimentos medicinales para animales; alimentos para bebés; almidón para uso dietético o farmacéutico; almohadillas de lactancia; almohadillas para juanetes; amalgamas dentales; amalgamas dentales de oro; aminoácidos para uso médico; aminoácidos para uso veterinario; analgésicos; anestésicos; anillos para los callos de los pies; antibióticos; anticonceptivos químicos; antisépticos; aplicadores en barrita para aliviar el dolor de cabeza; artículos para apósitos; astringentes para uso médico; azúcar candi para uso médico; azúcar para uso médico; bálsamo anticongelante para uso farmacéutico; bálsamo de gurjun para uso médico; bálsamos para uso médico; baños de oxígeno; bastoncillos de algodón para uso médico; bebidas dietéticas para uso médico; bicarbonato de soda para uso farmacéutico; biocidas; botellas de oxígeno llenas para uso médico; botiquines de primeros auxilios; botiquines de viaje; bragas absorbentes para la incontinencia; bragas higiénicas; bromo para uso farmacéutico; cachú para uso farmacéutico; caldos de cultivo para uso bacteriológico; calmantes; calomelano [fungicida]; cambiadores desechables para bebés; cánnabis para uso médico; cápsulas de polímeros dendriméricos para productos farmacéuticos; cápsulas para medicamentos; caramelos medicinales; carbonilo [antiparasitario]; carbón vegetal para uso farmacéutico; carne liofilizada para uso médico; cataplasmas; caucho para uso odontológico; células madre para uso médico; células madre para uso veterinario; cemento de hueso para uso quirúrgico y ortopédico; cemento para pezuñas; cementos dentales; ceras dentales para modelar; champús en seco medicinales; champús insecticidas para animales; champús medicinales; champús medicinales para animales de compañía; champús pediculicidas; cigarrillos sin tabaco para uso médico; cintas adhesivas para uso médico; cloral hidratado para uso farmacéutico; cloroformo; cocaína; colágeno para uso médico; colirio; collares antiparasitarios para animales; colodión para uso farmacéutico; comida homogeneizada para uso médico; comida liofilizada para uso médico; compresas higiénicas; compresas [vendas]; conductores químicos para electrodos de electrocardiógrafo; cornezuelo del centeno para uso farmacéutico; corteza de angostura para uso médico; corteza de condurango para uso médico; corteza de crotón; corteza de mangle para uso farmacéutico; corteza de mirobálano para uso farmacéutico; cortezas para uso farmacéutico; crémor tártaro para uso farmacéutico; creosota para uso farmacéutico; cuasia para uso médico; cultivos de microorganismos para uso médico o veterinario; cultivos de tejidos biológicos para uso médico; cultivos de tejidos biológicos para uso veterinario; curare; decocciones para uso farmacéutico; dentífricos medicinales; depurativos; desecativos para uso médico, desinfectantes; desinfectantes para inodoros químicos; desinfectantes para uso higiénico; desodorantes de ambiente; desodorantes para bandejas de arena higiénica; desodorantes para prendas de vestir y materias textiles; desodorantes que no sean para personas ni para animales; detergentes para uso médico; diastasas para uso médico; digestivos para uso farmacéutico; digitalina; disolventes para quitar el esparadrapo; drogas para uso médico; duchas vaginales para uso médico; elixires [preparaciones farmacéuticas]; enjuagues bucales para uso médico; enzimas para uso médico; enzimas para uso veterinario; esencia de eneldo para uso médico; esencia de trementina para uso farmacéutico; esparadrapos; esponjas anticonceptivas; esponjas vulnerarias; ésteres de celulosa para uso farmacéutico; ésteres para uso farmacéutico; esteroides; estricnina, éteres de celulosa para uso farmacéutico; éteres para uso farmacéutico; eucaliptol para uso farmacéutico; eucalipto para uso farmacéutico; extractos de lúpulo para uso farmacéutico; extractos de plantas para uso farmacéutico; extractos de plantas para uso médico; extractos de tabaco [insecticidas]; fenol para uso farmacéutico; fermentos lácteos para uso farmacéutico; fermentos para uso farmacéutico; fibras alimentarias; flor de azufre para uso farmacéutico; fosfatos para uso farmacéutico; fungicidas; gasa para apósitos; gases para uso médico; gelatina para uso médico; geles de estimulación sexual; geles de masaje para uso médico; genciana para uso farmacéutico; germicidas; glicerina para uso médico; glicerofosfatos; glucosa para uso médico; goma-guta para uso médico; gomas de mascar de nicotina para dejar de fumar; gomas de mascar para uso médico; gomas para uso médico; grasa para ordeñar; grasas para uso médico; grasas para uso veterinario; guata para uso médico; guayacol para uso farmacéutico; harina de linaza para uso farmacéutico; harina de pescado para uso farmacéutico; harinas lacteadas para bebés; harinas para uso farmacéutico; hemoglobina; herbicidas; hidrastina; hidrastinina; hierbas de fumar para uso médico; hierbas medicinales; hilas para uso médico; hinojo para uso médico; hormonas para uso médico; implantes quirúrgicos compuestos de tejidos vivos; incienso repelente para insectos; infusiones medicinales; inmunoestimulantes; insecticidas; iodoformo; iodo para uso farmacéutico; ioduros alcalinos para uso farmacéutico; ioduros para uso farmacéutico; isótopos para uso médico; jabones antibacterianos; jabones desinfectantes; jabones medicinales; jalapa; jalea de petróleo para uso médico; jalea real para uso farmacéutico; jarabes para uso farmacéutico; jeringas prellenadas para uso médico; lacas dentales; lactosa para uso farmacéutico; lápices antiverrugas; lápices cáusticos; lápices hemostáticos; laxantes; leche de almendras para uso farmacéutico; leche en polvo para bebés; leche malteada para uso médico; lecitina para uso médico; levadura para uso farmacéutico; linimentos; lociones capilares medicinales; lociones medicinales para después del afeitado; lociones para uso farmacéutico; lociones para uso veterinario; lodo para baños; lodos medicinales; lubricantes sexuales; lupulina para uso farmacéutico; madera de cedro para repeler insectos; magnesia para uso farmacéutico; malta para uso farmacéutico; masillas dentales; materiales para empastes dentales; materiales para impresiones dentales, mechas azufradas [desinfectantes], medicamentos antitranspirantes; medicamentos para el estreñimiento; medicamentos para uso médico, medicamentos para uso odontológico; medicamentos para uso veterinario; medicamentos sueroterapéuticos, menta para uso farmacéutico; mentol; molesquín para uso médico; mostaza para uso farmacéutico; musgo de Irlanda para uso médico; narcóticos; nervinos; opiáceos; opio, opodeldoch; oxígeno para uso médico; palos de regaliz para uso farmacéutico; pañales-braga para bebés; pañales de natación desechables para bebés; pañales de natación reutilizables para bebés; pañales higiénicos para la incontinencia; pañales para animales de compañía; pañales para bebés; pan para diabéticos de uso médico; papel antipolillas; papel atrapamoscas; papel para sinapismos; papel reactivo para uso médico; papel reactivo para uso veterinario; parasiticidas; parches de nicotina para dejar de fumar; parches de suplementos vitamínicos; parches oculares para uso médico; pasta de azufaifa; pastas de dientes medicinales; pastillas bronceadoras; pastillas fumigantes; pastillas para uso farmacéutico; pectina para uso farmacéutico; pegamento atrapamoscas; pepsinas para uso farmacéutico; peptonas para uso farmacéutico; pesticidas; píldoras antioxidantes; píldoras para adelgazar; píldoras supresoras del apetito; plasma sanguíneo; pociones medicinales; polvo de cantáridas; polvo de pelitre; polvo de perlas para uso médico; pomadas para uso médico; porcelana para prótesis dentales; preparaciones albuminosas para uso médico; preparaciones alimenticias para bebés; preparaciones antimoho; preparaciones bacterianas para uso médico o veterinario; preparaciones bacteriológicas para uso médico o veterinario; preparaciones balsámicas para uso médico; preparaciones biológicas para uso médico; preparaciones biológicas para uso veterinario; preparaciones broncodilatadoras; preparaciones de aloe vera para uso farmacéutico; preparaciones de baño para uso médico; preparaciones de bismuto para uso farmacéutico; preparaciones de diagnóstico para uso médico; preparaciones de diagnóstico para uso veterinario; preparaciones de fitoterapia para uso médico; preparaciones de irrigación interna para uso médico; preparaciones de microorganismos para uso médico o veterinario; preparaciones de oligoelementos para el consumo humano y animal; preparaciones de tocador medicinales; preparaciones de tratamiento antipiojos [pediculicida]; preparaciones de vitaminas*; preparaciones enzimáticas para uso médico; preparaciones enzimáticas para uso veterinario; preparaciones estípticas [astringentes]; preparaciones farmacéuticas; preparaciones farmacéuticas a base de cal; preparaciones farmacéuticas para cuidar la piel; preparaciones farmacéuticas para el tratamiento anticaspa; preparaciones farmacéuticas para el tratamiento de quemaduras solares; preparaciones matamoscas; preparaciones medicinales para adelgazar; preparaciones medicinales para baños oculares; preparaciones medicinales para el crecimiento del cabello; preparaciones nutracéuticas para uso terapéutico o médico; preparaciones para el tratamiento del acné; preparaciones para esterilizar; preparaciones para esterilizar suelos; preparaciones para facilitar la dentición; preparaciones para limpiar lentes de contacto; preparaciones para reducir la actividad sexual; preparaciones químicas para diagnosticar el embarazo; preparaciones químicas para tratar el mildiu; preparaciones químicas para tratar el tizón del trigo; preparaciones químicas para tratar las enfermedades de las plantas de cereales; preparaciones químicas para tratar las enfermedades de la vid; preparaciones químicas para uso farmacéutico; preparaciones químicas para uso médico; preparaciones químicas para uso veterinario; preparaciones químico-farmacéuticas; preparaciones terapéuticas para el baño; preparaciones veterinarias; productos antibacterianos para lavar las manos; productos anticriptogámicos; productos antihemorroidales; productos antiparasitarios; productos antipolillas; productos antiúricos; productos cáusticos para uso farmacéutico; productos de fumigación para uso médico; productos de lavado insecticidas para uso veterinario; productos farmacéuticos; productos febrífugos; productos hematógenos; productos opoterápicos; productos para eliminar animales dañinos; productos para eliminar babosas; productos para eliminar larvas; productos para eliminar parásitos; productos para eliminar ratones; productos para las callosidades; productos para las quemaduras; productos para lavar animales [insecticidas]; productos para lavar el ganado [insecticidas]; productos para lavar perros [insecticidas]; productos para los callos de los pies; productos para los sabañones; productos para purificar el aire; productos químicos para tratar la filoxera; productos radioactivos para uso médico; propóleos para uso farmacéutico; protege-slips [compresas higiénicas]; pulseras impregnadas de repelente de insectos; purgantes; quebracho para uso médico; quina para uso médico; quinina para uso médico; quinoleína para uso médico; radio para uso médico; raíces de ruibarbo para uso farmacéutico; raíces medicinales; raticidas; reactivos con biomarcadores para el diagnóstico médico; reactivos químicos para uso médico o veterinario; regaliz para uso farmacéutico; rellenos dérmicos inyectables; rellenos óseos compuestos de tejidos vivos; remedios para la transpiración de los pies; repelentes de insectos; repelentes para perros; sales contra el desmayo; sales de aguas minerales; sales de baño para uso médico; sales de potasio para uso médico; sales de soda para uso médico; sales para baños de aguas minerales; sales para uso médico; sangre para uso médico; sanguijuelas para uso médico; sellos para uso farmacéutico; semen para la inseminación artificial; semillas [granos] de lino para uso farmacéutico; sinapismos; soluciones para lentes de contacto; somníferos; subnitrato de bismuto para uso farmacéutico; subproductos del procesamiento de cereales para uso dietético o médico; sueros; sulfamidas [medicamentos]; suplementos alimenticios a base de aceite de linaza; suplementos alimenticios a base de albúmina; suplementos alimenticios a base de alginatos; suplementos alimenticios a base de caseína; suplementos alimenticios a base de enzimas; suplementos alimenticios a base de germen de trigo; suplementos alimenticios a base de glucosa; suplementos alimenticios a base de jalea real; suplementos alimenticios a base de lecitina; suplementos alimenticios a base de levadura; suplementos alimenticios a base de polen; suplementos alimenticios a base de propóleos; suplementos alimenticios a base de proteínas; suplementos alimenticios a base de semillas de lino; suplementos alimenticios minerales; suplementos alimenticios para animales; suplementos de proteínas para animales; suplementos dietéticos a base de acai en polvo; suplementos dietéticos con efecto cosmético; suplementos nutricionales; supositorios; supresores del apetito para uso médico; sustancias de contraste radiológico para uso médico; sustancias dietéticas para uso médico; sustancias nutritivas para microorganismos; sustancias vesicantes; tampones higiénicos; tártaro para uso farmacéutico; té antiasmático; telas para apósitos; té medicinal; timol para uso farmacéutico; tintura de iodo; tinturas para uso médico; tisanas medicinales; toallitas impregnadas de lociones farmacéuticas; tónicos reconstituyentes [medicamentos]; trasplantes [tejidos vivos]; trementina para uso farmacéutico; ungüentos a base de mercurio; ungüentos para quemaduras solares; ungüentos para uso farmacéutico; vacunas; velas de masaje para uso terapéutico; vendajes escapulares para uso quirúrgico; vendas para apósitos; venenos; venenos bacterianos; vermífugos; zarzaparrilla para uso médico.
44. Alquiler de animales para pastar; alquiler de aparatos de peinado; alquiler de colmenas; alquiler de equipos médicos; alquiler de instalaciones sanitarias; alquiler de material para explotaciones agrícolas; alquiler de robots quirúrgicos; arreglos florales; aseo de animales; asesoramiento en materia de farmacia; asesoramiento médico para personas con discapacidad; asesoramiento sobre dietética y nutrición; asesoramiento sobre la salud; asistencia médica; asistencia veterinaria; cirugía arbórea; cirugía estética; confección de coronas [arte floral]; consultoría en el ámbito de la viticultura; cría de animales; cultivo de plantas; depilación con cera; diseño de parques y jardines [paisajismo]; eliminación de malas hierbas; exploración médica; exterminación de animales dañinos para la agricultura, la acuicultura, la horticultura y la silvicultura; fisioterapia; horticultura; implantación de cabello; jardinería; logopedia; mantenimiento del césped; masajes; perforación corporal; plantación de árboles para compensar las emisiones de carbono [sumideros de carbono]; preparación de recetas médicas por farmacéuticos; pulverización aérea o terrestre de fertilizantes y otros productos químicos para uso agrícola; quiropráctica; servicios de acuicultura; servicios de análisis médicos prestados por laboratorios médicos con fines diagnósticos y terapéuticos; servicios de aromaterapia; servicios de aseo para animales domésticos; servicios de bancos de sangre; servicios de bancos de tejidos humanos; servicios de baños públicos con fines higiénicos; servicios de baños turcos; servicios de casas de convalecencia; servicios de casas de reposo; servicios de centros de salud; servicios de clínicas médicas; servicios de comadronas; servicios de control de plagas para la agricultura, la acuicultura, la horticultura y la silvicultura; servicios de cuidados de enfermería a domicilio; servicios de cuidados paliativos; servicios de desintoxicación para toxicómanos; servicios de enfermeros; servicios de estaciones termales; servicios de estilistas [visagistas]; servicios de fecundación in vitro; servicios de hospicios [casas de asistencia]; servicios de inseminación artificial; servicios de jardineros paisajistas; servicios de manicura; servicios de medicina alternativa; servicios de odontología; servicios de ópticos; servicios de ortodoncia; servicios de peluquería; servicios de psicólogos; servicios de reforestación; servicios de residencias con asistencia médica; servicios de salones de belleza; servicios de salud; servicios de sanatorios; servicios de sauna; servicios de solárium; servicios de tatuaje; servicios de telemedicina; servicios de viticultura; servicios de viveros; servicios hospitalarios; servicios terapéuticos; terapia asistida con animales [zooterapia].
</x:t>
        </x:is>
      </x:c>
      <x:c r="L708" s="3" t="inlineStr">
        <x:is>
          <x:t>No</x:t>
        </x:is>
      </x:c>
      <x:c r="M708" s="3" t="inlineStr">
        <x:is>
          <x:t>CARLOS ALBERTO CARVAJAL MONTOYA, Carrera 2 No 74-33 , BOGOTÁ, D.C., CO</x:t>
        </x:is>
      </x:c>
      <x:c r="N708" s="3" t="inlineStr">
        <x:is>
          <x:t/>
        </x:is>
      </x:c>
      <x:c r="O708" s="3" t="inlineStr">
        <x:is>
          <x:t>27 mar. 2023</x:t>
        </x:is>
      </x:c>
      <x:c r="P708" s="3" t="inlineStr">
        <x:is>
          <x:t/>
        </x:is>
      </x:c>
      <x:c r="Q708" s="3" t="inlineStr">
        <x:is>
          <x:t/>
        </x:is>
      </x:c>
    </x:row>
    <x:row r="709">
      <x:c r="A709" s="10" t="inlineStr">
        <x:f xml:space="preserve">HYPERLINK("http://sipi.sic.gov.co/sipi/View.ashx?4514851","SD2022/0138273")</x:f>
      </x:c>
      <x:c r="B709" s="3" t="inlineStr">
        <x:is>
          <x:t>C CELLINI</x:t>
        </x:is>
      </x:c>
      <x:c r="C709" s="9" t="inlineStr">
        <x:is>
          <x:t/>
        </x:is>
      </x:c>
      <x:c r="D709" s="3" t="inlineStr">
        <x:is>
          <x:t>26 dic. 2022</x:t>
        </x:is>
      </x:c>
      <x:c r="E709" s="3" t="inlineStr">
        <x:is>
          <x:t/>
        </x:is>
      </x:c>
      <x:c r="F709" s="3" t="inlineStr">
        <x:is>
          <x:t>Negada</x:t>
        </x:is>
      </x:c>
      <x:c r="G709" s="3" t="inlineStr">
        <x:is>
          <x:t/>
        </x:is>
      </x:c>
      <x:c r="H709" s="3" t="inlineStr">
        <x:is>
          <x:t>Luis Enrique Bucheli Calvache, Manzana 30 Casa 4 Barrio Tamsagra 1, PASTO, NARIÑO, CO</x:t>
        </x:is>
      </x:c>
      <x:c r="I709" s="3" t="inlineStr">
        <x:is>
          <x:t>3, 25</x:t>
        </x:is>
      </x:c>
      <x:c r="J709" s="3" t="inlineStr">
        <x:is>
          <x:t>11</x:t>
        </x:is>
      </x:c>
      <x:c r="K70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25. Prendas de vestir, calzado, artículos de sombrerería.
</x:t>
        </x:is>
      </x:c>
      <x:c r="L709" s="3" t="inlineStr">
        <x:is>
          <x:t>No</x:t>
        </x:is>
      </x:c>
      <x:c r="M709" s="3" t="inlineStr">
        <x:is>
          <x:t/>
        </x:is>
      </x:c>
      <x:c r="N709" s="3" t="inlineStr">
        <x:is>
          <x:t/>
        </x:is>
      </x:c>
      <x:c r="O709" s="3" t="inlineStr">
        <x:is>
          <x:t>20 jun. 2023</x:t>
        </x:is>
      </x:c>
      <x:c r="P709" s="3" t="inlineStr">
        <x:is>
          <x:t/>
        </x:is>
      </x:c>
      <x:c r="Q709" s="3" t="inlineStr">
        <x:is>
          <x:t/>
        </x:is>
      </x:c>
    </x:row>
    <x:row r="710">
      <x:c r="A710" s="10" t="inlineStr">
        <x:f xml:space="preserve">HYPERLINK("http://sipi.sic.gov.co/sipi/View.ashx?4514937","SD2022/0137491")</x:f>
      </x:c>
      <x:c r="B710" s="3" t="inlineStr">
        <x:is>
          <x:t>ME by Marie Eve</x:t>
        </x:is>
      </x:c>
      <x:c r="C710" s="3" t="inlineStr">
        <x:is>
          <x:t/>
        </x:is>
      </x:c>
      <x:c r="D710" s="3" t="inlineStr">
        <x:is>
          <x:t>24 dic. 2022</x:t>
        </x:is>
      </x:c>
      <x:c r="E710" s="3" t="inlineStr">
        <x:is>
          <x:t/>
        </x:is>
      </x:c>
      <x:c r="F710" s="3" t="inlineStr">
        <x:is>
          <x:t>Negada</x:t>
        </x:is>
      </x:c>
      <x:c r="G710" s="3" t="inlineStr">
        <x:is>
          <x:t>Me by Marie Eve</x:t>
        </x:is>
      </x:c>
      <x:c r="H710" s="3" t="inlineStr">
        <x:is>
          <x:t>CLAUDIA ARMIDA MACHADO CASTRO, Calle 26 # 38-26 Torre 3 Oficina BIO26 Las palmas, MEDELLIN, ANTIOQUIA, CO</x:t>
        </x:is>
      </x:c>
      <x:c r="I710" s="3" t="inlineStr">
        <x:is>
          <x:t>3</x:t>
        </x:is>
      </x:c>
      <x:c r="J710" s="3" t="inlineStr">
        <x:is>
          <x:t>11</x:t>
        </x:is>
      </x:c>
      <x:c r="K710" s="3" t="inlineStr">
        <x:is>
          <x:t>3. Aceites, tinturas, ceras; aromatizantes, jabones; cosméticos; cremas cosméticas; cremas hidratantes; exfoliantes; emulsiones; lociones, mascarillas; hidratantes; productos para el cabello; tratamiento decolorantes para el cabello; Esmalte de uñas; vaporizadores tonificantes.
</x:t>
        </x:is>
      </x:c>
      <x:c r="L710" s="3" t="inlineStr">
        <x:is>
          <x:t>No</x:t>
        </x:is>
      </x:c>
      <x:c r="M710" s="3" t="inlineStr">
        <x:is>
          <x:t>Isabel Cristina Uribe Martínez, Calle 70 sur # 38-430 Ofi. 602, MEDELLIN, ANTIOQUIA 050044, CO</x:t>
        </x:is>
      </x:c>
      <x:c r="N710" s="3" t="inlineStr">
        <x:is>
          <x:t/>
        </x:is>
      </x:c>
      <x:c r="O710" s="3" t="inlineStr">
        <x:is>
          <x:t>27 feb. 2023</x:t>
        </x:is>
      </x:c>
      <x:c r="P710" s="3" t="inlineStr">
        <x:is>
          <x:t/>
        </x:is>
      </x:c>
      <x:c r="Q710" s="3" t="inlineStr">
        <x:is>
          <x:t/>
        </x:is>
      </x:c>
    </x:row>
    <x:row r="711">
      <x:c r="A711" s="10" t="inlineStr">
        <x:f xml:space="preserve">HYPERLINK("http://sipi.sic.gov.co/sipi/View.ashx?4514940","SD2022/0137490")</x:f>
      </x:c>
      <x:c r="B711" s="3" t="inlineStr">
        <x:is>
          <x:t>KANA DERM BEYOND BEAUTY</x:t>
        </x:is>
      </x:c>
      <x:c r="C711" s="9" t="inlineStr">
        <x:is>
          <x:t/>
        </x:is>
      </x:c>
      <x:c r="D711" s="3" t="inlineStr">
        <x:is>
          <x:t>24 dic. 2022</x:t>
        </x:is>
      </x:c>
      <x:c r="E711" s="3" t="inlineStr">
        <x:is>
          <x:t/>
        </x:is>
      </x:c>
      <x:c r="F711" s="3" t="inlineStr">
        <x:is>
          <x:t>Negada</x:t>
        </x:is>
      </x:c>
      <x:c r="G711" s="3" t="inlineStr">
        <x:is>
          <x:t>Kana Derm</x:t>
        </x:is>
      </x:c>
      <x:c r="H711" s="3" t="inlineStr">
        <x:is>
          <x:t>CLAUDIA ARMIDA MACHADO CASTRO, Calle 26 # 38-26 Torre 3 Oficina BIO26 Las palmas, MEDELLIN, ANTIOQUIA, CO</x:t>
        </x:is>
      </x:c>
      <x:c r="I711" s="3" t="inlineStr">
        <x:is>
          <x:t>3</x:t>
        </x:is>
      </x:c>
      <x:c r="J711" s="3" t="inlineStr">
        <x:is>
          <x:t>11</x:t>
        </x:is>
      </x:c>
      <x:c r="K711" s="3" t="inlineStr">
        <x:is>
          <x:t>3. Productos de belleza, cosméticos para la piel, ungüento, pomadas, bálsamos, cremas, parches cosméticos, aceites miscelares.
</x:t>
        </x:is>
      </x:c>
      <x:c r="L711" s="3" t="inlineStr">
        <x:is>
          <x:t>No</x:t>
        </x:is>
      </x:c>
      <x:c r="M711" s="3" t="inlineStr">
        <x:is>
          <x:t>Isabel Cristina Uribe Martínez, Calle 70 sur # 38-430 Ofi. 602, MEDELLIN, ANTIOQUIA 050044, CO</x:t>
        </x:is>
      </x:c>
      <x:c r="N711" s="3" t="inlineStr">
        <x:is>
          <x:t/>
        </x:is>
      </x:c>
      <x:c r="O711" s="3" t="inlineStr">
        <x:is>
          <x:t>27 mar. 2023</x:t>
        </x:is>
      </x:c>
      <x:c r="P711" s="3" t="inlineStr">
        <x:is>
          <x:t/>
        </x:is>
      </x:c>
      <x:c r="Q711" s="3" t="inlineStr">
        <x:is>
          <x:t/>
        </x:is>
      </x:c>
    </x:row>
    <x:row r="712">
      <x:c r="A712" s="10" t="inlineStr">
        <x:f xml:space="preserve">HYPERLINK("http://sipi.sic.gov.co/sipi/View.ashx?4515237","SD2022/0132966")</x:f>
      </x:c>
      <x:c r="B712" s="3" t="inlineStr">
        <x:is>
          <x:t>ALOEVELLA</x:t>
        </x:is>
      </x:c>
      <x:c r="C712" s="9" t="inlineStr">
        <x:is>
          <x:t/>
        </x:is>
      </x:c>
      <x:c r="D712" s="3" t="inlineStr">
        <x:is>
          <x:t>21 dic. 2022</x:t>
        </x:is>
      </x:c>
      <x:c r="E712" s="3" t="inlineStr">
        <x:is>
          <x:t/>
        </x:is>
      </x:c>
      <x:c r="F712" s="3" t="inlineStr">
        <x:is>
          <x:t>Negada</x:t>
        </x:is>
      </x:c>
      <x:c r="G712" s="3" t="inlineStr">
        <x:is>
          <x:t/>
        </x:is>
      </x:c>
      <x:c r="H712" s="3" t="inlineStr">
        <x:is>
          <x:t>ANDREA URIBE LLANO, Carrera 21 # 106A-31 Apto 601, BOGOTÁ, D.C., CO</x:t>
        </x:is>
      </x:c>
      <x:c r="I712" s="3" t="inlineStr">
        <x:is>
          <x:t>3</x:t>
        </x:is>
      </x:c>
      <x:c r="J712" s="3" t="inlineStr">
        <x:is>
          <x:t>11</x:t>
        </x:is>
      </x:c>
      <x:c r="K712" s="3" t="inlineStr">
        <x:is>
          <x:t>3. Aceites cosméticos; jabones cosméticos; productos cosméticos para la piel; lociones capilares*; preparaciones capilares no medicinales; champús y acondicionadores para el cabello; colorantes para el cabello; cosméticos para el cabello.
</x:t>
        </x:is>
      </x:c>
      <x:c r="L712" s="3" t="inlineStr">
        <x:is>
          <x:t>No</x:t>
        </x:is>
      </x:c>
      <x:c r="M712" s="3" t="inlineStr">
        <x:is>
          <x:t/>
        </x:is>
      </x:c>
      <x:c r="N712" s="3" t="inlineStr">
        <x:is>
          <x:t/>
        </x:is>
      </x:c>
      <x:c r="O712" s="3" t="inlineStr">
        <x:is>
          <x:t>30 dic. 2022</x:t>
        </x:is>
      </x:c>
      <x:c r="P712" s="3" t="inlineStr">
        <x:is>
          <x:t/>
        </x:is>
      </x:c>
      <x:c r="Q712" s="3" t="inlineStr">
        <x:is>
          <x:t/>
        </x:is>
      </x:c>
    </x:row>
    <x:row r="713">
      <x:c r="A713" s="10" t="inlineStr">
        <x:f xml:space="preserve">HYPERLINK("http://sipi.sic.gov.co/sipi/View.ashx?4515448","SD2022/0133074")</x:f>
      </x:c>
      <x:c r="B713" s="3" t="inlineStr">
        <x:is>
          <x:t>NICE CLEANER</x:t>
        </x:is>
      </x:c>
      <x:c r="C713" s="9" t="inlineStr">
        <x:is>
          <x:t/>
        </x:is>
      </x:c>
      <x:c r="D713" s="3" t="inlineStr">
        <x:is>
          <x:t>21 dic. 2022</x:t>
        </x:is>
      </x:c>
      <x:c r="E713" s="3" t="inlineStr">
        <x:is>
          <x:t/>
        </x:is>
      </x:c>
      <x:c r="F713" s="3" t="inlineStr">
        <x:is>
          <x:t>Negada</x:t>
        </x:is>
      </x:c>
      <x:c r="G713" s="3" t="inlineStr">
        <x:is>
          <x:t>NICE CLEANER</x:t>
        </x:is>
      </x:c>
      <x:c r="H713" s="3" t="inlineStr">
        <x:is>
          <x:t>Astrid Carolina Ávila Gélvez, calle 19a #13-66, BUCARAMANGA, SANTANDER, CO</x:t>
        </x:is>
      </x:c>
      <x:c r="I713" s="3" t="inlineStr">
        <x:is>
          <x:t>3</x:t>
        </x:is>
      </x:c>
      <x:c r="J713" s="3" t="inlineStr">
        <x:is>
          <x:t>11</x:t>
        </x:is>
      </x:c>
      <x:c r="K71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13" s="3" t="inlineStr">
        <x:is>
          <x:t>No</x:t>
        </x:is>
      </x:c>
      <x:c r="M713" s="3" t="inlineStr">
        <x:is>
          <x:t>TATIANA  ORDONEZ JONES, calle 35#12-52 oficina 225, BUCARAMANGA, SANTANDER 0000, CO</x:t>
        </x:is>
      </x:c>
      <x:c r="N713" s="3" t="inlineStr">
        <x:is>
          <x:t/>
        </x:is>
      </x:c>
      <x:c r="O713" s="3" t="inlineStr">
        <x:is>
          <x:t>16 ene. 2023</x:t>
        </x:is>
      </x:c>
      <x:c r="P713" s="3" t="inlineStr">
        <x:is>
          <x:t/>
        </x:is>
      </x:c>
      <x:c r="Q713" s="3" t="inlineStr">
        <x:is>
          <x:t/>
        </x:is>
      </x:c>
    </x:row>
    <x:row r="714">
      <x:c r="A714" s="10" t="inlineStr">
        <x:f xml:space="preserve">HYPERLINK("http://sipi.sic.gov.co/sipi/View.ashx?4515822","SD2022/0133231")</x:f>
      </x:c>
      <x:c r="B714" s="3" t="inlineStr">
        <x:is>
          <x:t>BIODOLL-OVER</x:t>
        </x:is>
      </x:c>
      <x:c r="C714" s="3" t="inlineStr">
        <x:is>
          <x:t/>
        </x:is>
      </x:c>
      <x:c r="D714" s="3" t="inlineStr">
        <x:is>
          <x:t>21 dic. 2022</x:t>
        </x:is>
      </x:c>
      <x:c r="E714" s="3" t="inlineStr">
        <x:is>
          <x:t/>
        </x:is>
      </x:c>
      <x:c r="F714" s="3" t="inlineStr">
        <x:is>
          <x:t>Negada</x:t>
        </x:is>
      </x:c>
      <x:c r="G714" s="3" t="inlineStr">
        <x:is>
          <x:t>BIODOLL-OVER</x:t>
        </x:is>
      </x:c>
      <x:c r="H714" s="3" t="inlineStr">
        <x:is>
          <x:t>Laura Daniela Rodríguez Mesa, Carrera 7C BIS 141a - 27 , BOGOTÁ, D.C., CO</x:t>
        </x:is>
      </x:c>
      <x:c r="I714" s="3" t="inlineStr">
        <x:is>
          <x:t>3, 5</x:t>
        </x:is>
      </x:c>
      <x:c r="J714" s="3" t="inlineStr">
        <x:is>
          <x:t>11</x:t>
        </x:is>
      </x:c>
      <x:c r="K714" s="3" t="inlineStr">
        <x:is>
          <x:t>3. Esencias y aceites etéreos; esencias etéreas; aceites aromáticos; aceites aromáticos para el baño; aceites brillantes para el cuerpo; aceites de aromaterapia; aceites de baño no medicinales; aceites de cáñamo a base de cbd para uso cosmético; aceites de ducha a base de cáñamo; aceites de masaje, no medicinales; aceites esenciales; aceites esenciales a base de cáñamo; aceites esenciales naturales; aceites esenciales para uso cosmético; aceites etéreos; aceites no medicados.
5. Extractos de plantas medicinales; medicinas homeopáticas.
</x:t>
        </x:is>
      </x:c>
      <x:c r="L714" s="3" t="inlineStr">
        <x:is>
          <x:t>No</x:t>
        </x:is>
      </x:c>
      <x:c r="M714" s="3" t="inlineStr">
        <x:is>
          <x:t>Matteo Campiño Gutierrez, Carrera 8 # 85 31 Apto. 904, BOGOTÁ, D.C. 110221, CO</x:t>
        </x:is>
      </x:c>
      <x:c r="N714" s="3" t="inlineStr">
        <x:is>
          <x:t/>
        </x:is>
      </x:c>
      <x:c r="O714" s="3" t="inlineStr">
        <x:is>
          <x:t>17 mar. 2023</x:t>
        </x:is>
      </x:c>
      <x:c r="P714" s="3" t="inlineStr">
        <x:is>
          <x:t/>
        </x:is>
      </x:c>
      <x:c r="Q714" s="3" t="inlineStr">
        <x:is>
          <x:t/>
        </x:is>
      </x:c>
    </x:row>
    <x:row r="715">
      <x:c r="A715" s="10" t="inlineStr">
        <x:f xml:space="preserve">HYPERLINK("http://sipi.sic.gov.co/sipi/View.ashx?4517008","SD2022/0133530")</x:f>
      </x:c>
      <x:c r="B715" s="3" t="inlineStr">
        <x:is>
          <x:t>MAKHENE</x:t>
        </x:is>
      </x:c>
      <x:c r="C715" s="9" t="inlineStr">
        <x:is>
          <x:t/>
        </x:is>
      </x:c>
      <x:c r="D715" s="3" t="inlineStr">
        <x:is>
          <x:t>21 dic. 2022</x:t>
        </x:is>
      </x:c>
      <x:c r="E715" s="3" t="inlineStr">
        <x:is>
          <x:t/>
        </x:is>
      </x:c>
      <x:c r="F715" s="3" t="inlineStr">
        <x:is>
          <x:t>Negada</x:t>
        </x:is>
      </x:c>
      <x:c r="G715" s="3" t="inlineStr">
        <x:is>
          <x:t/>
        </x:is>
      </x:c>
      <x:c r="H715" s="3" t="inlineStr">
        <x:is>
          <x:t>Helena Marin Lopez, calle 5 #15-38 apto 104, PEREIRA, RISARALDA, CO</x:t>
        </x:is>
      </x:c>
      <x:c r="I715" s="3" t="inlineStr">
        <x:is>
          <x:t>3, 21, 35</x:t>
        </x:is>
      </x:c>
      <x:c r="J715" s="3" t="inlineStr">
        <x:is>
          <x:t>11</x:t>
        </x:is>
      </x:c>
      <x:c r="K715" s="3" t="inlineStr">
        <x:is>
          <x:t>3. Maquillaje; exfoliantes; mascarillas cosméticas; mascarillas de belleza; mascarillas faciales; mascarillas para la piel; mascarillas corporales; mascarillas limpiadoras; serum para el contorno de ojos; sueros para el contorno de ojos; cremas cosméticas reafirmantes para el contorno de ojos; cremas reparadoras para contornos del ojo; sueros faciales; hidratantes faciales; lociones corporales hidratantes [cosméticos]; leches hidratantes corporales; almohadillas de algodón para desmaquillar; almohadillas de algodón para uso cosmético; bastoncillos de algodón para uso cosmético; bolas de algodón para uso cosmético; algodón para uso cosmético.
21. Brochas y pinceles de maquillaje; cepillos para pestañas, peines para pestañas y separadores de pestañas; cepillos para las cejas; contenedores domésticos para almacenar y organizar el maquillaje; bastoncillos aplicadores de maquillaje.
35. Gestión de ventas; comercialización de productos; promoción de productos y servicios de terceros; Servicios de publicidad en relación con productos cosméticos; publicidad y promoción de ventas sobre productos y servicios; Comercialización, compra, venta, importación y exportación al por mayor y al por menor de los siguientes productos: cosméticos no medicinales, Cosméticos, cosméticos y preparaciones cosméticas, productos cosméticos y de maquillaje, productos de Maquillaje, maquillaje, bases de maquillaje, kits de maquillaje, lápices de maquillaje, maquillaje para el cuerpo, maquillaje para polveras, maquillajes de base, maquillajes de ojos, maquillajes faciales, polvos de maquillaje, bases de maquillaje cremosas, bases de maquillaje en crema, bases de maquillaje líquidas, maquillaje para la cara y el cuerpo, maquillajes de base en crema, maquillaje vendido en polveras, kits de maquillaje que consisten principalmente en bases de maquillaje, rímeles, coloretes, brillos de labios y lápices de labios [sin incluir pinceles ni esponjas], brillos labiales, paletas de brillos labiales, preparaciones de maquillaje para la cara y el cuerpo, adhesivos para fijar postizos, adhesivos para fijar uñas y pestañas postizas, adhesivos para la fijación de cejas postizas, adhesivos para pestañas postizas, adhesivos [pegamentos] para uso cosmético, algodón y bastoncillos de algodón para uso cosmético, almohadillas de algodón para desmaquillar, almohadillas limpiadoras impregnadas de preparaciones de tocador, almohadillas limpiadoras impregnadas de productos cosméticos, almohadillas, toallitas o pañitos húmedos o impregnados de preparaciones limpiadoras, bálsamos labiales, bases para esmaltes de uñas, bolas de algodón para uso cosmético, productos cosméticos y de tocador, cepillos exfoliantes, cepillos exfoliantes eléctricos, cepillos exfoliantes que funcionan con baterías, esponjas exfoliantes para la piel, esponjas limpiadoras faciales, esponjas para aplicar maquillaje, esponjas para aplicar polvos corporales, esponjas para desmaquillar, recipientes de materias plásticas para el almacenamiento de productos de higiene femenina para uso doméstico, tarros de materias plásticas para uso cosméticos, tarros de vidrio para almacenamiento, encrespadoras de pestañas, preparaciones no medicinales para el cuidado de la piel, el cabello y el cuero cabelludo, brochas y pinceles de maquillaje, preparaciones limpiadoras no medicinales para la piel, preparaciones hidratantes [cosméticos]; comercialización y venta en establecimientos de comercio, internet y redes sociales de los mismos productos.
</x:t>
        </x:is>
      </x:c>
      <x:c r="L715" s="3" t="inlineStr">
        <x:is>
          <x:t>No</x:t>
        </x:is>
      </x:c>
      <x:c r="M715" s="3" t="inlineStr">
        <x:is>
          <x:t/>
        </x:is>
      </x:c>
      <x:c r="N715" s="3" t="inlineStr">
        <x:is>
          <x:t/>
        </x:is>
      </x:c>
      <x:c r="O715" s="3" t="inlineStr">
        <x:is>
          <x:t>17 mar. 2023</x:t>
        </x:is>
      </x:c>
      <x:c r="P715" s="3" t="inlineStr">
        <x:is>
          <x:t/>
        </x:is>
      </x:c>
      <x:c r="Q715" s="3" t="inlineStr">
        <x:is>
          <x:t/>
        </x:is>
      </x:c>
    </x:row>
    <x:row r="716">
      <x:c r="A716" s="10" t="inlineStr">
        <x:f xml:space="preserve">HYPERLINK("http://sipi.sic.gov.co/sipi/View.ashx?4517074","SD2022/0133524")</x:f>
      </x:c>
      <x:c r="B716" s="3" t="inlineStr">
        <x:is>
          <x:t>DEL DR. PEÑA</x:t>
        </x:is>
      </x:c>
      <x:c r="C716" s="3" t="inlineStr">
        <x:is>
          <x:t/>
        </x:is>
      </x:c>
      <x:c r="D716" s="3" t="inlineStr">
        <x:is>
          <x:t>21 dic. 2022</x:t>
        </x:is>
      </x:c>
      <x:c r="E716" s="3" t="inlineStr">
        <x:is>
          <x:t/>
        </x:is>
      </x:c>
      <x:c r="F716" s="3" t="inlineStr">
        <x:is>
          <x:t>Negada</x:t>
        </x:is>
      </x:c>
      <x:c r="G716" s="3" t="inlineStr">
        <x:is>
          <x:t/>
        </x:is>
      </x:c>
      <x:c r="H716" s="3" t="inlineStr">
        <x:is>
          <x:t> LABORATORIO NEOFARMACO DEL ECUADOR NEOFARMACO CIA. LTDA., ATAHUALPA Y NOBOA CAAMAÑO, AMBATO, TUNGURAHUA, EC</x:t>
        </x:is>
      </x:c>
      <x:c r="I716" s="3" t="inlineStr">
        <x:is>
          <x:t>3, 5</x:t>
        </x:is>
      </x:c>
      <x:c r="J716" s="3" t="inlineStr">
        <x:is>
          <x:t>11</x:t>
        </x:is>
      </x:c>
      <x:c r="K716" s="3" t="inlineStr">
        <x:is>
          <x:t>3. Productos cosméticos y preparaciones de tocador no medicinales; dentífricos no medicinales; productos de perfumería, aceites esenciales; preparaciones para blanquear y otras sustancias para lavar la ropa; preparaciones para limpiar, pulir, desengrasar y raspar.
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
</x:t>
        </x:is>
      </x:c>
      <x:c r="L716" s="3" t="inlineStr">
        <x:is>
          <x:t>Sí</x:t>
        </x:is>
      </x:c>
      <x:c r="M716" s="3" t="inlineStr">
        <x:is>
          <x:t>CARLOS FERNANDO MORENO GARCIA, ​Calle 64 No 09 - 05 ofc 302 y 303, BOGOTÁ, D.C., CO</x:t>
        </x:is>
      </x:c>
      <x:c r="N716" s="3" t="inlineStr">
        <x:is>
          <x:t/>
        </x:is>
      </x:c>
      <x:c r="O716" s="3" t="inlineStr">
        <x:is>
          <x:t>16 feb. 2023</x:t>
        </x:is>
      </x:c>
      <x:c r="P716" s="3" t="inlineStr">
        <x:is>
          <x:t/>
        </x:is>
      </x:c>
      <x:c r="Q716" s="3" t="inlineStr">
        <x:is>
          <x:t/>
        </x:is>
      </x:c>
    </x:row>
    <x:row r="717">
      <x:c r="A717" s="10" t="inlineStr">
        <x:f xml:space="preserve">HYPERLINK("http://sipi.sic.gov.co/sipi/View.ashx?4517105","SD2022/0133531")</x:f>
      </x:c>
      <x:c r="B717" s="3" t="inlineStr">
        <x:is>
          <x:t>NEO-FÁRMACO</x:t>
        </x:is>
      </x:c>
      <x:c r="C717" s="3" t="inlineStr">
        <x:is>
          <x:t/>
        </x:is>
      </x:c>
      <x:c r="D717" s="3" t="inlineStr">
        <x:is>
          <x:t>21 dic. 2022</x:t>
        </x:is>
      </x:c>
      <x:c r="E717" s="3" t="inlineStr">
        <x:is>
          <x:t/>
        </x:is>
      </x:c>
      <x:c r="F717" s="3" t="inlineStr">
        <x:is>
          <x:t>Negada</x:t>
        </x:is>
      </x:c>
      <x:c r="G717" s="3" t="inlineStr">
        <x:is>
          <x:t/>
        </x:is>
      </x:c>
      <x:c r="H717" s="3" t="inlineStr">
        <x:is>
          <x:t> LABORATORIO NEOFARMACO DEL ECUADOR NEOFARMACO CIA. LTDA., ATAHUALPA Y NOBOA CAAMAÑO, AMBATO, TUNGURAHUA, EC</x:t>
        </x:is>
      </x:c>
      <x:c r="I717" s="3" t="inlineStr">
        <x:is>
          <x:t>3, 5</x:t>
        </x:is>
      </x:c>
      <x:c r="J717" s="3" t="inlineStr">
        <x:is>
          <x:t>11</x:t>
        </x:is>
      </x:c>
      <x:c r="K717" s="3" t="inlineStr">
        <x:is>
          <x:t>3. Productos cosméticos y preparaciones de tocador no medicinales; dentífricos no medicinales; productos de perfumería, aceites esenciales; preparaciones para blanquear y otras sustancias para lavar la ropa; preparaciones para limpiar, pulir, desengrasar y raspar.
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
</x:t>
        </x:is>
      </x:c>
      <x:c r="L717" s="3" t="inlineStr">
        <x:is>
          <x:t>No</x:t>
        </x:is>
      </x:c>
      <x:c r="M717" s="3" t="inlineStr">
        <x:is>
          <x:t>CARLOS FERNANDO MORENO GARCIA, ​Calle 64 No 09 - 05 ofc 302 y 303, BOGOTÁ, D.C., CO</x:t>
        </x:is>
      </x:c>
      <x:c r="N717" s="3" t="inlineStr">
        <x:is>
          <x:t/>
        </x:is>
      </x:c>
      <x:c r="O717" s="3" t="inlineStr">
        <x:is>
          <x:t>16 feb. 2023</x:t>
        </x:is>
      </x:c>
      <x:c r="P717" s="3" t="inlineStr">
        <x:is>
          <x:t/>
        </x:is>
      </x:c>
      <x:c r="Q717" s="3" t="inlineStr">
        <x:is>
          <x:t/>
        </x:is>
      </x:c>
    </x:row>
    <x:row r="718">
      <x:c r="A718" s="10" t="inlineStr">
        <x:f xml:space="preserve">HYPERLINK("http://sipi.sic.gov.co/sipi/View.ashx?4517681","SD2022/0137432")</x:f>
      </x:c>
      <x:c r="B718" s="3" t="inlineStr">
        <x:is>
          <x:t>IPETPLACE EL SITIO DE TU MASCOTA</x:t>
        </x:is>
      </x:c>
      <x:c r="C718" s="9" t="inlineStr">
        <x:is>
          <x:t/>
        </x:is>
      </x:c>
      <x:c r="D718" s="3" t="inlineStr">
        <x:is>
          <x:t>24 dic. 2022</x:t>
        </x:is>
      </x:c>
      <x:c r="E718" s="3" t="inlineStr">
        <x:is>
          <x:t/>
        </x:is>
      </x:c>
      <x:c r="F718" s="3" t="inlineStr">
        <x:is>
          <x:t>Negada</x:t>
        </x:is>
      </x:c>
      <x:c r="G718" s="3" t="inlineStr">
        <x:is>
          <x:t>JR-086-2022</x:t>
        </x:is>
      </x:c>
      <x:c r="H718" s="3" t="inlineStr">
        <x:is>
          <x:t>Camilo Andres Torrado Amaya, Carrera 27# 2-09 , BOGOTÁ, D.C. 110010, CO</x:t>
        </x:is>
      </x:c>
      <x:c r="I718" s="3" t="inlineStr">
        <x:is>
          <x:t>3, 5, 16, 18, 20, 21, 25, 28, 31, 35, 41, 42, 43, 44, 45</x:t>
        </x:is>
      </x:c>
      <x:c r="J718" s="3" t="inlineStr">
        <x:is>
          <x:t>11</x:t>
        </x:is>
      </x:c>
      <x:c r="K718" s="3" t="inlineStr">
        <x:is>
          <x:t>3. Cosméticos para animales; preparaciones para el cuidado y limpieza de los animales; cosméticos ecológicos.
5. Aditivos alimentarios medicinales para uso veterinario; alimentos complementarios para uso veterinario; alimentos dietéticos para uso veterinario; alimentos y bebidas dietéticos para uso médico o veterinario; alimentos y bebidas dietéticos para uso veterinario; anticuerpos para uso veterinario; complementos alimenticios para animales de uso veterinario; complementos alimenticios para uso farmacéutico y veterinario; complementos alimenticios para uso veterinario; alimentos medicinales para animales; champús medicinales para animales de compañía; complementos alimenticios para animales; medicamentos de prevención contra los nematodos parásitos de animales de compañía; pañales desechables para animales de compañía; pañales para animales de compañía; preparaciones farmacéuticas para animales; suplementos nutricionales para alimentos de animales para uso médico.
16. Bolsas de plástico para excrementos de animales de compañía.
18. Abrigos para animales; arneses para animales de compañía; collares, correas y ropa para animales; ropa para animales.
20. Camas para animales de compañía; huesos de animales en bruto o semielaborados; mesas para el aseo de animales de compañía.
21. Bandejas higiénicas para animales de compañía.
25. Uniformes; uniformes para personal de enfermería.
28. Accesorios para animales de juguete; juguetes para animales de compañía.
31. Alimentos para animales; animales vivos; arena sanitaria para animales; galletas para animales; golosinas comestibles para animales de compañía; productos alimenticios para animales; virutas de madera para camas de animales.
35. Servicios de tiendas mayoristas en línea de artículos de cama para animales; servicios de tiendas mayoristas en línea de instrumentos higiénicos para animales; servicios de tiendas mayoristas en línea de piensos para animales; servicios de venta mayorista de artículos de cama para animales; servicios de venta mayorista de piensos para animales; gestión empresarial de consultas veterinarias.
41. Escuelas de adiestramiento de animales; servicios de granjas de animales domésticos y silvestres.
42. Servicios de laboratorios veterinarios.
43. Servicios de hoteles para animales de compañía.
44. Servicios de análisis veterinarios con fines diagnósticos o terapéuticos; servicios de análisis veterinarios con fines diagnósticos o tratamientos; servicios de análisis veterinarios con fines terapéuticos; servicios de análisis veterinarios con fines tratamientos; servicios de cuidado de animales de compañia [servicios médicos, veterinarios y de aseo]; servicios de cuidado de mascotas [servicios médicos, veterinarios y de aseo]; servicios médicos y veterinarios; servicios veterinarios; servicios veterinarios y suministro de información al respecto; suministro de información en línea en materia de servicios veterinarios; suministro de información sobre servicios veterinarios; análisis de laboratorio relacionados con el tratamiento de animales; cuidados de higiene y de belleza para animales; identificación de animales; servicios de aseo para animales de compañía; servicios de salud y de belleza para animales; servicios de salón de belleza para animales de compañia; cirugía veterinaria; odontología veterinaria; servicios de cirugía veterinaria; servicios de información médica y veterinaria prestados por internet.
45. Servicios de adopción de animales.
</x:t>
        </x:is>
      </x:c>
      <x:c r="L718" s="3" t="inlineStr">
        <x:is>
          <x:t>No</x:t>
        </x:is>
      </x:c>
      <x:c r="M718" s="3" t="inlineStr">
        <x:is>
          <x:t>Jesus David Ramirez Mercado, Carrera 8A N 153-56, int 8, apto 501, BOGOTÁ, D.C., CO</x:t>
        </x:is>
      </x:c>
      <x:c r="N718" s="3" t="inlineStr">
        <x:is>
          <x:t/>
        </x:is>
      </x:c>
      <x:c r="O718" s="3" t="inlineStr">
        <x:is>
          <x:t>17 mar. 2023</x:t>
        </x:is>
      </x:c>
      <x:c r="P718" s="3" t="inlineStr">
        <x:is>
          <x:t/>
        </x:is>
      </x:c>
      <x:c r="Q718" s="3" t="inlineStr">
        <x:is>
          <x:t/>
        </x:is>
      </x:c>
    </x:row>
    <x:row r="719">
      <x:c r="A719" s="10" t="inlineStr">
        <x:f xml:space="preserve">HYPERLINK("http://sipi.sic.gov.co/sipi/View.ashx?4517765","SD2022/0133727")</x:f>
      </x:c>
      <x:c r="B719" s="3" t="inlineStr">
        <x:is>
          <x:t>Greshka</x:t>
        </x:is>
      </x:c>
      <x:c r="C719" s="3" t="inlineStr">
        <x:is>
          <x:t/>
        </x:is>
      </x:c>
      <x:c r="D719" s="3" t="inlineStr">
        <x:is>
          <x:t>21 dic. 2022</x:t>
        </x:is>
      </x:c>
      <x:c r="E719" s="3" t="inlineStr">
        <x:is>
          <x:t/>
        </x:is>
      </x:c>
      <x:c r="F719" s="3" t="inlineStr">
        <x:is>
          <x:t>Negada</x:t>
        </x:is>
      </x:c>
      <x:c r="G719" s="3" t="inlineStr">
        <x:is>
          <x:t>Greshka </x:t>
        </x:is>
      </x:c>
      <x:c r="H719" s="3" t="inlineStr">
        <x:is>
          <x:t>Laura Dahiana  Zapata Torres, Cra 59 C # 40 A 38 , BELLO, ANTIOQUIA, CO</x:t>
        </x:is>
      </x:c>
      <x:c r="I719" s="3" t="inlineStr">
        <x:is>
          <x:t>3</x:t>
        </x:is>
      </x:c>
      <x:c r="J719" s="3" t="inlineStr">
        <x:is>
          <x:t>11</x:t>
        </x:is>
      </x:c>
      <x:c r="K719" s="3" t="inlineStr">
        <x:is>
          <x:t>3. Champú, Cosméticos, mousses, geles, cremas lociones bálsamos para el cuidado, estilizado, limpieza, pintado y lacado del cabello, preparaciones hidratantes para el; cabello, preparaciones para la limpieza, el cuidado y el embellecimiento de la piel, el cuero cabelludo y el cabello, productos cosméticos para el moldeado del cabello. Cosméticos no medicinales, lociones capilares no medicinales, productos de higiene personal que sean productos de tocador, bálsamos que no sean para uso médico, jabones no medicinales, productos de perfumería. Productos cosméticos y preparaciones de tocador no medicinales, aceites esenciales.
</x:t>
        </x:is>
      </x:c>
      <x:c r="L719" s="3" t="inlineStr">
        <x:is>
          <x:t>Sí</x:t>
        </x:is>
      </x:c>
      <x:c r="M719" s="3" t="inlineStr">
        <x:is>
          <x:t>Tatiana Betancur Quintero, Calle 129 sur N° 54-68 Apartamento 818, CALDAS, ANTIOQUIA, CO</x:t>
        </x:is>
      </x:c>
      <x:c r="N719" s="3" t="inlineStr">
        <x:is>
          <x:t/>
        </x:is>
      </x:c>
      <x:c r="O719" s="3" t="inlineStr">
        <x:is>
          <x:t>27 feb. 2023</x:t>
        </x:is>
      </x:c>
      <x:c r="P719" s="3" t="inlineStr">
        <x:is>
          <x:t/>
        </x:is>
      </x:c>
      <x:c r="Q719" s="3" t="inlineStr">
        <x:is>
          <x:t/>
        </x:is>
      </x:c>
    </x:row>
    <x:row r="720">
      <x:c r="A720" s="10" t="inlineStr">
        <x:f xml:space="preserve">HYPERLINK("http://sipi.sic.gov.co/sipi/View.ashx?4517797","SD2022/0133733")</x:f>
      </x:c>
      <x:c r="B720" s="3" t="inlineStr">
        <x:is>
          <x:t>FilomenArte Belleza Orgánica</x:t>
        </x:is>
      </x:c>
      <x:c r="C720" s="9" t="inlineStr">
        <x:is>
          <x:t/>
        </x:is>
      </x:c>
      <x:c r="D720" s="3" t="inlineStr">
        <x:is>
          <x:t>21 dic. 2022</x:t>
        </x:is>
      </x:c>
      <x:c r="E720" s="3" t="inlineStr">
        <x:is>
          <x:t/>
        </x:is>
      </x:c>
      <x:c r="F720" s="3" t="inlineStr">
        <x:is>
          <x:t>Negada</x:t>
        </x:is>
      </x:c>
      <x:c r="G720" s="3" t="inlineStr">
        <x:is>
          <x:t/>
        </x:is>
      </x:c>
      <x:c r="H720" s="3" t="inlineStr">
        <x:is>
          <x:t>XIOMARA RUEDA NOVA, Cra 94A 69 - 42 sur Bloque 1 Casa 17 Conjunto Nueva Ciudad 3 , BOGOTÁ, D.C., CO</x:t>
        </x:is>
      </x:c>
      <x:c r="I720" s="3" t="inlineStr">
        <x:is>
          <x:t>3, 41</x:t>
        </x:is>
      </x:c>
      <x:c r="J720" s="3" t="inlineStr">
        <x:is>
          <x:t>11</x:t>
        </x:is>
      </x:c>
      <x:c r="K720" s="3" t="inlineStr">
        <x:is>
          <x:t>3. Aceite de amla para uso cosmético; aceite de coco para uso cosmético; aceite de lavanda para uso cosmético; aceite de neem para uso cosmético; aceite de ricino para uso cosmético; aceite de rosas para uso cosmético; aceite de veppennai para uso cosmético; aceites cosméticos; aceites de baño para uso cosmético; aceites esenciales para uso cosmético; aceites minerales [cosméticos]; aceites para bronceado [cosméticos]; aceites para después del sol [productos cosméticos]; aceites para uso cosmético; aceites perfumados para la fabricación de productos cosméticos; aceites puros para uso cosmético; aceites solares de uso cosmético; adhesivos [pegamentos] para uso cosmético; aerosoles cosméticos de uso tópico para la piel; agua de azahar para uso cosmético; agua mineral para uso cosmético en forma de pulverizadores de niebla; algodón e hisopos de algodón para uso cosmético; algodón para uso cosmético; algodón y bastoncillos de algodón para uso cosmético; alheña [tinte cosmético]; alheña para uso cosmético; alheña para uso cosmético [henna]; almohadillas de algodón para uso cosmético; bloqueador solar [cosméticos]; cosméticos; cosméticos a base de cáñamo; cosméticos a base de hierbas; cosméticos biológicos; cosméticos de belleza; cosméticos ecológicos; cremas de limpieza [cosméticos]; cremas de limpieza [para uso cosmético]; cremas de limpieza [productos cosméticos]; cremas de limpieza para uso cosmético; cremas de protección solar para uso cosmético; cremas exfoliantes para uso cosmético; cremas faciales para uso cosmético; cremas hidratantes para la piel [cosméticos]; cremas limpiadoras [cosméticos]; cremas limpiadoras para uso cosmético; cremas para la piel de uso cosmético; exfoliantes para el cuerpo de uso cosmético; extractos de plantas para uso cosmético; geles cosméticos; jabones cosméticos; limpiadores cosméticos para la piel; lociones de baño para uso cosmético; jabones antitranspirantes; jabones antitranspirantes para los pies; jabones corporales no medicados; jabones de acero inoxidable; jabones de baño; jabones de baño en forma líquida, sólida o de gel; jabones de ducha; jabones de lufa; jabones de papel para uso personal; jabones de tocador; jabones de tocador no medicinales; jabones de tocador perfumados; jabones desodorantes; jabones en crema; jabones faciales; jabones líquidos; jabones líquidos no medicinales; jabones no medicados para el cuerpo; jabones no medicados para la cara; jabones para la ducha; jabones para la piel; jabones para las manos.
41. Talleres de capacitación; talleres de formación; conducción de cursos; cursos de actualización; cursos de estética.
</x:t>
        </x:is>
      </x:c>
      <x:c r="L720" s="3" t="inlineStr">
        <x:is>
          <x:t>No</x:t>
        </x:is>
      </x:c>
      <x:c r="M720" s="3" t="inlineStr">
        <x:is>
          <x:t/>
        </x:is>
      </x:c>
      <x:c r="N720" s="3" t="inlineStr">
        <x:is>
          <x:t/>
        </x:is>
      </x:c>
      <x:c r="O720" s="3" t="inlineStr">
        <x:is>
          <x:t>17 mar. 2023</x:t>
        </x:is>
      </x:c>
      <x:c r="P720" s="3" t="inlineStr">
        <x:is>
          <x:t/>
        </x:is>
      </x:c>
      <x:c r="Q720" s="3" t="inlineStr">
        <x:is>
          <x:t/>
        </x:is>
      </x:c>
    </x:row>
    <x:row r="721">
      <x:c r="A721" s="10" t="inlineStr">
        <x:f xml:space="preserve">HYPERLINK("http://sipi.sic.gov.co/sipi/View.ashx?4518388","SD2022/0133954")</x:f>
      </x:c>
      <x:c r="B721" s="3" t="inlineStr">
        <x:is>
          <x:t>Blossom</x:t>
        </x:is>
      </x:c>
      <x:c r="C721" s="9" t="inlineStr">
        <x:is>
          <x:t/>
        </x:is>
      </x:c>
      <x:c r="D721" s="3" t="inlineStr">
        <x:is>
          <x:t>22 dic. 2022</x:t>
        </x:is>
      </x:c>
      <x:c r="E721" s="3" t="inlineStr">
        <x:is>
          <x:t/>
        </x:is>
      </x:c>
      <x:c r="F721" s="3" t="inlineStr">
        <x:is>
          <x:t>Negada</x:t>
        </x:is>
      </x:c>
      <x:c r="G721" s="3" t="inlineStr">
        <x:is>
          <x:t>1072708653</x:t>
        </x:is>
      </x:c>
      <x:c r="H721" s="3" t="inlineStr">
        <x:is>
          <x:t>Laura Alejandra Burbano Ochoa, carrera 7 A #1-28 CASA 3, CHIA, CUNDINAMARCA, CO</x:t>
        </x:is>
      </x:c>
      <x:c r="I721" s="3" t="inlineStr">
        <x:is>
          <x:t>3</x:t>
        </x:is>
      </x:c>
      <x:c r="J721" s="3" t="inlineStr">
        <x:is>
          <x:t>11</x:t>
        </x:is>
      </x:c>
      <x:c r="K721" s="3" t="inlineStr">
        <x:is>
          <x:t>3. Cosméticos de belleza.
</x:t>
        </x:is>
      </x:c>
      <x:c r="L721" s="3" t="inlineStr">
        <x:is>
          <x:t>Sí</x:t>
        </x:is>
      </x:c>
      <x:c r="M721" s="3" t="inlineStr">
        <x:is>
          <x:t/>
        </x:is>
      </x:c>
      <x:c r="N721" s="3" t="inlineStr">
        <x:is>
          <x:t/>
        </x:is>
      </x:c>
      <x:c r="O721" s="3" t="inlineStr">
        <x:is>
          <x:t>30 jun. 2023</x:t>
        </x:is>
      </x:c>
      <x:c r="P721" s="3" t="inlineStr">
        <x:is>
          <x:t/>
        </x:is>
      </x:c>
      <x:c r="Q721" s="3" t="inlineStr">
        <x:is>
          <x:t/>
        </x:is>
      </x:c>
    </x:row>
    <x:row r="722">
      <x:c r="A722" s="10" t="inlineStr">
        <x:f xml:space="preserve">HYPERLINK("http://sipi.sic.gov.co/sipi/View.ashx?4519621","SD2022/0134485")</x:f>
      </x:c>
      <x:c r="B722" s="3" t="inlineStr">
        <x:is>
          <x:t>ULTRACELL</x:t>
        </x:is>
      </x:c>
      <x:c r="C722" s="9" t="inlineStr">
        <x:is>
          <x:t/>
        </x:is>
      </x:c>
      <x:c r="D722" s="3" t="inlineStr">
        <x:is>
          <x:t>22 dic. 2022</x:t>
        </x:is>
      </x:c>
      <x:c r="E722" s="3" t="inlineStr">
        <x:is>
          <x:t/>
        </x:is>
      </x:c>
      <x:c r="F722" s="3" t="inlineStr">
        <x:is>
          <x:t>Negada</x:t>
        </x:is>
      </x:c>
      <x:c r="G722" s="3" t="inlineStr">
        <x:is>
          <x:t>ULTRACELL</x:t>
        </x:is>
      </x:c>
      <x:c r="H722" s="3" t="inlineStr">
        <x:is>
          <x:t> Zilis LLC, 415 US Hwy 377, Ste. 2020 , DENTON, TEXAS 76226, US</x:t>
        </x:is>
      </x:c>
      <x:c r="I722" s="3" t="inlineStr">
        <x:is>
          <x:t>3</x:t>
        </x:is>
      </x:c>
      <x:c r="J722" s="3" t="inlineStr">
        <x:is>
          <x:t>11</x:t>
        </x:is>
      </x:c>
      <x:c r="K722" s="3" t="inlineStr">
        <x:is>
          <x:t>3. Productos cosméticos y preparaciones de tocador no medicinales; dentífricos no medicinales; productos de perfumería, aceites esenciales; preparaciones para blanquear y otras sustancias para lavar la ropa; preparaciones para limpiar, pulir, desengrasar y raspar.
</x:t>
        </x:is>
      </x:c>
      <x:c r="L722" s="3" t="inlineStr">
        <x:is>
          <x:t>Sí</x:t>
        </x:is>
      </x:c>
      <x:c r="M722" s="3" t="inlineStr">
        <x:is>
          <x:t>SANDRA  VALDERRAMA GARCIA, CRA 7 NO. 85-93 OFICINA 901, BOGOTÁ, D.C., CO</x:t>
        </x:is>
      </x:c>
      <x:c r="N722" s="3" t="inlineStr">
        <x:is>
          <x:t/>
        </x:is>
      </x:c>
      <x:c r="O722" s="3" t="inlineStr">
        <x:is>
          <x:t>30 dic. 2022</x:t>
        </x:is>
      </x:c>
      <x:c r="P722" s="3" t="inlineStr">
        <x:is>
          <x:t/>
        </x:is>
      </x:c>
      <x:c r="Q722" s="3" t="inlineStr">
        <x:is>
          <x:t/>
        </x:is>
      </x:c>
    </x:row>
    <x:row r="723">
      <x:c r="A723" s="10" t="inlineStr">
        <x:f xml:space="preserve">HYPERLINK("http://sipi.sic.gov.co/sipi/View.ashx?4519781","SD2022/0134505")</x:f>
      </x:c>
      <x:c r="B723" s="3" t="inlineStr">
        <x:is>
          <x:t>ULTRA</x:t>
        </x:is>
      </x:c>
      <x:c r="C723" s="9" t="inlineStr">
        <x:is>
          <x:t/>
        </x:is>
      </x:c>
      <x:c r="D723" s="3" t="inlineStr">
        <x:is>
          <x:t>22 dic. 2022</x:t>
        </x:is>
      </x:c>
      <x:c r="E723" s="3" t="inlineStr">
        <x:is>
          <x:t/>
        </x:is>
      </x:c>
      <x:c r="F723" s="3" t="inlineStr">
        <x:is>
          <x:t>Negada</x:t>
        </x:is>
      </x:c>
      <x:c r="G723" s="3" t="inlineStr">
        <x:is>
          <x:t>ULTRA </x:t>
        </x:is>
      </x:c>
      <x:c r="H723" s="3" t="inlineStr">
        <x:is>
          <x:t> Zilis LLC, 415 US Hwy 377, Ste. 2020 , DENTON, TEXAS 76226, US</x:t>
        </x:is>
      </x:c>
      <x:c r="I723" s="3" t="inlineStr">
        <x:is>
          <x:t>3</x:t>
        </x:is>
      </x:c>
      <x:c r="J723" s="3" t="inlineStr">
        <x:is>
          <x:t>11</x:t>
        </x:is>
      </x:c>
      <x:c r="K723" s="3" t="inlineStr">
        <x:is>
          <x:t>3. Productos cosméticos y preparaciones de tocador no medicinales; dentífricos no medicinales; productos de perfumería, aceites esenciales; preparaciones para blanquear y otras sustancias para lavar la ropa; preparaciones para limpiar, pulir, desengrasar y raspar.
</x:t>
        </x:is>
      </x:c>
      <x:c r="L723" s="3" t="inlineStr">
        <x:is>
          <x:t>Sí</x:t>
        </x:is>
      </x:c>
      <x:c r="M723" s="3" t="inlineStr">
        <x:is>
          <x:t>SANDRA  VALDERRAMA GARCIA, CRA 7 NO. 85-93 OFICINA 901, BOGOTÁ, D.C., CO</x:t>
        </x:is>
      </x:c>
      <x:c r="N723" s="3" t="inlineStr">
        <x:is>
          <x:t/>
        </x:is>
      </x:c>
      <x:c r="O723" s="3" t="inlineStr">
        <x:is>
          <x:t>30 dic. 2022</x:t>
        </x:is>
      </x:c>
      <x:c r="P723" s="3" t="inlineStr">
        <x:is>
          <x:t/>
        </x:is>
      </x:c>
      <x:c r="Q723" s="3" t="inlineStr">
        <x:is>
          <x:t/>
        </x:is>
      </x:c>
    </x:row>
    <x:row r="724">
      <x:c r="A724" s="10" t="inlineStr">
        <x:f xml:space="preserve">HYPERLINK("http://sipi.sic.gov.co/sipi/View.ashx?4520904","SD2022/0135195")</x:f>
      </x:c>
      <x:c r="B724" s="3" t="inlineStr">
        <x:is>
          <x:t>SalvaPie</x:t>
        </x:is>
      </x:c>
      <x:c r="C724" s="3" t="inlineStr">
        <x:is>
          <x:t/>
        </x:is>
      </x:c>
      <x:c r="D724" s="3" t="inlineStr">
        <x:is>
          <x:t>22 dic. 2022</x:t>
        </x:is>
      </x:c>
      <x:c r="E724" s="3" t="inlineStr">
        <x:is>
          <x:t/>
        </x:is>
      </x:c>
      <x:c r="F724" s="3" t="inlineStr">
        <x:is>
          <x:t>Negada</x:t>
        </x:is>
      </x:c>
      <x:c r="G724" s="3" t="inlineStr">
        <x:is>
          <x:t/>
        </x:is>
      </x:c>
      <x:c r="H724" s="3" t="inlineStr">
        <x:is>
          <x:t>Maira Alejandra Guerrero Jiménez, Carrera 62 164 40 casa 67, BOGOTÁ, D.C. 111156, CO</x:t>
        </x:is>
      </x:c>
      <x:c r="I724" s="3" t="inlineStr">
        <x:is>
          <x:t>3</x:t>
        </x:is>
      </x:c>
      <x:c r="J724" s="3" t="inlineStr">
        <x:is>
          <x:t>11</x:t>
        </x:is>
      </x:c>
      <x:c r="K724" s="3" t="inlineStr">
        <x:is>
          <x:t>3. Productos cosméticos para el cuidado de la piel; productos cosméticos para uso personal.
</x:t>
        </x:is>
      </x:c>
      <x:c r="L724" s="3" t="inlineStr">
        <x:is>
          <x:t>No</x:t>
        </x:is>
      </x:c>
      <x:c r="M724" s="3" t="inlineStr">
        <x:is>
          <x:t/>
        </x:is>
      </x:c>
      <x:c r="N724" s="3" t="inlineStr">
        <x:is>
          <x:t/>
        </x:is>
      </x:c>
      <x:c r="O724" s="3" t="inlineStr">
        <x:is>
          <x:t>07 mar. 2023</x:t>
        </x:is>
      </x:c>
      <x:c r="P724" s="3" t="inlineStr">
        <x:is>
          <x:t/>
        </x:is>
      </x:c>
      <x:c r="Q724" s="3" t="inlineStr">
        <x:is>
          <x:t/>
        </x:is>
      </x:c>
    </x:row>
    <x:row r="725">
      <x:c r="A725" s="10" t="inlineStr">
        <x:f xml:space="preserve">HYPERLINK("http://sipi.sic.gov.co/sipi/View.ashx?4521138","SD2022/0135240")</x:f>
      </x:c>
      <x:c r="B725" s="3" t="inlineStr">
        <x:is>
          <x:t>rocker</x:t>
        </x:is>
      </x:c>
      <x:c r="C725" s="3" t="inlineStr">
        <x:is>
          <x:t/>
        </x:is>
      </x:c>
      <x:c r="D725" s="3" t="inlineStr">
        <x:is>
          <x:t>22 dic. 2022</x:t>
        </x:is>
      </x:c>
      <x:c r="E725" s="3" t="inlineStr">
        <x:is>
          <x:t/>
        </x:is>
      </x:c>
      <x:c r="F725" s="3" t="inlineStr">
        <x:is>
          <x:t>Negada</x:t>
        </x:is>
      </x:c>
      <x:c r="G725" s="3" t="inlineStr">
        <x:is>
          <x:t/>
        </x:is>
      </x:c>
      <x:c r="H725" s="3" t="inlineStr">
        <x:is>
          <x:t>Luisa Fernanda Álvarez Arcila, Cra 25 # 9-74, LA CEJA, ANTIOQUIA 055010, CO</x:t>
        </x:is>
      </x:c>
      <x:c r="I725" s="3" t="inlineStr">
        <x:is>
          <x:t>3, 5</x:t>
        </x:is>
      </x:c>
      <x:c r="J725" s="3" t="inlineStr">
        <x:is>
          <x:t>11</x:t>
        </x:is>
      </x:c>
      <x:c r="K725" s="3" t="inlineStr">
        <x:is>
          <x:t>3. Champús para el cabello; champús y acondicionadores; champús y acondicionadores para animales de compañía [preparaciones de peluquería no medicinales ni veterinarias]; champús*; productos para lavar perros [champús]; productos cosméticos para el cuidado de la piel de los perros; ceras para el cuidado del cabello; ceras para el peinado del cabello; champúes para el cabello; champúes para el cabello a base de cáñamo;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5. Champús medicinales; champús medicinales para animales de compañía; lociones para perros para uso veterinario; lociones veterinarias para perros;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suplementos alimenticios para animales de uso veterinario; suplementos alimenticios para uso farmacéutico y veterinario; suplementos alimenticios para uso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x:t>
        </x:is>
      </x:c>
      <x:c r="L725" s="3" t="inlineStr">
        <x:is>
          <x:t>No</x:t>
        </x:is>
      </x:c>
      <x:c r="M725" s="3" t="inlineStr">
        <x:is>
          <x:t/>
        </x:is>
      </x:c>
      <x:c r="N725" s="3" t="inlineStr">
        <x:is>
          <x:t/>
        </x:is>
      </x:c>
      <x:c r="O725" s="3" t="inlineStr">
        <x:is>
          <x:t>17 mar. 2023</x:t>
        </x:is>
      </x:c>
      <x:c r="P725" s="3" t="inlineStr">
        <x:is>
          <x:t/>
        </x:is>
      </x:c>
      <x:c r="Q725" s="3" t="inlineStr">
        <x:is>
          <x:t/>
        </x:is>
      </x:c>
    </x:row>
    <x:row r="726">
      <x:c r="A726" s="10" t="inlineStr">
        <x:f xml:space="preserve">HYPERLINK("http://sipi.sic.gov.co/sipi/View.ashx?4521395","SD2022/0135312")</x:f>
      </x:c>
      <x:c r="B726" s="3" t="inlineStr">
        <x:is>
          <x:t>nutritech</x:t>
        </x:is>
      </x:c>
      <x:c r="C726" s="3" t="inlineStr">
        <x:is>
          <x:t/>
        </x:is>
      </x:c>
      <x:c r="D726" s="3" t="inlineStr">
        <x:is>
          <x:t>22 dic. 2022</x:t>
        </x:is>
      </x:c>
      <x:c r="E726" s="3" t="inlineStr">
        <x:is>
          <x:t/>
        </x:is>
      </x:c>
      <x:c r="F726" s="3" t="inlineStr">
        <x:is>
          <x:t>Negada</x:t>
        </x:is>
      </x:c>
      <x:c r="G726" s="3" t="inlineStr">
        <x:is>
          <x:t/>
        </x:is>
      </x:c>
      <x:c r="H726" s="3" t="inlineStr">
        <x:is>
          <x:t>Luisa Fernanda Álvarez Arcila, Cra 25 # 9-74, LA CEJA, ANTIOQUIA 055010, CO</x:t>
        </x:is>
      </x:c>
      <x:c r="I726" s="3" t="inlineStr">
        <x:is>
          <x:t>3, 5</x:t>
        </x:is>
      </x:c>
      <x:c r="J726" s="3" t="inlineStr">
        <x:is>
          <x:t>11</x:t>
        </x:is>
      </x:c>
      <x:c r="K726"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Champú para el crecimiento del cabello; estimulantes para el crecimiento del cabello; preparaciones medicinales para el crecimiento del cabello; preparaciones para eliminar los piojos del cabello; preparaciones para eliminar piojos del cabello;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x:t>
        </x:is>
      </x:c>
      <x:c r="L726" s="3" t="inlineStr">
        <x:is>
          <x:t>Sí</x:t>
        </x:is>
      </x:c>
      <x:c r="M726" s="3" t="inlineStr">
        <x:is>
          <x:t/>
        </x:is>
      </x:c>
      <x:c r="N726" s="3" t="inlineStr">
        <x:is>
          <x:t/>
        </x:is>
      </x:c>
      <x:c r="O726" s="3" t="inlineStr">
        <x:is>
          <x:t>05 abr. 2023</x:t>
        </x:is>
      </x:c>
      <x:c r="P726" s="3" t="inlineStr">
        <x:is>
          <x:t/>
        </x:is>
      </x:c>
      <x:c r="Q726" s="3" t="inlineStr">
        <x:is>
          <x:t/>
        </x:is>
      </x:c>
    </x:row>
    <x:row r="727">
      <x:c r="A727" s="10" t="inlineStr">
        <x:f xml:space="preserve">HYPERLINK("http://sipi.sic.gov.co/sipi/View.ashx?4521792","SD2022/0135438")</x:f>
      </x:c>
      <x:c r="B727" s="3" t="inlineStr">
        <x:is>
          <x:t>CR3</x:t>
        </x:is>
      </x:c>
      <x:c r="C727" s="9" t="inlineStr">
        <x:is>
          <x:t/>
        </x:is>
      </x:c>
      <x:c r="D727" s="3" t="inlineStr">
        <x:is>
          <x:t>22 dic. 2022</x:t>
        </x:is>
      </x:c>
      <x:c r="E727" s="3" t="inlineStr">
        <x:is>
          <x:t/>
        </x:is>
      </x:c>
      <x:c r="F727" s="3" t="inlineStr">
        <x:is>
          <x:t>Negada</x:t>
        </x:is>
      </x:c>
      <x:c r="G727" s="3" t="inlineStr">
        <x:is>
          <x:t/>
        </x:is>
      </x:c>
      <x:c r="H727" s="3" t="inlineStr">
        <x:is>
          <x:t> PROMODISTT SAS, Carrera 19 # 20 - 44 , MANIZALES, CALDAS, CO</x:t>
        </x:is>
      </x:c>
      <x:c r="I727" s="3" t="inlineStr">
        <x:is>
          <x:t>3</x:t>
        </x:is>
      </x:c>
      <x:c r="J727" s="3" t="inlineStr">
        <x:is>
          <x:t>11</x:t>
        </x:is>
      </x:c>
      <x:c r="K72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27" s="3" t="inlineStr">
        <x:is>
          <x:t>Sí</x:t>
        </x:is>
      </x:c>
      <x:c r="M727" s="3" t="inlineStr">
        <x:is>
          <x:t>JESUS ALBERTO SALAZAR HINCAPIE, CONJ CERRADO ALAMEDA CASA 13, DOSQUEBRADAS, RISARALDA, CO</x:t>
        </x:is>
      </x:c>
      <x:c r="N727" s="3" t="inlineStr">
        <x:is>
          <x:t/>
        </x:is>
      </x:c>
      <x:c r="O727" s="3" t="inlineStr">
        <x:is>
          <x:t>05 abr. 2023</x:t>
        </x:is>
      </x:c>
      <x:c r="P727" s="3" t="inlineStr">
        <x:is>
          <x:t/>
        </x:is>
      </x:c>
      <x:c r="Q727" s="3" t="inlineStr">
        <x:is>
          <x:t/>
        </x:is>
      </x:c>
    </x:row>
    <x:row r="728">
      <x:c r="A728" s="10" t="inlineStr">
        <x:f xml:space="preserve">HYPERLINK("http://sipi.sic.gov.co/sipi/View.ashx?4521986","SD2022/0135490")</x:f>
      </x:c>
      <x:c r="B728" s="3" t="inlineStr">
        <x:is>
          <x:t>GRACE PLATA</x:t>
        </x:is>
      </x:c>
      <x:c r="C728" s="9" t="inlineStr">
        <x:is>
          <x:t/>
        </x:is>
      </x:c>
      <x:c r="D728" s="3" t="inlineStr">
        <x:is>
          <x:t>23 dic. 2022</x:t>
        </x:is>
      </x:c>
      <x:c r="E728" s="3" t="inlineStr">
        <x:is>
          <x:t/>
        </x:is>
      </x:c>
      <x:c r="F728" s="3" t="inlineStr">
        <x:is>
          <x:t>Negada</x:t>
        </x:is>
      </x:c>
      <x:c r="G728" s="3" t="inlineStr">
        <x:is>
          <x:t>GRACE PLATA</x:t>
        </x:is>
      </x:c>
      <x:c r="H728" s="3" t="inlineStr">
        <x:is>
          <x:t>esteban  patiño cortes, Calle 106 b # 64 D-08, MEDELLIN, ANTIOQUIA, CO</x:t>
        </x:is>
      </x:c>
      <x:c r="I728" s="3" t="inlineStr">
        <x:is>
          <x:t>3, 18, 25</x:t>
        </x:is>
      </x:c>
      <x:c r="J728" s="3" t="inlineStr">
        <x:is>
          <x:t>11</x:t>
        </x:is>
      </x:c>
      <x:c r="K728" s="3" t="inlineStr">
        <x:is>
          <x:t>3. Productos cosméticos para la piel; productos de perfumería.
18. Bolsos de cuero; pieles de animales; pieles de animales y cueros.
25. Prendas de vestir, calzado y artículos de sombrerería.
</x:t>
        </x:is>
      </x:c>
      <x:c r="L728" s="3" t="inlineStr">
        <x:is>
          <x:t>No</x:t>
        </x:is>
      </x:c>
      <x:c r="M728" s="3" t="inlineStr">
        <x:is>
          <x:t>LUZ ANGELA GOMEZ ARIAS, CARRERA 43B 14-51 OF 703, MEDELLIN, ANTIOQUIA, CO</x:t>
        </x:is>
      </x:c>
      <x:c r="N728" s="3" t="inlineStr">
        <x:is>
          <x:t/>
        </x:is>
      </x:c>
      <x:c r="O728" s="3" t="inlineStr">
        <x:is>
          <x:t>27 feb. 2023</x:t>
        </x:is>
      </x:c>
      <x:c r="P728" s="3" t="inlineStr">
        <x:is>
          <x:t/>
        </x:is>
      </x:c>
      <x:c r="Q728" s="3" t="inlineStr">
        <x:is>
          <x:t/>
        </x:is>
      </x:c>
    </x:row>
    <x:row r="729">
      <x:c r="A729" s="10" t="inlineStr">
        <x:f xml:space="preserve">HYPERLINK("http://sipi.sic.gov.co/sipi/View.ashx?4522267","SD2022/0138197")</x:f>
      </x:c>
      <x:c r="B729" s="3" t="inlineStr">
        <x:is>
          <x:t>Ralfme</x:t>
        </x:is>
      </x:c>
      <x:c r="C729" s="9" t="inlineStr">
        <x:is>
          <x:t/>
        </x:is>
      </x:c>
      <x:c r="D729" s="3" t="inlineStr">
        <x:is>
          <x:t>26 dic. 2022</x:t>
        </x:is>
      </x:c>
      <x:c r="E729" s="3" t="inlineStr">
        <x:is>
          <x:t/>
        </x:is>
      </x:c>
      <x:c r="F729" s="3" t="inlineStr">
        <x:is>
          <x:t>Negada</x:t>
        </x:is>
      </x:c>
      <x:c r="G729" s="3" t="inlineStr">
        <x:is>
          <x:t/>
        </x:is>
      </x:c>
      <x:c r="H729" s="3" t="inlineStr">
        <x:is>
          <x:t>LUISA FERNANDA MEDRANO RIVERA, Calle 2 A 29-43 PISO 1, BOGOTA, CUNDINAMARCA, CO</x:t>
        </x:is>
      </x:c>
      <x:c r="I729" s="3" t="inlineStr">
        <x:is>
          <x:t>3, 29, 43</x:t>
        </x:is>
      </x:c>
      <x:c r="J729" s="3" t="inlineStr">
        <x:is>
          <x:t>11</x:t>
        </x:is>
      </x:c>
      <x:c r="K72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29. Carne, pescado, carne de ave y carne de caza; extractos de carne; frutas y verduras, hortalizas y legumbres en conserva, congeladas, secas y cocidas; jaleas, confituras, compotas; huevos; leche y productos lácteos; aceites y grasas comestibles.
43. Servicios de restauración (alimentación); hospedaje temporal.
</x:t>
        </x:is>
      </x:c>
      <x:c r="L729" s="3" t="inlineStr">
        <x:is>
          <x:t>No</x:t>
        </x:is>
      </x:c>
      <x:c r="M729" s="3" t="inlineStr">
        <x:is>
          <x:t/>
        </x:is>
      </x:c>
      <x:c r="N729" s="3" t="inlineStr">
        <x:is>
          <x:t/>
        </x:is>
      </x:c>
      <x:c r="O729" s="3" t="inlineStr">
        <x:is>
          <x:t>07 mar. 2023</x:t>
        </x:is>
      </x:c>
      <x:c r="P729" s="3" t="inlineStr">
        <x:is>
          <x:t/>
        </x:is>
      </x:c>
      <x:c r="Q729" s="3" t="inlineStr">
        <x:is>
          <x:t/>
        </x:is>
      </x:c>
    </x:row>
    <x:row r="730">
      <x:c r="A730" s="10" t="inlineStr">
        <x:f xml:space="preserve">HYPERLINK("http://sipi.sic.gov.co/sipi/View.ashx?4523710","SD2022/0136526")</x:f>
      </x:c>
      <x:c r="B730" s="3" t="inlineStr">
        <x:is>
          <x:t>Edén de Liz</x:t>
        </x:is>
      </x:c>
      <x:c r="C730" s="9" t="inlineStr">
        <x:is>
          <x:t/>
        </x:is>
      </x:c>
      <x:c r="D730" s="3" t="inlineStr">
        <x:is>
          <x:t>23 dic. 2022</x:t>
        </x:is>
      </x:c>
      <x:c r="E730" s="3" t="inlineStr">
        <x:is>
          <x:t/>
        </x:is>
      </x:c>
      <x:c r="F730" s="3" t="inlineStr">
        <x:is>
          <x:t>Negada</x:t>
        </x:is>
      </x:c>
      <x:c r="G730" s="3" t="inlineStr">
        <x:is>
          <x:t>Edén de Liz</x:t>
        </x:is>
      </x:c>
      <x:c r="H730" s="3" t="inlineStr">
        <x:is>
          <x:t>CAMILA  HURTADO RAMIREZ, Calle 56 BIS #3d-43 depósito 2, BOGOTÁ, D.C., CO</x:t>
        </x:is>
      </x:c>
      <x:c r="I730" s="3" t="inlineStr">
        <x:is>
          <x:t>3, 21, 40</x:t>
        </x:is>
      </x:c>
      <x:c r="J730" s="3" t="inlineStr">
        <x:is>
          <x:t>11</x:t>
        </x:is>
      </x:c>
      <x:c r="K730" s="3" t="inlineStr">
        <x:is>
          <x:t>3. Jabones cosméticos; jabones de baño; jabones de ducha; jabones de tocador; jabones de tocador no medicinales; jabones de tocador perfumados; jabones en crema; jabones en crema para el cuerpo; jabones faciales; jabones líquidos para las manos y el rostro; jabones no medicados para el cuerpo; jabones no medicados para la cara; jabones para el cuidado del cuerpo; jabones para la piel; jabones perfumados; jabones vegetales; jabones*; bombas de baño.
21. Portajabones [jaboneras].
40. Mezclado por encargo de aceites esenciales para aromaterapia.
</x:t>
        </x:is>
      </x:c>
      <x:c r="L730" s="3" t="inlineStr">
        <x:is>
          <x:t>No</x:t>
        </x:is>
      </x:c>
      <x:c r="M730" s="3" t="inlineStr">
        <x:is>
          <x:t>ANA MARIA DE LOS ANGELES  BERNAL PIÑEROS, CALLE 25 B 43 60 apto 103, BOGOTÁ, D.C., CO</x:t>
        </x:is>
      </x:c>
      <x:c r="N730" s="3" t="inlineStr">
        <x:is>
          <x:t/>
        </x:is>
      </x:c>
      <x:c r="O730" s="3" t="inlineStr">
        <x:is>
          <x:t>17 mar. 2023</x:t>
        </x:is>
      </x:c>
      <x:c r="P730" s="3" t="inlineStr">
        <x:is>
          <x:t/>
        </x:is>
      </x:c>
      <x:c r="Q730" s="3" t="inlineStr">
        <x:is>
          <x:t/>
        </x:is>
      </x:c>
    </x:row>
    <x:row r="731">
      <x:c r="A731" s="10" t="inlineStr">
        <x:f xml:space="preserve">HYPERLINK("http://sipi.sic.gov.co/sipi/View.ashx?4525658","SD2022/0137506")</x:f>
      </x:c>
      <x:c r="B731" s="3" t="inlineStr">
        <x:is>
          <x:t>VSN VERSION</x:t>
        </x:is>
      </x:c>
      <x:c r="C731" s="9" t="inlineStr">
        <x:is>
          <x:t/>
        </x:is>
      </x:c>
      <x:c r="D731" s="3" t="inlineStr">
        <x:is>
          <x:t>25 dic. 2022</x:t>
        </x:is>
      </x:c>
      <x:c r="E731" s="3" t="inlineStr">
        <x:is>
          <x:t/>
        </x:is>
      </x:c>
      <x:c r="F731" s="3" t="inlineStr">
        <x:is>
          <x:t>Negada</x:t>
        </x:is>
      </x:c>
      <x:c r="G731" s="3" t="inlineStr">
        <x:is>
          <x:t/>
        </x:is>
      </x:c>
      <x:c r="H731" s="3" t="inlineStr">
        <x:is>
          <x:t>JUAN CAMILO PEREZ HERNANDEZ, Cra 92 No. 42 - 104. Piso 3, CALI, VALLE DEL CAUCA 760032, CO</x:t>
        </x:is>
      </x:c>
      <x:c r="I731" s="3" t="inlineStr">
        <x:is>
          <x:t>3, 25</x:t>
        </x:is>
      </x:c>
      <x:c r="J731" s="3" t="inlineStr">
        <x:is>
          <x:t>11</x:t>
        </x:is>
      </x:c>
      <x:c r="K731" s="3" t="inlineStr">
        <x:is>
          <x:t>3. Cremas, lociones y geles hidratantes; gel de baño; gel de lavanda; gel exfoliante, no medicinal; geles capilares; geles cosméticos; geles hidratantes; geles para antes del afeitado; geles para dar forma al cabello; geles para después del afeitado; geles para el afeitado; geles para el cabello; lacas y geles fijadores para el cabello; cosméticos en forma de cremas; crema para peinar el cabello; cremas exfoliantes; cremas exfoliantes para uso cosmético; cremas depilatorias; geles depilatorios; productos depilatorios.
25. Blazers [ropa de negocios]; blusas [ropa de negocios]; ropa de atletismo; ropa de deporte; ropa de hombre; ropa de mujer; ropa de ocio; ropa de oficina; ropa de playa; ropa de trabajo; ropa informal; ropa interior de hombre; ropa interior para caballeros; ropa*; camisas amplias de manga corta; camisas de botones; camisas de cuello; camisas de cuello abierto; camisas de golf; camisas de hombre; camisas de manga corta; camisas de manga larga; camisas para adultos; camisas para niños; camisas*; leggings [pantalones]; pantalones; pantalones acolchados de deporte; pantalones bermudas; pantalones cargo; pantalones cortos; pantalones cortos de caballero; pantalones cortos de deporte; pantalones cortos para adultos; pantalones de caballero; pantalones de camuflaje; pantalones de chándal; pantalones de chándal de caballero; pantalones de chándal para adultos; pantalones de chándal para niños; pantalones de deporte; pantalones de traje; pantalones de vestir; pantalones informales; jean cortos; pantalones vaqueros; chaquetas; chaquetas de algodón; chaquetas de chándal; chaquetas de cuero; chaquetas de manga corta; chaquetas de manga larga; chaquetas de traje; chaquetas deportivas; chaquetas sin mangas; zapatos; zapatos informales; zapatos para hombres.
</x:t>
        </x:is>
      </x:c>
      <x:c r="L731" s="3" t="inlineStr">
        <x:is>
          <x:t>No</x:t>
        </x:is>
      </x:c>
      <x:c r="M731" s="3" t="inlineStr">
        <x:is>
          <x:t>JUAN FERNANDO ARIAS HERRERA, Km2 vía Puerto Tejada, CALI, VALLE DEL CAUCA 760000, CO</x:t>
        </x:is>
      </x:c>
      <x:c r="N731" s="3" t="inlineStr">
        <x:is>
          <x:t/>
        </x:is>
      </x:c>
      <x:c r="O731" s="3" t="inlineStr">
        <x:is>
          <x:t>27 feb. 2023</x:t>
        </x:is>
      </x:c>
      <x:c r="P731" s="3" t="inlineStr">
        <x:is>
          <x:t/>
        </x:is>
      </x:c>
      <x:c r="Q731" s="3" t="inlineStr">
        <x:is>
          <x:t/>
        </x:is>
      </x:c>
    </x:row>
    <x:row r="732">
      <x:c r="A732" s="10" t="inlineStr">
        <x:f xml:space="preserve">HYPERLINK("http://sipi.sic.gov.co/sipi/View.ashx?4525782","SD2022/0137529")</x:f>
      </x:c>
      <x:c r="B732" s="3" t="inlineStr">
        <x:is>
          <x:t>NATURAL MANTRA</x:t>
        </x:is>
      </x:c>
      <x:c r="C732" s="9" t="inlineStr">
        <x:is>
          <x:t/>
        </x:is>
      </x:c>
      <x:c r="D732" s="3" t="inlineStr">
        <x:is>
          <x:t>26 dic. 2022</x:t>
        </x:is>
      </x:c>
      <x:c r="E732" s="3" t="inlineStr">
        <x:is>
          <x:t/>
        </x:is>
      </x:c>
      <x:c r="F732" s="3" t="inlineStr">
        <x:is>
          <x:t>Negada</x:t>
        </x:is>
      </x:c>
      <x:c r="G732" s="3" t="inlineStr">
        <x:is>
          <x:t/>
        </x:is>
      </x:c>
      <x:c r="H732" s="3" t="inlineStr">
        <x:is>
          <x:t>Juan Sebastián Lopez Barberi, Carrera 53A #6A - 23 (Piso 2), CALI, VALLE DEL CAUCA 760036, CO</x:t>
        </x:is>
      </x:c>
      <x:c r="I732" s="3" t="inlineStr">
        <x:is>
          <x:t>3, 5</x:t>
        </x:is>
      </x:c>
      <x:c r="J732" s="3" t="inlineStr">
        <x:is>
          <x:t>11</x:t>
        </x:is>
      </x:c>
      <x:c r="K732" s="3" t="inlineStr">
        <x:is>
          <x:t>3. Cosméticos a base de cannabis.
5. Cannabis medicinal en forma de aceites para facilitar la administración de fármacos; cannabis medicinal en forma de tisanas; cannabis medicinal en forma de tisanas para uso medicinal; cannabis para uso médico.
</x:t>
        </x:is>
      </x:c>
      <x:c r="L732" s="3" t="inlineStr">
        <x:is>
          <x:t>No</x:t>
        </x:is>
      </x:c>
      <x:c r="M732" s="3" t="inlineStr">
        <x:is>
          <x:t/>
        </x:is>
      </x:c>
      <x:c r="N732" s="3" t="inlineStr">
        <x:is>
          <x:t/>
        </x:is>
      </x:c>
      <x:c r="O732" s="3" t="inlineStr">
        <x:is>
          <x:t>05 abr. 2023</x:t>
        </x:is>
      </x:c>
      <x:c r="P732" s="3" t="inlineStr">
        <x:is>
          <x:t/>
        </x:is>
      </x:c>
      <x:c r="Q732" s="3" t="inlineStr">
        <x:is>
          <x:t/>
        </x:is>
      </x:c>
    </x:row>
    <x:row r="733">
      <x:c r="A733" s="10" t="inlineStr">
        <x:f xml:space="preserve">HYPERLINK("http://sipi.sic.gov.co/sipi/View.ashx?4526592","SD2022/0137852")</x:f>
      </x:c>
      <x:c r="B733" s="3" t="inlineStr">
        <x:is>
          <x:t>Foriú cuidado femenino</x:t>
        </x:is>
      </x:c>
      <x:c r="C733" s="9" t="inlineStr">
        <x:is>
          <x:t/>
        </x:is>
      </x:c>
      <x:c r="D733" s="3" t="inlineStr">
        <x:is>
          <x:t>26 dic. 2022</x:t>
        </x:is>
      </x:c>
      <x:c r="E733" s="3" t="inlineStr">
        <x:is>
          <x:t/>
        </x:is>
      </x:c>
      <x:c r="F733" s="3" t="inlineStr">
        <x:is>
          <x:t>Negada</x:t>
        </x:is>
      </x:c>
      <x:c r="G733" s="3" t="inlineStr">
        <x:is>
          <x:t/>
        </x:is>
      </x:c>
      <x:c r="H733" s="3" t="inlineStr">
        <x:is>
          <x:t>Manuela Sofía Cardona castillo, Calle 11 bis #44-09, MANIZALES, CALDAS 170001, CO; Tomas Gallego Buitrago, carrea 8 # 57E-13, MANIZALES, CALDAS 170002, CO</x:t>
        </x:is>
      </x:c>
      <x:c r="I733" s="3" t="inlineStr">
        <x:is>
          <x:t>3</x:t>
        </x:is>
      </x:c>
      <x:c r="J733" s="3" t="inlineStr">
        <x:is>
          <x:t>11</x:t>
        </x:is>
      </x:c>
      <x:c r="K73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33" s="3" t="inlineStr">
        <x:is>
          <x:t>No</x:t>
        </x:is>
      </x:c>
      <x:c r="M733" s="3" t="inlineStr">
        <x:is>
          <x:t/>
        </x:is>
      </x:c>
      <x:c r="N733" s="3" t="inlineStr">
        <x:is>
          <x:t/>
        </x:is>
      </x:c>
      <x:c r="O733" s="3" t="inlineStr">
        <x:is>
          <x:t>27 mar. 2023</x:t>
        </x:is>
      </x:c>
      <x:c r="P733" s="3" t="inlineStr">
        <x:is>
          <x:t/>
        </x:is>
      </x:c>
      <x:c r="Q733" s="3" t="inlineStr">
        <x:is>
          <x:t/>
        </x:is>
      </x:c>
    </x:row>
    <x:row r="734">
      <x:c r="A734" s="10" t="inlineStr">
        <x:f xml:space="preserve">HYPERLINK("http://sipi.sic.gov.co/sipi/View.ashx?4526769","SD2022/0137812")</x:f>
      </x:c>
      <x:c r="B734" s="3" t="inlineStr">
        <x:is>
          <x:t>MARCELA MACIAS SANTANA COLLECTION</x:t>
        </x:is>
      </x:c>
      <x:c r="C734" s="9" t="inlineStr">
        <x:is>
          <x:t/>
        </x:is>
      </x:c>
      <x:c r="D734" s="3" t="inlineStr">
        <x:is>
          <x:t>26 dic. 2022</x:t>
        </x:is>
      </x:c>
      <x:c r="E734" s="3" t="inlineStr">
        <x:is>
          <x:t/>
        </x:is>
      </x:c>
      <x:c r="F734" s="3" t="inlineStr">
        <x:is>
          <x:t>Negada</x:t>
        </x:is>
      </x:c>
      <x:c r="G734" s="3" t="inlineStr">
        <x:is>
          <x:t>MARCELAMACIASSANTANA</x:t>
        </x:is>
      </x:c>
      <x:c r="H734" s="3" t="inlineStr">
        <x:is>
          <x:t>MARIA ALEJANDRA MACIAS HENAO, Carrera 50 A No 53 - 22 , MEDELLIN, ANTIOQUIA, CO</x:t>
        </x:is>
      </x:c>
      <x:c r="I734" s="3" t="inlineStr">
        <x:is>
          <x:t>3, 14, 18, 25, 35</x:t>
        </x:is>
      </x:c>
      <x:c r="J734" s="3" t="inlineStr">
        <x:is>
          <x:t>11</x:t>
        </x:is>
      </x:c>
      <x:c r="K73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14. Metales preciosos y sus aleaciones; artículos de joyería, piedras preciosas y semipreciosas; artículos de relojería e instrumentos cronométricos.
18. Cuero y cuero de imitación; pieles de animales; artículos de equipaje y bolsas de transporte; paraguas y sombrillas; bastones; fustas, arneses y artículos de guarnicionería; collares, correas y ropa para animales.
25. Prendas de vestir, calzado, artículos de sombrerería.
35. Publicidad; gestión de negocios comerciales; administración comercial; trabajos de oficina.
</x:t>
        </x:is>
      </x:c>
      <x:c r="L734" s="3" t="inlineStr">
        <x:is>
          <x:t>No</x:t>
        </x:is>
      </x:c>
      <x:c r="M734" s="3" t="inlineStr">
        <x:is>
          <x:t/>
        </x:is>
      </x:c>
      <x:c r="N734" s="3" t="inlineStr">
        <x:is>
          <x:t/>
        </x:is>
      </x:c>
      <x:c r="O734" s="3" t="inlineStr">
        <x:is>
          <x:t>27 feb. 2023</x:t>
        </x:is>
      </x:c>
      <x:c r="P734" s="3" t="inlineStr">
        <x:is>
          <x:t/>
        </x:is>
      </x:c>
      <x:c r="Q734" s="3" t="inlineStr">
        <x:is>
          <x:t/>
        </x:is>
      </x:c>
    </x:row>
    <x:row r="735">
      <x:c r="A735" s="10" t="inlineStr">
        <x:f xml:space="preserve">HYPERLINK("http://sipi.sic.gov.co/sipi/View.ashx?4526963","SD2022/0137859")</x:f>
      </x:c>
      <x:c r="B735" s="3" t="inlineStr">
        <x:is>
          <x:t>Cpklmadol</x:t>
        </x:is>
      </x:c>
      <x:c r="C735" s="3" t="inlineStr">
        <x:is>
          <x:t/>
        </x:is>
      </x:c>
      <x:c r="D735" s="3" t="inlineStr">
        <x:is>
          <x:t>26 dic. 2022</x:t>
        </x:is>
      </x:c>
      <x:c r="E735" s="3" t="inlineStr">
        <x:is>
          <x:t/>
        </x:is>
      </x:c>
      <x:c r="F735" s="3" t="inlineStr">
        <x:is>
          <x:t>Negada</x:t>
        </x:is>
      </x:c>
      <x:c r="G735" s="3" t="inlineStr">
        <x:is>
          <x:t>Cpklmadol</x:t>
        </x:is>
      </x:c>
      <x:c r="H735" s="3" t="inlineStr">
        <x:is>
          <x:t>VALENTINA CABEZAS GAMINARA, cra 7 e bis 69 42, CALI, VALLE DEL CAUCA, CO</x:t>
        </x:is>
      </x:c>
      <x:c r="I735" s="3" t="inlineStr">
        <x:is>
          <x:t>3</x:t>
        </x:is>
      </x:c>
      <x:c r="J735" s="3" t="inlineStr">
        <x:is>
          <x:t>11</x:t>
        </x:is>
      </x:c>
      <x:c r="K735" s="3" t="inlineStr">
        <x:is>
          <x:t>3. Cremas cosméticas para la piel.
</x:t>
        </x:is>
      </x:c>
      <x:c r="L735" s="3" t="inlineStr">
        <x:is>
          <x:t>No</x:t>
        </x:is>
      </x:c>
      <x:c r="M735" s="3" t="inlineStr">
        <x:is>
          <x:t/>
        </x:is>
      </x:c>
      <x:c r="N735" s="3" t="inlineStr">
        <x:is>
          <x:t/>
        </x:is>
      </x:c>
      <x:c r="O735" s="3" t="inlineStr">
        <x:is>
          <x:t>17 abr. 2023</x:t>
        </x:is>
      </x:c>
      <x:c r="P735" s="3" t="inlineStr">
        <x:is>
          <x:t/>
        </x:is>
      </x:c>
      <x:c r="Q735" s="3" t="inlineStr">
        <x:is>
          <x:t/>
        </x:is>
      </x:c>
    </x:row>
    <x:row r="736">
      <x:c r="A736" s="10" t="inlineStr">
        <x:f xml:space="preserve">HYPERLINK("http://sipi.sic.gov.co/sipi/View.ashx?4527051","SD2022/0137880")</x:f>
      </x:c>
      <x:c r="B736" s="3" t="inlineStr">
        <x:is>
          <x:t>MC by Marly Coronado</x:t>
        </x:is>
      </x:c>
      <x:c r="C736" s="9" t="inlineStr">
        <x:is>
          <x:t/>
        </x:is>
      </x:c>
      <x:c r="D736" s="3" t="inlineStr">
        <x:is>
          <x:t>26 dic. 2022</x:t>
        </x:is>
      </x:c>
      <x:c r="E736" s="3" t="inlineStr">
        <x:is>
          <x:t/>
        </x:is>
      </x:c>
      <x:c r="F736" s="3" t="inlineStr">
        <x:is>
          <x:t>Negada</x:t>
        </x:is>
      </x:c>
      <x:c r="G736" s="3" t="inlineStr">
        <x:is>
          <x:t/>
        </x:is>
      </x:c>
      <x:c r="H736" s="3" t="inlineStr">
        <x:is>
          <x:t>MARLY YULIETH  CORONADO PASCUAS, DIAGONAL 14 NÚMERO 4A 16 PISO 1 TOCARINDA, TOCANCIPA, CUNDINAMARCA, CO</x:t>
        </x:is>
      </x:c>
      <x:c r="I736" s="3" t="inlineStr">
        <x:is>
          <x:t>3</x:t>
        </x:is>
      </x:c>
      <x:c r="J736" s="3" t="inlineStr">
        <x:is>
          <x:t>11</x:t>
        </x:is>
      </x:c>
      <x:c r="K736" s="3" t="inlineStr">
        <x:is>
          <x:t>3. Cosméticos de belleza; cremas bálsamos de belleza; cremas de belleza; lociones de belleza; mascarillas de belleza; productos cosméticos y de belleza.
</x:t>
        </x:is>
      </x:c>
      <x:c r="L736" s="3" t="inlineStr">
        <x:is>
          <x:t>Sí</x:t>
        </x:is>
      </x:c>
      <x:c r="M736" s="3" t="inlineStr">
        <x:is>
          <x:t>vanessa priscila pupo jimenez, Cra 42 #63-71, MEDELLIN, ANTIOQUIA 130001, CO</x:t>
        </x:is>
      </x:c>
      <x:c r="N736" s="3" t="inlineStr">
        <x:is>
          <x:t/>
        </x:is>
      </x:c>
      <x:c r="O736" s="3" t="inlineStr">
        <x:is>
          <x:t>05 abr. 2023</x:t>
        </x:is>
      </x:c>
      <x:c r="P736" s="3" t="inlineStr">
        <x:is>
          <x:t/>
        </x:is>
      </x:c>
      <x:c r="Q736" s="3" t="inlineStr">
        <x:is>
          <x:t/>
        </x:is>
      </x:c>
    </x:row>
    <x:row r="737">
      <x:c r="A737" s="10" t="inlineStr">
        <x:f xml:space="preserve">HYPERLINK("http://sipi.sic.gov.co/sipi/View.ashx?4527273","SD2022/0137933")</x:f>
      </x:c>
      <x:c r="B737" s="3" t="inlineStr">
        <x:is>
          <x:t>BE BEAUTY UNIVERSE</x:t>
        </x:is>
      </x:c>
      <x:c r="C737" s="9" t="inlineStr">
        <x:is>
          <x:t/>
        </x:is>
      </x:c>
      <x:c r="D737" s="3" t="inlineStr">
        <x:is>
          <x:t>26 dic. 2022</x:t>
        </x:is>
      </x:c>
      <x:c r="E737" s="3" t="inlineStr">
        <x:is>
          <x:t/>
        </x:is>
      </x:c>
      <x:c r="F737" s="3" t="inlineStr">
        <x:is>
          <x:t>Negada</x:t>
        </x:is>
      </x:c>
      <x:c r="G737" s="3" t="inlineStr">
        <x:is>
          <x:t>BE BEAUTY UNIVERSE</x:t>
        </x:is>
      </x:c>
      <x:c r="H737" s="3" t="inlineStr">
        <x:is>
          <x:t>MARIA JOSE  CORREA SALAZAR, tranversal 32b #74d - 10, MEDELLIN, ANTIOQUIA 05001, CO</x:t>
        </x:is>
      </x:c>
      <x:c r="I737" s="3" t="inlineStr">
        <x:is>
          <x:t>3, 21</x:t>
        </x:is>
      </x:c>
      <x:c r="J737" s="3" t="inlineStr">
        <x:is>
          <x:t>11</x:t>
        </x:is>
      </x:c>
      <x:c r="K737" s="3" t="inlineStr">
        <x:is>
          <x:t>3. Bases de maquillaje; bases de maquillaje para la piel;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[cosméticos]; maquillaje para el rostro; maquillaje para el rostro y el cuerpo; maquillaje para la cara; maquillaje para la piel; maquillaje para los ojos; maquillajes de ojos; maquillajes faciales; preparaciones de maquillaje para el rostro y el cuerpo; productos cosméticos y de maquillaje.
21. Aplicadores de maquillaje; aplicadores de maquillaje para ojos; brochas y pinceles de maquillaje; esponjas de maquillaje biodegradables; esponjas para aplicar maquillaje; esponjitas faciales para aplicar maquillaje.
</x:t>
        </x:is>
      </x:c>
      <x:c r="L737" s="3" t="inlineStr">
        <x:is>
          <x:t>No</x:t>
        </x:is>
      </x:c>
      <x:c r="M737" s="3" t="inlineStr">
        <x:is>
          <x:t>ESTEBAN CALLE NIETO, Carrera 35 # 29 -81, MEDELLIN,, ANTIOQUIA 57, CO</x:t>
        </x:is>
      </x:c>
      <x:c r="N737" s="3" t="inlineStr">
        <x:is>
          <x:t/>
        </x:is>
      </x:c>
      <x:c r="O737" s="3" t="inlineStr">
        <x:is>
          <x:t>20 jun. 2023</x:t>
        </x:is>
      </x:c>
      <x:c r="P737" s="3" t="inlineStr">
        <x:is>
          <x:t/>
        </x:is>
      </x:c>
      <x:c r="Q737" s="3" t="inlineStr">
        <x:is>
          <x:t/>
        </x:is>
      </x:c>
    </x:row>
    <x:row r="738">
      <x:c r="A738" s="10" t="inlineStr">
        <x:f xml:space="preserve">HYPERLINK("http://sipi.sic.gov.co/sipi/View.ashx?4527361","SD2022/0137958")</x:f>
      </x:c>
      <x:c r="B738" s="3" t="inlineStr">
        <x:is>
          <x:t>johana piel sana </x:t>
        </x:is>
      </x:c>
      <x:c r="C738" s="9" t="inlineStr">
        <x:is>
          <x:t/>
        </x:is>
      </x:c>
      <x:c r="D738" s="3" t="inlineStr">
        <x:is>
          <x:t>26 dic. 2022</x:t>
        </x:is>
      </x:c>
      <x:c r="E738" s="3" t="inlineStr">
        <x:is>
          <x:t/>
        </x:is>
      </x:c>
      <x:c r="F738" s="3" t="inlineStr">
        <x:is>
          <x:t>Negada</x:t>
        </x:is>
      </x:c>
      <x:c r="G738" s="3" t="inlineStr">
        <x:is>
          <x:t/>
        </x:is>
      </x:c>
      <x:c r="H738" s="3" t="inlineStr">
        <x:is>
          <x:t>diana carolina  jaramillo aristizabal, cra 42 # 49-51, SANTUARIO, ANTIOQUIA, CO</x:t>
        </x:is>
      </x:c>
      <x:c r="I738" s="3" t="inlineStr">
        <x:is>
          <x:t>3</x:t>
        </x:is>
      </x:c>
      <x:c r="J738" s="3" t="inlineStr">
        <x:is>
          <x:t>11</x:t>
        </x:is>
      </x:c>
      <x:c r="K73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38" s="3" t="inlineStr">
        <x:is>
          <x:t>No</x:t>
        </x:is>
      </x:c>
      <x:c r="M738" s="3" t="inlineStr">
        <x:is>
          <x:t/>
        </x:is>
      </x:c>
      <x:c r="N738" s="3" t="inlineStr">
        <x:is>
          <x:t/>
        </x:is>
      </x:c>
      <x:c r="O738" s="3" t="inlineStr">
        <x:is>
          <x:t>05 abr. 2023</x:t>
        </x:is>
      </x:c>
      <x:c r="P738" s="3" t="inlineStr">
        <x:is>
          <x:t/>
        </x:is>
      </x:c>
      <x:c r="Q738" s="3" t="inlineStr">
        <x:is>
          <x:t/>
        </x:is>
      </x:c>
    </x:row>
    <x:row r="739">
      <x:c r="A739" s="10" t="inlineStr">
        <x:f xml:space="preserve">HYPERLINK("http://sipi.sic.gov.co/sipi/View.ashx?4527376","SD2022/0137961")</x:f>
      </x:c>
      <x:c r="B739" s="3" t="inlineStr">
        <x:is>
          <x:t>LAVANTINA PRODUCTOS DE LIMPIEZA</x:t>
        </x:is>
      </x:c>
      <x:c r="C739" s="9" t="inlineStr">
        <x:is>
          <x:t/>
        </x:is>
      </x:c>
      <x:c r="D739" s="3" t="inlineStr">
        <x:is>
          <x:t>26 dic. 2022</x:t>
        </x:is>
      </x:c>
      <x:c r="E739" s="3" t="inlineStr">
        <x:is>
          <x:t/>
        </x:is>
      </x:c>
      <x:c r="F739" s="3" t="inlineStr">
        <x:is>
          <x:t>Negada</x:t>
        </x:is>
      </x:c>
      <x:c r="G739" s="3" t="inlineStr">
        <x:is>
          <x:t/>
        </x:is>
      </x:c>
      <x:c r="H739" s="3" t="inlineStr">
        <x:is>
          <x:t>VALENTINA CARRILLO LONDOÑO, CALLE 24 N 5A 64 EL CARMEN, IBAGUE, TOLIMA, CO</x:t>
        </x:is>
      </x:c>
      <x:c r="I739" s="3" t="inlineStr">
        <x:is>
          <x:t>3, 35</x:t>
        </x:is>
      </x:c>
      <x:c r="J739" s="3" t="inlineStr">
        <x:is>
          <x:t>11</x:t>
        </x:is>
      </x:c>
      <x:c r="K739" s="3" t="inlineStr">
        <x:is>
          <x:t>3. Aceites esenciales para la fabricación de productos perfumados; aceites esenciales para uso en la fabricación de productos neutralizadores de olores; aceites perfumados para la fabricación de productos cosméticos; almohadillas de limpieza impregnadas con productos cosméticos; almohadillas limpiadoras impregnadas de productos cosméticos; ambientadores de interior [productos para perfumar el aire]; ambientadores de interior [productos para perfumar el ambiente]; ambientadores de interior en cuanto productos para perfumar el aire; ambientadores de interior en cuanto productos para perfumar el ambiente; colonias, perfumes y productos cosméticos; correctores de imperfecciones [productos cosméticos]; cremas de limpieza [productos cosméticos]; cremas limpiadoras [productos cosméticos]; desodorantes corporales [productos de perfumería]; desodorantes para personas o animales [productos de perfumería]; esponjas impregnadas con productos de tocador; esponjas impregnadas con productos de tocador no medicinales; espumas en cuanto productos par el peinado; espumas para el cabello [productos de tocador]; espumas para el peinado del cabello [productos de tocador]; extractos de flores [productos de perfumería]; extractos de flores en cuanto productos de perfumería; fragancias y productos de perfumería; geles para después del sol [productos cosméticos]; iononas [productos de perfumería]; leches para después del sol [productos cosméticos]; limpiadores cutáneos [productos cosméticos]; limpiadores de la piel [productos cosméticos]; limpiadores faciales [productos cosméticos]; lociones para bebés [productos de tocador]; lociones para la piel [productos cosméticos]; mascarillas faciales [productos cosméticos]; paños desechables impregnados de productos o compuestos químicos limpiadores para uso industrial o comercial; paños desechables impregnados de productos químicos o compuestos limpiadores para la higiene personal; paños impregnados de productos de limpieza para la piel; paños impregnados de productos limpiadores para la piel; paños o toallitas impregnados de productos limpiadores para la piel; perfumes, aguas de colonia y productos para después del afeitado; polvos para bebés [productos de tocador]; preparaciones blanqueadoras para la piel [productos cosméticos]; preparaciones de higiene en cuanto productos de tocador; preparaciones de protección solar [productos cosméticos]; preparaciones higiénicas en cuanto productos de tocador no medicinales; preparaciones no medicinales para el aseo de animales que no sean productos para lavarlos; preparaciones para el cuidado de la piel [productos cosméticos]; preparaciones sanitarias en cuanto productos de tocador no medicinales; preparaciones y productos para el cuidado de las uñas; productos antiestáticos para uso doméstico; productos antitranspirantes [artículos de tocador]; productos aromáticos para uso doméstico; productos blanqueadores [lavandería]; productos blanqueadores de dientes; productos blanqueadores para el cuero; productos blanqueadores para lavar la ropa; productos blanqueadores para uso doméstico; productos con filtro solar; productos con filtro solar a prueba de agua; productos con filtro solar para uso cosmético; productos con filtro solar resistentes al agua; productos con pantalla solar;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afeitar; productos de aromaterapia; productos de enjuague para el cabello; productos de enjuague para el cabello [champús acondicionadores]; productos de fumigación [perfumes]; productos de glaseado para lavar la ropa; productos de jabón; productos de jabón no medicinales;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productos de limpieza para uso en azulejos; productos de limpieza para vidrios; productos de limpieza químicos en forma de gel para desagües; productos de limpieza químicos en forma de polvo para desagües; productos de limpieza químicos en forma líquida para desagües; productos de limpieza químicos para desagües; productos de limpieza ácidos para desagües; productos de maquillaje;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perfumería, inciensos y fragancias; productos de revestimiento para esculpir uñas; productos de revestimiento para esculpir uñas [productos cosméticos]; productos de textura para el cabello; productos de tocador no medicinales; productos decolorantes para el cabello; productos depilatorios; productos desengrasantes que no sean para procesos de fabricación; productos desoxidantes; productos en aerosol para refrescar el aliento; productos hidratantes antienvejecimiento; productos hidratantes para después del sol; productos hidratantes para el cabello; productos limpiadores con desodorante para lechos higiénicos de animales; productos neutralizantes para permanentes; productos no medicamentosos para refrescar el aliento; productos no medicinales para el cuidado de la piel; productos no medicinales para enjuagarse la boca y hacer gargarismos; productos no medicinales para lavarse las manos; productos no medicinales para lavarse y enjuagarse la boca; productos para ablandar las uñas; productos para aclarar el cabello; productos para aclarar la piel; productos para afilar; productos para afinar el grano de la piel; productos para alisar [lavandería]; productos para amolar; productos para blanquear los dientes; productos para dar brillo; productos para decolorar el cabello; productos para después del afeitado; productos para desrizar el cabello; productos para el cuidado de la piel, no medicinales; productos para el cuidado de las uñas; productos para eliminar las manchas producidas por animales de compañía; productos para lavar perros [champús]; productos para lavar platos; productos para limpiar papel pintado; productos para limpiar papel tapiz; productos para lustrar automóviles; productos para lustrar cromo; productos para lustrar cueros; productos para lustrar instrumentos musicales; productos para lustrar muebles; productos para lustrar pieles curtidas; productos para lustrar pisos; productos para lustrar suelos; productos para mejorar la textura de la piel; productos para perfumar el ambiente; productos para perfumar la ropa; productos para poner la ropa en remojo; productos para pulir guitarras; productos para pulir metales; productos para pulir muebles y pisos; productos para pulir muebles y suelos; productos para quitar barnices; productos para quitar lacas; productos para quitar pinturas; productos para quitar tintes; productos para refrescar el aliento; productos para refrescar el aliento que no sean para uso médico; productos para refrescar el aliento, a saber, barritas masticables de extractos de abedul; productos para refrescar la piel; productos para remojar la ropa; productos para suavizar y eliminar las manchas; productos químicos de uso doméstico para avivar los colores [lavandería]; productos y preparaciones cosméticos para el cuidado de la piel; productos y preparaciones no medicinales para el cuidado de la piel; productos y preparaciones para el cuidado del cabello; protectores solares para los labios [productos cosméticos]; talco para bebés [productos de tocador]; tintes labiales [productos cosméticos]; tintes para los labios [productos cosméticos]; toallas de papel para las manos impregnadas de productos cosméticos; toallitas impregnadas de productos cosméticos; toallitas impregnadas de productos limpiadores para la piel; toallitas o paños impregnados de productos limpiadores para la piel; vainillina sintética [productos de perfumería]; ámbar [productos de perfumería].
35. Información sobre las ventas de productos; información y asesoramiento comerciales al consumidor en la selección de productos y servicios; investigación de marketing en el ámbito de los productos cosméticos, la perfumería y los productos de belleza; marketing de productos; marketing de productos y servicios de terceros; merchandising de productos; negociación de contratos en relación con la compra y la venta de productos; presentación de empresas y de sus productos y servicios en internet; presentación de empresas, sus productos y servicios en internet; presentación de productos y servicios por medios electrónicos; promoción comercial de productos; promoción de la venta de productos y servicios de terceros mediante eventos promocionales; promoción de la venta de productos y servicios de terceros mediante materiales impresos; promoción de productos y servicios de terceros; promoción de productos y servicios de terceros mediante anuncios en sitios web; promoción de productos y servicios de terceros mediante la administración de programas de ventas e incentivos promocionales mediante cupones comerciales; promoción de productos y servicios de terceros mediante la distribución de tarjetas de descuento; promoción de productos y servicios de terceros mediante la preparación y publicación de anuncios publicitarios en revistas electrónicas; promoción de productos y servicios de terceros mediante programas de clientes preferentes; promoción de productos y servicios de terceros mediante programas de tarjetas de descuento; promoción de productos y servicios de terceros mediante programas de tarjetas de fidelización; promoción de productos y servicios de terceros mediante publirreportajes; promoción de productos y servicios de terceros por internet; publicidad para productos farmacéuticos y productos de imaginología in vivo; servicios de agencia de ventas de productos cosméticos; servicios de agencia de ventas de productos de maquillaje; servicios de asistencia relacionados con la comercialización de productos en el marco de contratos de franquicia; servicios de distribución comercial al por mayor de productos cosméticos; servicios de distribución comercial al por mayor de productos frescos; servicios de exhibición de productos; servicios de exhibición de productos de comercialización; servicios de exhibición de productos de merchandising; servicios de gestión de negocios en relación con actividades de marketing y el lanzamiento de nuevos productos; servicios de información sobre productos de consumo; servicios de información sobre productos de consumo relacionados con productos cosméticos; servicios de intermediarios comerciales para la compra y venta de productos de consumo; servicios de mercadeo destinados a incitar la compra de productos de terceros; servicios de presentación de productos; servicios de presentación de productos de comercialización; servicios de presentación de productos de comercialización para fines comerciales; servicios de presentación de productos de merchandising para fines comerciales; servicios de presentación de productos para su comercialización; servicios de promoción de productos y servicios de terceros; servicios de publicidad en relación con productos cosméticos; servicios de publicidad en relación con productos de perfumería; servicios de publicidad para la promoción de productos; servicios de publicidad relacionados con la venta de productos; servicios de tiendas mayoristas de productos de tocador; servicios de tiendas mayoristas en línea de productos comestibles; servicios de tiendas mayoristas en línea de productos de papel desechables; servicios de tiendas minoristas de productos de limpieza; servicios de tiendas minoristas de productos de papel desechables; servicios de tiendas minoristas de productos de tocador; servicios de venta de tienda al por menor en línea de productos cosméticos y de belleza; servicios de venta de tienda al por menor en línea que incluyen productos cosméticos y de belleza; servicios de venta de tienda minorista en línea de productos cosméticos y de belleza; servicios de venta de tienda minorista en línea en relación con productos cosméticos y de belleza; servicios de venta de tienda minorista en línea que incluyen productos cosméticos y de belleza; servicios de venta mayorista en relación con productos comestibles; servicios de venta minorista de productos de tocador; servicios de venta minorista en línea de productos cosméticos; servicios de venta minorista en línea de productos cosméticos y de belleza, así como de prendas de vestir y complementos; servicios de venta minorista en línea en relación con productos cosméticos; servicios de venta minorista en relación con productos de tocador; servicios de venta minorista o mayorista de productos cosméticos; servicios de venta minorista o mayorista de productos cosméticos, productos de tocador, dentífricos, jabones y detergentes; servicios de venta minorista o mayorista de productos de tocador.
</x:t>
        </x:is>
      </x:c>
      <x:c r="L739" s="3" t="inlineStr">
        <x:is>
          <x:t>No</x:t>
        </x:is>
      </x:c>
      <x:c r="M739" s="3" t="inlineStr">
        <x:is>
          <x:t/>
        </x:is>
      </x:c>
      <x:c r="N739" s="3" t="inlineStr">
        <x:is>
          <x:t/>
        </x:is>
      </x:c>
      <x:c r="O739" s="3" t="inlineStr">
        <x:is>
          <x:t>05 abr. 2023</x:t>
        </x:is>
      </x:c>
      <x:c r="P739" s="3" t="inlineStr">
        <x:is>
          <x:t/>
        </x:is>
      </x:c>
      <x:c r="Q739" s="3" t="inlineStr">
        <x:is>
          <x:t/>
        </x:is>
      </x:c>
    </x:row>
    <x:row r="740">
      <x:c r="A740" s="10" t="inlineStr">
        <x:f xml:space="preserve">HYPERLINK("http://sipi.sic.gov.co/sipi/View.ashx?4527639","SD2022/0138634")</x:f>
      </x:c>
      <x:c r="B740" s="3" t="inlineStr">
        <x:is>
          <x:t>Bora Maquillaje By Melissa Murillo</x:t>
        </x:is>
      </x:c>
      <x:c r="C740" s="9" t="inlineStr">
        <x:is>
          <x:t/>
        </x:is>
      </x:c>
      <x:c r="D740" s="3" t="inlineStr">
        <x:is>
          <x:t>27 dic. 2022</x:t>
        </x:is>
      </x:c>
      <x:c r="E740" s="3" t="inlineStr">
        <x:is>
          <x:t/>
        </x:is>
      </x:c>
      <x:c r="F740" s="3" t="inlineStr">
        <x:is>
          <x:t>Negada</x:t>
        </x:is>
      </x:c>
      <x:c r="G740" s="3" t="inlineStr">
        <x:is>
          <x:t>Boramaq</x:t>
        </x:is>
      </x:c>
      <x:c r="H740" s="3" t="inlineStr">
        <x:is>
          <x:t>Yely Melissa Murillo Mena, Calle 56 #41-170, MEDELLIN, ANTIOQUIA 050016, CO</x:t>
        </x:is>
      </x:c>
      <x:c r="I740" s="3" t="inlineStr">
        <x:is>
          <x:t>3, 35, 44</x:t>
        </x:is>
      </x:c>
      <x:c r="J740" s="3" t="inlineStr">
        <x:is>
          <x:t>11</x:t>
        </x:is>
      </x:c>
      <x:c r="K740" s="3" t="inlineStr">
        <x:is>
          <x:t>3. Maquillaje [cosméticos]; bases de maquillaje; kits de cosméticos que comprenden principalmente máscara de pestañas, lápices de labios, lápices de cejas, maquillaje, fundación de maquillaje y brillos de labios; kits de maquillaje; lápices de maquillaje; maquillaje para el rostro y el cuerpo; maquillaje para la piel; maquillaje para los ojos; polvos de maquillaje; productos de maquillaje; sprays para fijar el maquillaje; aceite de coco para uso cosmético; aceite de rosas para uso cosmético; aceites bronceadores [cosméticos]; aceites cosméticos; aceites de protección solar [cosméticos]; aceites para después del sol [productos cosméticos]; aerosoles cosméticos de uso tópico para la piel; algodón e hisopos de algodón para uso cosmético; almohadillas de algodón para uso cosmético; barras de labios con protección solar [cosméticos]; bloqueador solar [cosméticos]; brillos para uso cosmético; cosméticos; cosméticos en forma de cremas; cosméticos en forma de polvos; cosméticos naturales; crema corporal para uso cosmético; cremas antienvejecimiento para uso cosmético; cremas de limpieza [cosméticos]; cremas exfoliantes para uso cosmético; cremas, leches, lociones, geles y polvos cosméticos para la cara, el cuerpo y las manos; esmaltes de uñas para uso cosmético; extractos de plantas para uso cosmético; geles cosméticos; henna para uso cosmético; hidratantes [cosméticos]; hidratantes faciales [cosméticos]; jabones cosméticos; limpiadores cosméticos cutáneos; limpiadores de la piel [cosméticos]; lociones hidratantes [cosméticos]; lápices de ojos para uso cosmético; mascarillas corporales para uso cosmético; mascarillas faciales [productos cosméticos]; polvos cosméticos.
35. Servicios de tiendas mayoristas de preparaciones de maquillaje; asesoramiento sobre productos de consumo en relación con productos cosméticos; servicio de distribución comercial en el ámbito de los cosméticos; servicios de agencia de ventas de productos cosméticos; servicios de distribución comercial al por mayor de productos cosméticos; servicios de información sobre productos de consumo relacionados con productos cosméticos; servicios de publicidad en relación con productos cosméticos; servicios de venta de tienda al por menor en línea de productos cosméticos y de belleza; servicios de venta minorista en línea de cosméticos; servicios de venta minorista o mayorista de productos cosméticos; servicios de venta minorista por correspondencia de productos cosméticos.
44. Servicios de consulta en línea o en persona sobre maquillaje; servicios de consulta y aplicación de maquillaje; servicios de consultas sobre maquillaje; servicios de tratamientos cosméticos corporales; tratamientos cosméticos para el cabello; servicios de tratamientos cosméticos faciales y corporales; servicios de depilación de cejas con hilo; servicios de teñido de cejas.
</x:t>
        </x:is>
      </x:c>
      <x:c r="L740" s="3" t="inlineStr">
        <x:is>
          <x:t>No</x:t>
        </x:is>
      </x:c>
      <x:c r="M740" s="3" t="inlineStr">
        <x:is>
          <x:t/>
        </x:is>
      </x:c>
      <x:c r="N740" s="3" t="inlineStr">
        <x:is>
          <x:t/>
        </x:is>
      </x:c>
      <x:c r="O740" s="3" t="inlineStr">
        <x:is>
          <x:t>26 ene. 2023</x:t>
        </x:is>
      </x:c>
      <x:c r="P740" s="3" t="inlineStr">
        <x:is>
          <x:t/>
        </x:is>
      </x:c>
      <x:c r="Q740" s="3" t="inlineStr">
        <x:is>
          <x:t/>
        </x:is>
      </x:c>
    </x:row>
    <x:row r="741">
      <x:c r="A741" s="10" t="inlineStr">
        <x:f xml:space="preserve">HYPERLINK("http://sipi.sic.gov.co/sipi/View.ashx?4528121","SD2022/0138172")</x:f>
      </x:c>
      <x:c r="B741" s="3" t="inlineStr">
        <x:is>
          <x:t>KO REAL</x:t>
        </x:is>
      </x:c>
      <x:c r="C741" s="9" t="inlineStr">
        <x:is>
          <x:t/>
        </x:is>
      </x:c>
      <x:c r="D741" s="3" t="inlineStr">
        <x:is>
          <x:t>26 dic. 2022</x:t>
        </x:is>
      </x:c>
      <x:c r="E741" s="3" t="inlineStr">
        <x:is>
          <x:t/>
        </x:is>
      </x:c>
      <x:c r="F741" s="3" t="inlineStr">
        <x:is>
          <x:t>Negada</x:t>
        </x:is>
      </x:c>
      <x:c r="G741" s="3" t="inlineStr">
        <x:is>
          <x:t/>
        </x:is>
      </x:c>
      <x:c r="H741" s="3" t="inlineStr">
        <x:is>
          <x:t>ALVARO JOSE CASTAÑO MENDOZA, CR 42B NO 25A SUR 151, ENVIGADO, ANTIOQUIA, CO</x:t>
        </x:is>
      </x:c>
      <x:c r="I741" s="3" t="inlineStr">
        <x:is>
          <x:t>3</x:t>
        </x:is>
      </x:c>
      <x:c r="J741" s="3" t="inlineStr">
        <x:is>
          <x:t>11</x:t>
        </x:is>
      </x:c>
      <x:c r="K741" s="3" t="inlineStr">
        <x:is>
          <x:t>3. Cremas faciales para uso cosmético; cremas no medicadas para exfoliantes faciales; emulsiones faciales; exfoliantes faciales; hidratantes faciales; jabones faciales; limpiadores faciales [cosméticos]; lociones faciales; cremas cosméticas para el rostro; cremas de belleza para el rostro y el cuerpo; cremas para el rostro.
</x:t>
        </x:is>
      </x:c>
      <x:c r="L741" s="3" t="inlineStr">
        <x:is>
          <x:t>Sí</x:t>
        </x:is>
      </x:c>
      <x:c r="M741" s="3" t="inlineStr">
        <x:is>
          <x:t/>
        </x:is>
      </x:c>
      <x:c r="N741" s="3" t="inlineStr">
        <x:is>
          <x:t/>
        </x:is>
      </x:c>
      <x:c r="O741" s="3" t="inlineStr">
        <x:is>
          <x:t>17 mar. 2023</x:t>
        </x:is>
      </x:c>
      <x:c r="P741" s="3" t="inlineStr">
        <x:is>
          <x:t/>
        </x:is>
      </x:c>
      <x:c r="Q741" s="3" t="inlineStr">
        <x:is>
          <x:t/>
        </x:is>
      </x:c>
    </x:row>
    <x:row r="742">
      <x:c r="A742" s="10" t="inlineStr">
        <x:f xml:space="preserve">HYPERLINK("http://sipi.sic.gov.co/sipi/View.ashx?4528377","SD2022/0138256")</x:f>
      </x:c>
      <x:c r="B742" s="3" t="inlineStr">
        <x:is>
          <x:t>NEBA COSMETICS</x:t>
        </x:is>
      </x:c>
      <x:c r="C742" s="9" t="inlineStr">
        <x:is>
          <x:t/>
        </x:is>
      </x:c>
      <x:c r="D742" s="3" t="inlineStr">
        <x:is>
          <x:t>26 dic. 2022</x:t>
        </x:is>
      </x:c>
      <x:c r="E742" s="3" t="inlineStr">
        <x:is>
          <x:t/>
        </x:is>
      </x:c>
      <x:c r="F742" s="3" t="inlineStr">
        <x:is>
          <x:t>Negada</x:t>
        </x:is>
      </x:c>
      <x:c r="G742" s="3" t="inlineStr">
        <x:is>
          <x:t>NEBA COSMETICS</x:t>
        </x:is>
      </x:c>
      <x:c r="H742" s="3" t="inlineStr">
        <x:is>
          <x:t>Daniel Jesus Chavez Del Rio, Villa Estrella - Condominio Carioca - Edificio Flamengo - Torre 3 Apto. 808, CARTAGENA, BOLIVAR 130006, CO</x:t>
        </x:is>
      </x:c>
      <x:c r="I742" s="3" t="inlineStr">
        <x:is>
          <x:t>3</x:t>
        </x:is>
      </x:c>
      <x:c r="J742" s="3" t="inlineStr">
        <x:is>
          <x:t>11</x:t>
        </x:is>
      </x:c>
      <x:c r="K742" s="3" t="inlineStr">
        <x:is>
          <x:t>3. Aceites esenciales naturales; cosméticos naturales; productos de perfumería naturales; aceite de ricino para uso cosmético; aceites bronceadores [cosméticos]; aceites esenciales para uso cosmético; aceites minerales [cosméticos]; basma para uso cosmético; cintas de lifting facial para uso cosmético; colonias, perfumes y productos cosméticos; cosméticos; cosméticos a base de cannabis; cosméticos a base de cáñamo; cosméticos a base de hierbas; cosméticos biológicos; cosméticos ecológicos; cosméticos orgánicos; geles para uso cosmético; hidratantes [cosméticos].
</x:t>
        </x:is>
      </x:c>
      <x:c r="L742" s="3" t="inlineStr">
        <x:is>
          <x:t>No</x:t>
        </x:is>
      </x:c>
      <x:c r="M742" s="3" t="inlineStr">
        <x:is>
          <x:t/>
        </x:is>
      </x:c>
      <x:c r="N742" s="3" t="inlineStr">
        <x:is>
          <x:t/>
        </x:is>
      </x:c>
      <x:c r="O742" s="3" t="inlineStr">
        <x:is>
          <x:t>19 may. 2023</x:t>
        </x:is>
      </x:c>
      <x:c r="P742" s="3" t="inlineStr">
        <x:is>
          <x:t/>
        </x:is>
      </x:c>
      <x:c r="Q742" s="3" t="inlineStr">
        <x:is>
          <x:t/>
        </x:is>
      </x:c>
    </x:row>
    <x:row r="743">
      <x:c r="A743" s="10" t="inlineStr">
        <x:f xml:space="preserve">HYPERLINK("http://sipi.sic.gov.co/sipi/View.ashx?4528397","SD2022/0138264")</x:f>
      </x:c>
      <x:c r="B743" s="3" t="inlineStr">
        <x:is>
          <x:t>farmarket</x:t>
        </x:is>
      </x:c>
      <x:c r="C743" s="3" t="inlineStr">
        <x:is>
          <x:t/>
        </x:is>
      </x:c>
      <x:c r="D743" s="3" t="inlineStr">
        <x:is>
          <x:t>26 dic. 2022</x:t>
        </x:is>
      </x:c>
      <x:c r="E743" s="3" t="inlineStr">
        <x:is>
          <x:t/>
        </x:is>
      </x:c>
      <x:c r="F743" s="3" t="inlineStr">
        <x:is>
          <x:t>Negada</x:t>
        </x:is>
      </x:c>
      <x:c r="G743" s="3" t="inlineStr">
        <x:is>
          <x:t/>
        </x:is>
      </x:c>
      <x:c r="H743" s="3" t="inlineStr">
        <x:is>
          <x:t>Luisa Fernanda Álvarez Arcila, Cra 25 # 9-74, LA CEJA, ANTIOQUIA 055010, CO</x:t>
        </x:is>
      </x:c>
      <x:c r="I743" s="3" t="inlineStr">
        <x:is>
          <x:t>3, 5</x:t>
        </x:is>
      </x:c>
      <x:c r="J743" s="3" t="inlineStr">
        <x:is>
          <x:t>11</x:t>
        </x:is>
      </x:c>
      <x:c r="K743"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x:t>
        </x:is>
      </x:c>
      <x:c r="L743" s="3" t="inlineStr">
        <x:is>
          <x:t>No</x:t>
        </x:is>
      </x:c>
      <x:c r="M743" s="3" t="inlineStr">
        <x:is>
          <x:t/>
        </x:is>
      </x:c>
      <x:c r="N743" s="3" t="inlineStr">
        <x:is>
          <x:t/>
        </x:is>
      </x:c>
      <x:c r="O743" s="3" t="inlineStr">
        <x:is>
          <x:t>05 abr. 2023</x:t>
        </x:is>
      </x:c>
      <x:c r="P743" s="3" t="inlineStr">
        <x:is>
          <x:t/>
        </x:is>
      </x:c>
      <x:c r="Q743" s="3" t="inlineStr">
        <x:is>
          <x:t/>
        </x:is>
      </x:c>
    </x:row>
    <x:row r="744">
      <x:c r="A744" s="10" t="inlineStr">
        <x:f xml:space="preserve">HYPERLINK("http://sipi.sic.gov.co/sipi/View.ashx?4528496","SD2022/0138289")</x:f>
      </x:c>
      <x:c r="B744" s="3" t="inlineStr">
        <x:is>
          <x:t>farmalife</x:t>
        </x:is>
      </x:c>
      <x:c r="C744" s="3" t="inlineStr">
        <x:is>
          <x:t/>
        </x:is>
      </x:c>
      <x:c r="D744" s="3" t="inlineStr">
        <x:is>
          <x:t>26 dic. 2022</x:t>
        </x:is>
      </x:c>
      <x:c r="E744" s="3" t="inlineStr">
        <x:is>
          <x:t/>
        </x:is>
      </x:c>
      <x:c r="F744" s="3" t="inlineStr">
        <x:is>
          <x:t>Negada</x:t>
        </x:is>
      </x:c>
      <x:c r="G744" s="3" t="inlineStr">
        <x:is>
          <x:t/>
        </x:is>
      </x:c>
      <x:c r="H744" s="3" t="inlineStr">
        <x:is>
          <x:t>Luisa Fernanda Álvarez Arcila, Cra 25 # 9-74, LA CEJA, ANTIOQUIA 055010, CO</x:t>
        </x:is>
      </x:c>
      <x:c r="I744" s="3" t="inlineStr">
        <x:is>
          <x:t>3, 5</x:t>
        </x:is>
      </x:c>
      <x:c r="J744" s="3" t="inlineStr">
        <x:is>
          <x:t>11</x:t>
        </x:is>
      </x:c>
      <x:c r="K744" s="3" t="inlineStr">
        <x:is>
          <x:t>3.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x:t>
        </x:is>
      </x:c>
      <x:c r="L744" s="3" t="inlineStr">
        <x:is>
          <x:t>Sí</x:t>
        </x:is>
      </x:c>
      <x:c r="M744" s="3" t="inlineStr">
        <x:is>
          <x:t/>
        </x:is>
      </x:c>
      <x:c r="N744" s="3" t="inlineStr">
        <x:is>
          <x:t/>
        </x:is>
      </x:c>
      <x:c r="O744" s="3" t="inlineStr">
        <x:is>
          <x:t>05 abr. 2023</x:t>
        </x:is>
      </x:c>
      <x:c r="P744" s="3" t="inlineStr">
        <x:is>
          <x:t/>
        </x:is>
      </x:c>
      <x:c r="Q744" s="3" t="inlineStr">
        <x:is>
          <x:t/>
        </x:is>
      </x:c>
    </x:row>
    <x:row r="745">
      <x:c r="A745" s="10" t="inlineStr">
        <x:f xml:space="preserve">HYPERLINK("http://sipi.sic.gov.co/sipi/View.ashx?4528530","SD2022/0138298")</x:f>
      </x:c>
      <x:c r="B745" s="3" t="inlineStr">
        <x:is>
          <x:t>Iso drink</x:t>
        </x:is>
      </x:c>
      <x:c r="C745" s="3" t="inlineStr">
        <x:is>
          <x:t/>
        </x:is>
      </x:c>
      <x:c r="D745" s="3" t="inlineStr">
        <x:is>
          <x:t>26 dic. 2022</x:t>
        </x:is>
      </x:c>
      <x:c r="E745" s="3" t="inlineStr">
        <x:is>
          <x:t/>
        </x:is>
      </x:c>
      <x:c r="F745" s="3" t="inlineStr">
        <x:is>
          <x:t>Negada</x:t>
        </x:is>
      </x:c>
      <x:c r="G745" s="3" t="inlineStr">
        <x:is>
          <x:t/>
        </x:is>
      </x:c>
      <x:c r="H745" s="3" t="inlineStr">
        <x:is>
          <x:t>Luisa Fernanda Álvarez Arcila, Cra 25 # 9-74, LA CEJA, ANTIOQUIA 055010, CO</x:t>
        </x:is>
      </x:c>
      <x:c r="I745" s="3" t="inlineStr">
        <x:is>
          <x:t>3, 5</x:t>
        </x:is>
      </x:c>
      <x:c r="J745" s="3" t="inlineStr">
        <x:is>
          <x:t>11</x:t>
        </x:is>
      </x:c>
      <x:c r="K745"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champús no medicinales para animales de compañía;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x:t>
        </x:is>
      </x:c>
      <x:c r="L745" s="3" t="inlineStr">
        <x:is>
          <x:t>No</x:t>
        </x:is>
      </x:c>
      <x:c r="M745" s="3" t="inlineStr">
        <x:is>
          <x:t/>
        </x:is>
      </x:c>
      <x:c r="N745" s="3" t="inlineStr">
        <x:is>
          <x:t/>
        </x:is>
      </x:c>
      <x:c r="O745" s="3" t="inlineStr">
        <x:is>
          <x:t>27 mar. 2023</x:t>
        </x:is>
      </x:c>
      <x:c r="P745" s="3" t="inlineStr">
        <x:is>
          <x:t/>
        </x:is>
      </x:c>
      <x:c r="Q745" s="3" t="inlineStr">
        <x:is>
          <x:t/>
        </x:is>
      </x:c>
    </x:row>
    <x:row r="746">
      <x:c r="A746" s="10" t="inlineStr">
        <x:f xml:space="preserve">HYPERLINK("http://sipi.sic.gov.co/sipi/View.ashx?4528540","SD2022/0138301")</x:f>
      </x:c>
      <x:c r="B746" s="3" t="inlineStr">
        <x:is>
          <x:t>Electrodrink</x:t>
        </x:is>
      </x:c>
      <x:c r="C746" s="3" t="inlineStr">
        <x:is>
          <x:t/>
        </x:is>
      </x:c>
      <x:c r="D746" s="3" t="inlineStr">
        <x:is>
          <x:t>26 dic. 2022</x:t>
        </x:is>
      </x:c>
      <x:c r="E746" s="3" t="inlineStr">
        <x:is>
          <x:t/>
        </x:is>
      </x:c>
      <x:c r="F746" s="3" t="inlineStr">
        <x:is>
          <x:t>Negada</x:t>
        </x:is>
      </x:c>
      <x:c r="G746" s="3" t="inlineStr">
        <x:is>
          <x:t/>
        </x:is>
      </x:c>
      <x:c r="H746" s="3" t="inlineStr">
        <x:is>
          <x:t>Luisa Fernanda Álvarez Arcila, Cra 25 # 9-74, LA CEJA, ANTIOQUIA 055010, CO</x:t>
        </x:is>
      </x:c>
      <x:c r="I746" s="3" t="inlineStr">
        <x:is>
          <x:t>3, 5</x:t>
        </x:is>
      </x:c>
      <x:c r="J746" s="3" t="inlineStr">
        <x:is>
          <x:t>11</x:t>
        </x:is>
      </x:c>
      <x:c r="K746" s="3" t="inlineStr">
        <x:is>
          <x:t>3.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desodorantes para animales de compañía; desodorantes para personas o animales [productos de perfumería]; desodorizantes para animales de compañía; enjuagues bucales no medicinales para animales de compañía; preparaciones no medicinales para el aseo de animales que no sean productos para lavarlos; productos para eliminar las manchas producidas por animales de compañía; toallitas impregnadas con preparaciones de limpieza para animales de compañía;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cosméticos para animales; desodorantes para animales; desodorantes para personas o animales; desodorantes para uso personal y para animales; limpiadores para camas [arena] de animales; preparaciones con filtro solar para animales; preparaciones de baño no medicinales para animales; preparaciones de protección solar para animales;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aditivos en forma de vitaminas y minerales para alimentos para animales de compañía; botiquines de primeros auxilios para animales de compañía; bragas higiénicas para animales de compañía; champús medicinales para animales de compañía; collares antipulgas para animales de compañía; complementos alimenticios para animales de uso veterinario; complementos dietéticos en forma de golosinas para animales de compañía; complementos dietéticos para animales de compañía; complementos dietéticos para animales de compañía, a saber, bebidas en polvo; complementos vitamínicos y minerales para animales de compañía; desodorantes de bandejas higiénicas para animales de compañía; desodorantes para bandejas de arena higiénica para animales de compañía; enjuagues bucales medicinales para animales de compañía; envolturas sanitarias [pañales para animales de compañía]; estuches de primeros auxilios para animales de compañía; kits de primeros auxilios para animales de compañía; medicamentos de prevención contra los nematodos parásitos de animales de compañía; pañales desechables para animales de compañía; pañales para animales de compañía; preparaciones desodorantes de bandejas higiénicas para animales de compañía; preparaciones desodorantes para bandejas de arena higiénica para animales de compañía; preparaciones farmacéuticas para el tratamiento de lombrices en animales de compañía; preparaciones farmacéuticas para tratar los gusanos en animales domésticos;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la destrucción de animales dañinos; preparaciones para neutralizar los olores dejados por las animales de compañía; preparaciones para repeler animales dañinos;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ungüentos a base de hierbas para las heridas externas de animales de compañía; ungüentos antiprurito a base de hierbas para animales de compañía; vacunas veterinarias para animales de la especie bovina; vitaminas para animales de compañía;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alimentos dietéticos medicinales para animales; alimentos medicinales para animales; champús insecticidas para animales; collares antiparasitarios para animales; collares antipulgas para animales; complementos alimenticios antibióticos para animales; complementos alimenticios para animales; complementos alimenticios para personas o animales; complementos de proteínas para animales; complementos dietéticos para personas y animales; complementos medicinales para alimentos destinados a los animales; complementos nutricionales para alimentos de animales; complementos nutricionales para seres humanos y animales; desodorantes para camas de animales; desodorantes que no sean para personas ni para animales; desodorantes que no sean para personas o animales; estimulantes alimenticios para animales; fagoestimulantes para animales; implantes biológicos formados por tejidos conjuntivos humanos o animales; laxantes para animales; polvos antipulgas para animales; polvos para matar las pulgas en los animales; polvos pulguicidas para animales; preparaciones contra las picaduras o mordeduras de animales; preparaciones farmacéuticas para animales; preparaciones farmacéuticas para el cuidado de la piel de animales; preparaciones farmacéuticas para el cuidado de la piel de los animales; preparaciones medicinales para el aseo de animales; preparaciones medicinales para el baño de los animales; preparaciones medicinales para el cuidado dental de los animales; preparaciones para eliminar malas hierbas y plagas animales; preparaciones repelentes para animales, pájaros e insectos; repelentes para animales; supositorios para animales; vacunas contra las pezuñas de animales; vitaminas para animales.
</x:t>
        </x:is>
      </x:c>
      <x:c r="L746" s="3" t="inlineStr">
        <x:is>
          <x:t>Sí</x:t>
        </x:is>
      </x:c>
      <x:c r="M746" s="3" t="inlineStr">
        <x:is>
          <x:t/>
        </x:is>
      </x:c>
      <x:c r="N746" s="3" t="inlineStr">
        <x:is>
          <x:t/>
        </x:is>
      </x:c>
      <x:c r="O746" s="3" t="inlineStr">
        <x:is>
          <x:t>27 mar. 2023</x:t>
        </x:is>
      </x:c>
      <x:c r="P746" s="3" t="inlineStr">
        <x:is>
          <x:t/>
        </x:is>
      </x:c>
      <x:c r="Q746" s="3" t="inlineStr">
        <x:is>
          <x:t/>
        </x:is>
      </x:c>
    </x:row>
    <x:row r="747">
      <x:c r="A747" s="10" t="inlineStr">
        <x:f xml:space="preserve">HYPERLINK("http://sipi.sic.gov.co/sipi/View.ashx?4529062","SD2022/0140859")</x:f>
      </x:c>
      <x:c r="B747" s="3" t="inlineStr">
        <x:is>
          <x:t>KIVI</x:t>
        </x:is>
      </x:c>
      <x:c r="C747" s="9" t="inlineStr">
        <x:is>
          <x:t/>
        </x:is>
      </x:c>
      <x:c r="D747" s="3" t="inlineStr">
        <x:is>
          <x:t>29 dic. 2022</x:t>
        </x:is>
      </x:c>
      <x:c r="E747" s="3" t="inlineStr">
        <x:is>
          <x:t/>
        </x:is>
      </x:c>
      <x:c r="F747" s="3" t="inlineStr">
        <x:is>
          <x:t>Negada</x:t>
        </x:is>
      </x:c>
      <x:c r="G747" s="3" t="inlineStr">
        <x:is>
          <x:t>Kivi</x:t>
        </x:is>
      </x:c>
      <x:c r="H747" s="3" t="inlineStr">
        <x:is>
          <x:t>NICOLAS ALEXANDRO ABBRESCIA BAGETT, Cartagena, CARTAGENA, BOLIVAR, CO</x:t>
        </x:is>
      </x:c>
      <x:c r="I747" s="3" t="inlineStr">
        <x:is>
          <x:t>3</x:t>
        </x:is>
      </x:c>
      <x:c r="J747" s="3" t="inlineStr">
        <x:is>
          <x:t>11</x:t>
        </x:is>
      </x:c>
      <x:c r="K747" s="3" t="inlineStr">
        <x:is>
          <x:t>3. Cosméticos no medicinales, lociones capilares no medicinales; productos capilares.
</x:t>
        </x:is>
      </x:c>
      <x:c r="L747" s="3" t="inlineStr">
        <x:is>
          <x:t>No</x:t>
        </x:is>
      </x:c>
      <x:c r="M747" s="3" t="inlineStr">
        <x:is>
          <x:t>IVAN DARIO MARRUGO JIMENEZ , Cl. 26 #18A-31, CARTAGENA, BOLIVAR, CO</x:t>
        </x:is>
      </x:c>
      <x:c r="N747" s="3" t="inlineStr">
        <x:is>
          <x:t/>
        </x:is>
      </x:c>
      <x:c r="O747" s="3" t="inlineStr">
        <x:is>
          <x:t>10 jul. 2023</x:t>
        </x:is>
      </x:c>
      <x:c r="P747" s="3" t="inlineStr">
        <x:is>
          <x:t/>
        </x:is>
      </x:c>
      <x:c r="Q747" s="3" t="inlineStr">
        <x:is>
          <x:t/>
        </x:is>
      </x:c>
    </x:row>
    <x:row r="748">
      <x:c r="A748" s="10" t="inlineStr">
        <x:f xml:space="preserve">HYPERLINK("http://sipi.sic.gov.co/sipi/View.ashx?4529277","SD2022/0138491")</x:f>
      </x:c>
      <x:c r="B748" s="3" t="inlineStr">
        <x:is>
          <x:t>PUZANGA</x:t>
        </x:is>
      </x:c>
      <x:c r="C748" s="3" t="inlineStr">
        <x:is>
          <x:t/>
        </x:is>
      </x:c>
      <x:c r="D748" s="3" t="inlineStr">
        <x:is>
          <x:t>27 dic. 2022</x:t>
        </x:is>
      </x:c>
      <x:c r="E748" s="3" t="inlineStr">
        <x:is>
          <x:t/>
        </x:is>
      </x:c>
      <x:c r="F748" s="3" t="inlineStr">
        <x:is>
          <x:t>Negada</x:t>
        </x:is>
      </x:c>
      <x:c r="G748" s="3" t="inlineStr">
        <x:is>
          <x:t>puzanga</x:t>
        </x:is>
      </x:c>
      <x:c r="H748" s="3" t="inlineStr">
        <x:is>
          <x:t> LABORATORIOS FARMAVIC S.A.S, CALLE 30 AUT AEROPUERTO KM 7-1, SOLEDAD, ATLÁNTICO, CO</x:t>
        </x:is>
      </x:c>
      <x:c r="I748" s="3" t="inlineStr">
        <x:is>
          <x:t>3</x:t>
        </x:is>
      </x:c>
      <x:c r="J748" s="3" t="inlineStr">
        <x:is>
          <x:t>11</x:t>
        </x:is>
      </x:c>
      <x:c r="K748"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48" s="3" t="inlineStr">
        <x:is>
          <x:t>No</x:t>
        </x:is>
      </x:c>
      <x:c r="M748" s="3" t="inlineStr">
        <x:is>
          <x:t>ALICIA LLOREDA RICAURTE, CALLE 72A No. 5-83, PISO 3, BOGOTÁ, D.C., CO</x:t>
        </x:is>
      </x:c>
      <x:c r="N748" s="3" t="inlineStr">
        <x:is>
          <x:t/>
        </x:is>
      </x:c>
      <x:c r="O748" s="3" t="inlineStr">
        <x:is>
          <x:t>29 may. 2023</x:t>
        </x:is>
      </x:c>
      <x:c r="P748" s="3" t="inlineStr">
        <x:is>
          <x:t/>
        </x:is>
      </x:c>
      <x:c r="Q748" s="3" t="inlineStr">
        <x:is>
          <x:t/>
        </x:is>
      </x:c>
    </x:row>
    <x:row r="749">
      <x:c r="A749" s="10" t="inlineStr">
        <x:f xml:space="preserve">HYPERLINK("http://sipi.sic.gov.co/sipi/View.ashx?4529292","SD2022/0138537")</x:f>
      </x:c>
      <x:c r="B749" s="3" t="inlineStr">
        <x:is>
          <x:t>Super Toche</x:t>
        </x:is>
      </x:c>
      <x:c r="C749" s="3" t="inlineStr">
        <x:is>
          <x:t/>
        </x:is>
      </x:c>
      <x:c r="D749" s="3" t="inlineStr">
        <x:is>
          <x:t>27 dic. 2022</x:t>
        </x:is>
      </x:c>
      <x:c r="E749" s="3" t="inlineStr">
        <x:is>
          <x:t/>
        </x:is>
      </x:c>
      <x:c r="F749" s="3" t="inlineStr">
        <x:is>
          <x:t>Negada</x:t>
        </x:is>
      </x:c>
      <x:c r="G749" s="3" t="inlineStr">
        <x:is>
          <x:t/>
        </x:is>
      </x:c>
      <x:c r="H749" s="3" t="inlineStr">
        <x:is>
          <x:t>Jhorman Elí Cardenas Aroca, Calle 21 no. 21-79 Barrio Aguas calientes, CUCUTA, NORTE DE SANTANDER, CO</x:t>
        </x:is>
      </x:c>
      <x:c r="I749" s="3" t="inlineStr">
        <x:is>
          <x:t>3</x:t>
        </x:is>
      </x:c>
      <x:c r="J749" s="3" t="inlineStr">
        <x:is>
          <x:t>11</x:t>
        </x:is>
      </x:c>
      <x:c r="K749" s="3" t="inlineStr">
        <x:is>
          <x:t>3. Jabones no medicados para el cuerpo; jabones no medicados para la cara; jabones no medicados para las manos; jabones para la ducha; jabones para la piel; jabones para las manos; jabones de baño en forma líquida, sólida o de gel.
</x:t>
        </x:is>
      </x:c>
      <x:c r="L749" s="3" t="inlineStr">
        <x:is>
          <x:t>Sí</x:t>
        </x:is>
      </x:c>
      <x:c r="M749" s="3" t="inlineStr">
        <x:is>
          <x:t/>
        </x:is>
      </x:c>
      <x:c r="N749" s="3" t="inlineStr">
        <x:is>
          <x:t/>
        </x:is>
      </x:c>
      <x:c r="O749" s="3" t="inlineStr">
        <x:is>
          <x:t>27 abr. 2023</x:t>
        </x:is>
      </x:c>
      <x:c r="P749" s="3" t="inlineStr">
        <x:is>
          <x:t/>
        </x:is>
      </x:c>
      <x:c r="Q749" s="3" t="inlineStr">
        <x:is>
          <x:t/>
        </x:is>
      </x:c>
    </x:row>
    <x:row r="750">
      <x:c r="A750" s="10" t="inlineStr">
        <x:f xml:space="preserve">HYPERLINK("http://sipi.sic.gov.co/sipi/View.ashx?4530100","SD2022/0138718")</x:f>
      </x:c>
      <x:c r="B750" s="3" t="inlineStr">
        <x:is>
          <x:t>daga Aliz By Dani &amp; Gaby</x:t>
        </x:is>
      </x:c>
      <x:c r="C750" s="9" t="inlineStr">
        <x:is>
          <x:t/>
        </x:is>
      </x:c>
      <x:c r="D750" s="3" t="inlineStr">
        <x:is>
          <x:t>27 dic. 2022</x:t>
        </x:is>
      </x:c>
      <x:c r="E750" s="3" t="inlineStr">
        <x:is>
          <x:t/>
        </x:is>
      </x:c>
      <x:c r="F750" s="3" t="inlineStr">
        <x:is>
          <x:t>Negada</x:t>
        </x:is>
      </x:c>
      <x:c r="G750" s="3" t="inlineStr">
        <x:is>
          <x:t/>
        </x:is>
      </x:c>
      <x:c r="H750" s="3" t="inlineStr">
        <x:is>
          <x:t>IVON DANIELA PADILLA ROMERO , CARRERA 72 L # 40-38 , BOGOTÁ, D.C., CO; GABRIELA VARELA LOPEZ , CARRERA 72 L # 40-38 SUR , BOGOTÁ, D.C., CO</x:t>
        </x:is>
      </x:c>
      <x:c r="I750" s="3" t="inlineStr">
        <x:is>
          <x:t>3</x:t>
        </x:is>
      </x:c>
      <x:c r="J750" s="3" t="inlineStr">
        <x:is>
          <x:t>11</x:t>
        </x:is>
      </x:c>
      <x:c r="K750" s="3" t="inlineStr">
        <x:is>
          <x:t>3. Champúes para el cabello; champús 3 en 1; champús acondicionadores; champús capilares; champús para el cabello; champús para el cabello humano; champús para el lavado de vehículos; champús y acondicionadores; champús y acondicionadores para el cabello; tratamientos de alisado para el cabello; bálsamos capilares; cremas capilares; cremas de protección capilar, no medicinales; lociones capilares*; mascarillas para el cuidado capilar; preparaciones capilares de protección solar; tratamientos para permanentes capilares; mascarillas de belleza para el cabello; mascarillas para el cabello y el cuero cabelludo.
</x:t>
        </x:is>
      </x:c>
      <x:c r="L750" s="3" t="inlineStr">
        <x:is>
          <x:t>No</x:t>
        </x:is>
      </x:c>
      <x:c r="M750" s="3" t="inlineStr">
        <x:is>
          <x:t/>
        </x:is>
      </x:c>
      <x:c r="N750" s="3" t="inlineStr">
        <x:is>
          <x:t/>
        </x:is>
      </x:c>
      <x:c r="O750" s="3" t="inlineStr">
        <x:is>
          <x:t>27 mar. 2023</x:t>
        </x:is>
      </x:c>
      <x:c r="P750" s="3" t="inlineStr">
        <x:is>
          <x:t/>
        </x:is>
      </x:c>
      <x:c r="Q750" s="3" t="inlineStr">
        <x:is>
          <x:t/>
        </x:is>
      </x:c>
    </x:row>
    <x:row r="751">
      <x:c r="A751" s="10" t="inlineStr">
        <x:f xml:space="preserve">HYPERLINK("http://sipi.sic.gov.co/sipi/View.ashx?4530626","SD2022/0138860")</x:f>
      </x:c>
      <x:c r="B751" s="3" t="inlineStr">
        <x:is>
          <x:t>daga MICH By Dani &amp; Gaby</x:t>
        </x:is>
      </x:c>
      <x:c r="C751" s="9" t="inlineStr">
        <x:is>
          <x:t/>
        </x:is>
      </x:c>
      <x:c r="D751" s="3" t="inlineStr">
        <x:is>
          <x:t>27 dic. 2022</x:t>
        </x:is>
      </x:c>
      <x:c r="E751" s="3" t="inlineStr">
        <x:is>
          <x:t/>
        </x:is>
      </x:c>
      <x:c r="F751" s="3" t="inlineStr">
        <x:is>
          <x:t>Negada</x:t>
        </x:is>
      </x:c>
      <x:c r="G751" s="3" t="inlineStr">
        <x:is>
          <x:t/>
        </x:is>
      </x:c>
      <x:c r="H751" s="3" t="inlineStr">
        <x:is>
          <x:t>IVON DANIELA PADILLA ROMERO , CARRERA 72 L # 40-38 , BOGOTÁ, D.C., CO; GABRIELA VARELA LOPEZ , CARRERA 72 L # 40-38 SUR , BOGOTÁ, D.C., CO</x:t>
        </x:is>
      </x:c>
      <x:c r="I751" s="3" t="inlineStr">
        <x:is>
          <x:t>3</x:t>
        </x:is>
      </x:c>
      <x:c r="J751" s="3" t="inlineStr">
        <x:is>
          <x:t>11</x:t>
        </x:is>
      </x:c>
      <x:c r="K751" s="3" t="inlineStr">
        <x:is>
          <x:t>3. Aceites para el cabello; acondicionadores de cabello; bálsamos para el cabello; champúes para el cabello; champús para el cabello; champús y acondicionadores para el cabello; crema para peinar el cabello; cremas de protección para el cabello; preparaciones cosméticas para el cuidado del cabello; preparaciones para alisar el cabello; preparaciones para el cuidado del cabello; tratamientos de alisado para el cabello; preparaciones para tratamientos capilares; tratamientos de queratina para el cabello; lociones capilares cosméticas; mascarillas de belleza para el cabello; mascarillas para el cabello; mascarillas para el cabello y el cuero cabelludo; mascarillas para el peinado del cabello.
</x:t>
        </x:is>
      </x:c>
      <x:c r="L751" s="3" t="inlineStr">
        <x:is>
          <x:t>No</x:t>
        </x:is>
      </x:c>
      <x:c r="M751" s="3" t="inlineStr">
        <x:is>
          <x:t/>
        </x:is>
      </x:c>
      <x:c r="N751" s="3" t="inlineStr">
        <x:is>
          <x:t/>
        </x:is>
      </x:c>
      <x:c r="O751" s="3" t="inlineStr">
        <x:is>
          <x:t>05 abr. 2023</x:t>
        </x:is>
      </x:c>
      <x:c r="P751" s="3" t="inlineStr">
        <x:is>
          <x:t/>
        </x:is>
      </x:c>
      <x:c r="Q751" s="3" t="inlineStr">
        <x:is>
          <x:t/>
        </x:is>
      </x:c>
    </x:row>
    <x:row r="752">
      <x:c r="A752" s="10" t="inlineStr">
        <x:f xml:space="preserve">HYPERLINK("http://sipi.sic.gov.co/sipi/View.ashx?4530673","SD2022/0143787")</x:f>
      </x:c>
      <x:c r="B752" s="3" t="inlineStr">
        <x:is>
          <x:t>OROPLEX</x:t>
        </x:is>
      </x:c>
      <x:c r="C752" s="9" t="inlineStr">
        <x:is>
          <x:t/>
        </x:is>
      </x:c>
      <x:c r="D752" s="3" t="inlineStr">
        <x:is>
          <x:t>31 dic. 2022</x:t>
        </x:is>
      </x:c>
      <x:c r="E752" s="3" t="inlineStr">
        <x:is>
          <x:t/>
        </x:is>
      </x:c>
      <x:c r="F752" s="3" t="inlineStr">
        <x:is>
          <x:t>Negada</x:t>
        </x:is>
      </x:c>
      <x:c r="G752" s="3" t="inlineStr">
        <x:is>
          <x:t>OROPLEX</x:t>
        </x:is>
      </x:c>
      <x:c r="H752" s="3" t="inlineStr">
        <x:is>
          <x:t>SEBASTIAN RINCON GIRALDO, CRA 44 #67 SUR 62, SABANETA, ANTIOQUIA 055450, CO</x:t>
        </x:is>
      </x:c>
      <x:c r="I752" s="3" t="inlineStr">
        <x:is>
          <x:t>3</x:t>
        </x:is>
      </x:c>
      <x:c r="J752" s="3" t="inlineStr">
        <x:is>
          <x:t>11</x:t>
        </x:is>
      </x:c>
      <x:c r="K752" s="3" t="inlineStr">
        <x:is>
          <x:t>3. Aceite de veppennai para uso cosmético; aceites bronceadores [cosméticos]; aceites bronceadores de uso cosmético; aceites cosméticos; aceites de baño para uso cosmético; aceites de protección solar [cosméticos]; aceites para bronceado [cosméticos]; aceites para el cuerpo de uso cosmético; aceites para uso cosmético; aceites perfumados para la fabricación de productos cosméticos; aceites puros para uso cosmético; aceites solares de uso cosmético; algodón para uso cosmético; apitoxina [veneno de abeja melífera] con fines cosméticos; astringentes para uso cosmético; autobronceadores [cosméticos]; barros corporales para uso cosmético; bloqueador solar [cosméticos]; colorantes para los labios [productos cosméticos]; composiciones para aclarar la piel [cosméticos]; correctores de imperfecciones [productos cosméticos]; cosméticos; cosméticos de belleza; cosméticos ecológicos; cosméticos en forma de cremas; cosméticos en forma de polvos; cosméticos naturales; cosméticos para animales; cosméticos para broncear la piel; cosméticos para el cuidado del cuerpo; cosméticos para polveras; crema corporal para uso cosmético; cremas antiarrugas para uso cosmético; cremas antienvejecimiento para uso cosmético; cremas con filtro solar para uso cosmético; cremas corporales [cosméticos]; cremas de protección solar para uso cosmético; cremas faciales para uso cosmético; cremas para el cabello de uso cosmético; cremas para el rostro de uso cosmético; cremas para el rostro y el cuerpo de uso cosmético; cremas para las manos de uso cosmético; cremas reparadoras para la piel de uso cosmético; decolorantes para uso cosmético; extractos de plantas para uso cosmético; filtro solar [cosméticos]; geles cosméticos; geles para después del sol [productos cosméticos]; geles para el cuerpo [cosméticos]; geles para uso cosmético; henna para uso cosmético; jabones cosméticos; kits de cosméticos que contienen principalmente máscara de pestañas, lápices de labios, lápices de cejas, maquillaje, fundación de maquillaje y brillos de labios; leches bronceadoras [cosméticos]; leches para el cuerpo de uso cosmético; limpiadores cosméticos faciales; limpiadores cosméticos para la piel; limpiadores faciales [cosméticos]; lociones con filtro solar para uso cosmético; lociones de protección solar para uso cosmético; lociones hidratantes [cosméticos]; lociones para el cuidado del rostro y del cuerpo de uso cosmético; lociones para uso cosmético; lápices para uso cosmético; maquillaje [cosméticos]; mascarillas corporales para uso cosmético; mascarillas faciales para uso cosmético; pañitos cosméticos prehumedecidos; perfumería para cosméticos; peróxido de hidrógeno para uso cosmético; polvos cosméticos; polvos faciales [cosméticos]; polvos faciales cosméticos; pomadas para uso cosmético; preparaciones colorantes de uso cosmético; preparaciones de cuidado corporal y de belleza para uso cosmético; preparaciones faciales [cosméticos]; preparados cosméticos para el cuidado del cuerpo; productos con filtro solar para uso cosmético; productos cosméticos de cbd; productos cosméticos decorativos; productos cosméticos en forma de polvos; productos cosméticos para la piel; productos cosméticos para niños; productos cosméticos y de maquillaje; quitaesmaltes de uñas [cosméticos]; serum para calmar la piel [cosmético]; tintas para uso cosmético; tintes cosméticos; tónicos cosméticos; tónicos cosméticos para el rostro; veneno de abeja con fines cosméticos; cosméticos a base de cannabis.
</x:t>
        </x:is>
      </x:c>
      <x:c r="L752" s="3" t="inlineStr">
        <x:is>
          <x:t>Sí</x:t>
        </x:is>
      </x:c>
      <x:c r="M752" s="3" t="inlineStr">
        <x:is>
          <x:t/>
        </x:is>
      </x:c>
      <x:c r="N752" s="3" t="inlineStr">
        <x:is>
          <x:t/>
        </x:is>
      </x:c>
      <x:c r="O752" s="3" t="inlineStr">
        <x:is>
          <x:t>05 abr. 2023</x:t>
        </x:is>
      </x:c>
      <x:c r="P752" s="3" t="inlineStr">
        <x:is>
          <x:t/>
        </x:is>
      </x:c>
      <x:c r="Q752" s="3" t="inlineStr">
        <x:is>
          <x:t/>
        </x:is>
      </x:c>
    </x:row>
    <x:row r="753">
      <x:c r="A753" s="10" t="inlineStr">
        <x:f xml:space="preserve">HYPERLINK("http://sipi.sic.gov.co/sipi/View.ashx?4531462","SD2022/0139068")</x:f>
      </x:c>
      <x:c r="B753" s="3" t="inlineStr">
        <x:is>
          <x:t>EXPRESIÓN BY TODO AMOR</x:t>
        </x:is>
      </x:c>
      <x:c r="C753" s="9" t="inlineStr">
        <x:is>
          <x:t/>
        </x:is>
      </x:c>
      <x:c r="D753" s="3" t="inlineStr">
        <x:is>
          <x:t>27 dic. 2022</x:t>
        </x:is>
      </x:c>
      <x:c r="E753" s="3" t="inlineStr">
        <x:is>
          <x:t/>
        </x:is>
      </x:c>
      <x:c r="F753" s="3" t="inlineStr">
        <x:is>
          <x:t>Negada</x:t>
        </x:is>
      </x:c>
      <x:c r="G753" s="3" t="inlineStr">
        <x:is>
          <x:t>EXPRESION TODO AMOR</x:t>
        </x:is>
      </x:c>
      <x:c r="H753" s="3" t="inlineStr">
        <x:is>
          <x:t>MARIA JOSE ESPITIA MORALES, BARRANQUILLA ZONA NORTE, BARRANQUILLA, ATLÁNTICO 080001, CO</x:t>
        </x:is>
      </x:c>
      <x:c r="I753" s="3" t="inlineStr">
        <x:is>
          <x:t>3, 25</x:t>
        </x:is>
      </x:c>
      <x:c r="J753" s="3" t="inlineStr">
        <x:is>
          <x:t>11</x:t>
        </x:is>
      </x:c>
      <x:c r="K753" s="3" t="inlineStr">
        <x:is>
          <x:t>3. Cosméticos de belleza; cremas de belleza; geles de belleza; leches de belleza; lociones de belleza; mascarillas de belleza; mascarillas de belleza para las manos; preparaciones para cuidados corporales y de belleza; preparaciones para el cuidado del cuerpo y la belleza; productos cosméticos y de belleza; sueros de belleza; aceite fijador para el cabello; acondicionadores de cabello; adhesivos para pestañas, cabello y uñas postizos; bálsamos para el cabello; cera para el cabello; champúes para el cabello; champús para el cabello; champús para el cabello y el cuerpo; cosméticos para el cabello; cremas de protección para el cabello, no medicinales; cremas para el cabello; enjuagues para el cabello; espumas para el cabello; fijadores para el cabello; lociones para fortalecer el cabello; lociones para rizar el cabello; mascarillas para el cabello y el cuero cabelludo; mascarillas para el cabello; preparaciones para alisar el cabello; preparaciones para el cuidado del cuero cabelludo y del cabello; preparaciones para lavar el cabello; preparaciones para limpiar, colorear, teñir, decolorar, marcar o para ondular permanentemente el cabello; productos cosméticos para el cabello y el cuero cabelludo; productos de enjuague para el cabello; revitalizantes para el cabello; tintes para el cabello; productos y preparaciones para el cuidado del cabello; aceites faciales; brillos faciales; corrector facial; cremas faciales; cremas faciales para uso cosmético; cremas orgánicas de estiramiento facial; emulsiones faciales; emulsiones faciales de vitalidad; exfoliantes faciales; geles corporales y faciales [cosméticos]; hidratantes faciales; limpiadores faciales [productos cosméticos]; mascarillas faciales cosméticas; mascarillas faciales para tonificar la piel; papel secante facial [cosméticos]; parches de lifting facial para uso cosmético; polvos faciales; polvos faciales cosméticos; tónicos faciales [cosméticos]; cremas corporales; cremas corporales [cosméticos]; cremas cosméticas de masaje; cremas cosméticas nutritivas; cremas cosméticas para el rostro; cremas cosméticas para la piel; cremas cosméticas para las manos; cremas de limpieza; cremas de masaje cosméticas; cremas de protección solar; cremas hidratantes; cremas para el cuerpo cosméticas; cremas para el cuidado del cabello; cremas para el rostro; cremas para la piel; cremas para las uñas; cremas para los labios; cremas para los ojos; cremas para pulir; cremas, lociones y geles hidratantes; jabones en crema; jabones cosméticos; jabones de baño; jabones de tocador; jabones líquidos para las manos y el rostro; velas de masaje para uso cosmético; agua de colonia; colonias, perfumes y productos cosméticos; perfumes y colonias; perfumes, aguas de colonia y productos para después del afeitado; toallitas desechables impregnadas de agua de colonia; toallitas desechables impregnadas de colonia; toallas de papel para las manos impregnadas de cosméticos; toallas de papel para las manos impregnadas de productos cosméticos.
25. Blusas [ropa de negocios]; bléisers [ropa de negocios]; bodis [ropa interior]; bragas [ropa interior]; fajas [ropa interior]; ropa de dormir; vestidos; vestidos de baño; camisetas; playeras [camisetas]; camisas de maternidad; camisas deportivas de manga corta; camisas para adultos; camisas para niños; camisas-chaquetas; sobrecamisas; sombreros; bragas short; faldas short; minishorts; shorts; faldas; cinturones (prendas de vestir); bailarinas [zapatos]; botas y zapatos; jean cortos; vestidos de jean; calcetines para pantalones; pantalones.
</x:t>
        </x:is>
      </x:c>
      <x:c r="L753" s="3" t="inlineStr">
        <x:is>
          <x:t>Sí</x:t>
        </x:is>
      </x:c>
      <x:c r="M753" s="3" t="inlineStr">
        <x:is>
          <x:t>Heidy Vega Guerrero, Condominio el Portillo torre 2 apto 105, TURBACO, BOLIVAR 001, CO</x:t>
        </x:is>
      </x:c>
      <x:c r="N753" s="3" t="inlineStr">
        <x:is>
          <x:t/>
        </x:is>
      </x:c>
      <x:c r="O753" s="3" t="inlineStr">
        <x:is>
          <x:t>07 mar. 2023</x:t>
        </x:is>
      </x:c>
      <x:c r="P753" s="3" t="inlineStr">
        <x:is>
          <x:t/>
        </x:is>
      </x:c>
      <x:c r="Q753" s="3" t="inlineStr">
        <x:is>
          <x:t/>
        </x:is>
      </x:c>
    </x:row>
    <x:row r="754">
      <x:c r="A754" s="10" t="inlineStr">
        <x:f xml:space="preserve">HYPERLINK("http://sipi.sic.gov.co/sipi/View.ashx?4531623","SD2022/0139126")</x:f>
      </x:c>
      <x:c r="B754" s="3" t="inlineStr">
        <x:is>
          <x:t>ultra lit</x:t>
        </x:is>
      </x:c>
      <x:c r="C754" s="3" t="inlineStr">
        <x:is>
          <x:t/>
        </x:is>
      </x:c>
      <x:c r="D754" s="3" t="inlineStr">
        <x:is>
          <x:t>27 dic. 2022</x:t>
        </x:is>
      </x:c>
      <x:c r="E754" s="3" t="inlineStr">
        <x:is>
          <x:t/>
        </x:is>
      </x:c>
      <x:c r="F754" s="3" t="inlineStr">
        <x:is>
          <x:t>Negada</x:t>
        </x:is>
      </x:c>
      <x:c r="G754" s="3" t="inlineStr">
        <x:is>
          <x:t/>
        </x:is>
      </x:c>
      <x:c r="H754" s="3" t="inlineStr">
        <x:is>
          <x:t>Luisa Fernanda Álvarez Arcila, Cra 25 # 9-74, LA CEJA, ANTIOQUIA 055010, CO</x:t>
        </x:is>
      </x:c>
      <x:c r="I754" s="3" t="inlineStr">
        <x:is>
          <x:t>3, 5</x:t>
        </x:is>
      </x:c>
      <x:c r="J754" s="3" t="inlineStr">
        <x:is>
          <x:t>11</x:t>
        </x:is>
      </x:c>
      <x:c r="K754"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champús no medicinales para animales de compañía;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x:t>
        </x:is>
      </x:c>
      <x:c r="L754" s="3" t="inlineStr">
        <x:is>
          <x:t>No</x:t>
        </x:is>
      </x:c>
      <x:c r="M754" s="3" t="inlineStr">
        <x:is>
          <x:t/>
        </x:is>
      </x:c>
      <x:c r="N754" s="3" t="inlineStr">
        <x:is>
          <x:t/>
        </x:is>
      </x:c>
      <x:c r="O754" s="3" t="inlineStr">
        <x:is>
          <x:t>27 mar. 2023</x:t>
        </x:is>
      </x:c>
      <x:c r="P754" s="3" t="inlineStr">
        <x:is>
          <x:t/>
        </x:is>
      </x:c>
      <x:c r="Q754" s="3" t="inlineStr">
        <x:is>
          <x:t/>
        </x:is>
      </x:c>
    </x:row>
    <x:row r="755">
      <x:c r="A755" s="10" t="inlineStr">
        <x:f xml:space="preserve">HYPERLINK("http://sipi.sic.gov.co/sipi/View.ashx?4531752","SD2022/0139155")</x:f>
      </x:c>
      <x:c r="B755" s="3" t="inlineStr">
        <x:is>
          <x:t>aminotech</x:t>
        </x:is>
      </x:c>
      <x:c r="C755" s="3" t="inlineStr">
        <x:is>
          <x:t/>
        </x:is>
      </x:c>
      <x:c r="D755" s="3" t="inlineStr">
        <x:is>
          <x:t>27 dic. 2022</x:t>
        </x:is>
      </x:c>
      <x:c r="E755" s="3" t="inlineStr">
        <x:is>
          <x:t/>
        </x:is>
      </x:c>
      <x:c r="F755" s="3" t="inlineStr">
        <x:is>
          <x:t>Negada</x:t>
        </x:is>
      </x:c>
      <x:c r="G755" s="3" t="inlineStr">
        <x:is>
          <x:t/>
        </x:is>
      </x:c>
      <x:c r="H755" s="3" t="inlineStr">
        <x:is>
          <x:t>Luisa Fernanda Álvarez Arcila, Cra 25 # 9-74, LA CEJA, ANTIOQUIA 055010, CO</x:t>
        </x:is>
      </x:c>
      <x:c r="I755" s="3" t="inlineStr">
        <x:is>
          <x:t>3, 5</x:t>
        </x:is>
      </x:c>
      <x:c r="J755" s="3" t="inlineStr">
        <x:is>
          <x:t>11</x:t>
        </x:is>
      </x:c>
      <x:c r="K755"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x:t>
        </x:is>
      </x:c>
      <x:c r="L755" s="3" t="inlineStr">
        <x:is>
          <x:t>No</x:t>
        </x:is>
      </x:c>
      <x:c r="M755" s="3" t="inlineStr">
        <x:is>
          <x:t/>
        </x:is>
      </x:c>
      <x:c r="N755" s="3" t="inlineStr">
        <x:is>
          <x:t/>
        </x:is>
      </x:c>
      <x:c r="O755" s="3" t="inlineStr">
        <x:is>
          <x:t>27 mar. 2023</x:t>
        </x:is>
      </x:c>
      <x:c r="P755" s="3" t="inlineStr">
        <x:is>
          <x:t/>
        </x:is>
      </x:c>
      <x:c r="Q755" s="3" t="inlineStr">
        <x:is>
          <x:t/>
        </x:is>
      </x:c>
    </x:row>
    <x:row r="756">
      <x:c r="A756" s="10" t="inlineStr">
        <x:f xml:space="preserve">HYPERLINK("http://sipi.sic.gov.co/sipi/View.ashx?4531812","SD2022/0139166")</x:f>
      </x:c>
      <x:c r="B756" s="3" t="inlineStr">
        <x:is>
          <x:t>Iso plus</x:t>
        </x:is>
      </x:c>
      <x:c r="C756" s="3" t="inlineStr">
        <x:is>
          <x:t/>
        </x:is>
      </x:c>
      <x:c r="D756" s="3" t="inlineStr">
        <x:is>
          <x:t>27 dic. 2022</x:t>
        </x:is>
      </x:c>
      <x:c r="E756" s="3" t="inlineStr">
        <x:is>
          <x:t/>
        </x:is>
      </x:c>
      <x:c r="F756" s="3" t="inlineStr">
        <x:is>
          <x:t>Negada</x:t>
        </x:is>
      </x:c>
      <x:c r="G756" s="3" t="inlineStr">
        <x:is>
          <x:t/>
        </x:is>
      </x:c>
      <x:c r="H756" s="3" t="inlineStr">
        <x:is>
          <x:t>Luisa Fernanda Álvarez Arcila, Cra 25 # 9-74, LA CEJA, ANTIOQUIA 055010, CO</x:t>
        </x:is>
      </x:c>
      <x:c r="I756" s="3" t="inlineStr">
        <x:is>
          <x:t>3, 5</x:t>
        </x:is>
      </x:c>
      <x:c r="J756" s="3" t="inlineStr">
        <x:is>
          <x:t>11</x:t>
        </x:is>
      </x:c>
      <x:c r="K756"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x:t>
        </x:is>
      </x:c>
      <x:c r="L756" s="3" t="inlineStr">
        <x:is>
          <x:t>No</x:t>
        </x:is>
      </x:c>
      <x:c r="M756" s="3" t="inlineStr">
        <x:is>
          <x:t/>
        </x:is>
      </x:c>
      <x:c r="N756" s="3" t="inlineStr">
        <x:is>
          <x:t/>
        </x:is>
      </x:c>
      <x:c r="O756" s="3" t="inlineStr">
        <x:is>
          <x:t>27 mar. 2023</x:t>
        </x:is>
      </x:c>
      <x:c r="P756" s="3" t="inlineStr">
        <x:is>
          <x:t/>
        </x:is>
      </x:c>
      <x:c r="Q756" s="3" t="inlineStr">
        <x:is>
          <x:t/>
        </x:is>
      </x:c>
    </x:row>
    <x:row r="757">
      <x:c r="A757" s="10" t="inlineStr">
        <x:f xml:space="preserve">HYPERLINK("http://sipi.sic.gov.co/sipi/View.ashx?4531857","SD2022/0139172")</x:f>
      </x:c>
      <x:c r="B757" s="3" t="inlineStr">
        <x:is>
          <x:t>Inner being</x:t>
        </x:is>
      </x:c>
      <x:c r="C757" s="3" t="inlineStr">
        <x:is>
          <x:t/>
        </x:is>
      </x:c>
      <x:c r="D757" s="3" t="inlineStr">
        <x:is>
          <x:t>27 dic. 2022</x:t>
        </x:is>
      </x:c>
      <x:c r="E757" s="3" t="inlineStr">
        <x:is>
          <x:t/>
        </x:is>
      </x:c>
      <x:c r="F757" s="3" t="inlineStr">
        <x:is>
          <x:t>Negada</x:t>
        </x:is>
      </x:c>
      <x:c r="G757" s="3" t="inlineStr">
        <x:is>
          <x:t/>
        </x:is>
      </x:c>
      <x:c r="H757" s="3" t="inlineStr">
        <x:is>
          <x:t>Luisa Fernanda Álvarez Arcila, Cra 25 # 9-74, LA CEJA, ANTIOQUIA 055010, CO</x:t>
        </x:is>
      </x:c>
      <x:c r="I757" s="3" t="inlineStr">
        <x:is>
          <x:t>3, 5</x:t>
        </x:is>
      </x:c>
      <x:c r="J757" s="3" t="inlineStr">
        <x:is>
          <x:t>11</x:t>
        </x:is>
      </x:c>
      <x:c r="K757"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x:t>
        </x:is>
      </x:c>
      <x:c r="L757" s="3" t="inlineStr">
        <x:is>
          <x:t>Sí</x:t>
        </x:is>
      </x:c>
      <x:c r="M757" s="3" t="inlineStr">
        <x:is>
          <x:t/>
        </x:is>
      </x:c>
      <x:c r="N757" s="3" t="inlineStr">
        <x:is>
          <x:t/>
        </x:is>
      </x:c>
      <x:c r="O757" s="3" t="inlineStr">
        <x:is>
          <x:t>27 mar. 2023</x:t>
        </x:is>
      </x:c>
      <x:c r="P757" s="3" t="inlineStr">
        <x:is>
          <x:t/>
        </x:is>
      </x:c>
      <x:c r="Q757" s="3" t="inlineStr">
        <x:is>
          <x:t/>
        </x:is>
      </x:c>
    </x:row>
    <x:row r="758">
      <x:c r="A758" s="10" t="inlineStr">
        <x:f xml:space="preserve">HYPERLINK("http://sipi.sic.gov.co/sipi/View.ashx?4531894","SD2022/0139182")</x:f>
      </x:c>
      <x:c r="B758" s="3" t="inlineStr">
        <x:is>
          <x:t>Bio live</x:t>
        </x:is>
      </x:c>
      <x:c r="C758" s="3" t="inlineStr">
        <x:is>
          <x:t/>
        </x:is>
      </x:c>
      <x:c r="D758" s="3" t="inlineStr">
        <x:is>
          <x:t>27 dic. 2022</x:t>
        </x:is>
      </x:c>
      <x:c r="E758" s="3" t="inlineStr">
        <x:is>
          <x:t/>
        </x:is>
      </x:c>
      <x:c r="F758" s="3" t="inlineStr">
        <x:is>
          <x:t>Negada</x:t>
        </x:is>
      </x:c>
      <x:c r="G758" s="3" t="inlineStr">
        <x:is>
          <x:t/>
        </x:is>
      </x:c>
      <x:c r="H758" s="3" t="inlineStr">
        <x:is>
          <x:t>Luisa Fernanda Álvarez Arcila, Cra 25 # 9-74, LA CEJA, ANTIOQUIA 055010, CO</x:t>
        </x:is>
      </x:c>
      <x:c r="I758" s="3" t="inlineStr">
        <x:is>
          <x:t>3, 5</x:t>
        </x:is>
      </x:c>
      <x:c r="J758" s="3" t="inlineStr">
        <x:is>
          <x:t>11</x:t>
        </x:is>
      </x:c>
      <x:c r="K758"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x:t>
        </x:is>
      </x:c>
      <x:c r="L758" s="3" t="inlineStr">
        <x:is>
          <x:t>No</x:t>
        </x:is>
      </x:c>
      <x:c r="M758" s="3" t="inlineStr">
        <x:is>
          <x:t/>
        </x:is>
      </x:c>
      <x:c r="N758" s="3" t="inlineStr">
        <x:is>
          <x:t/>
        </x:is>
      </x:c>
      <x:c r="O758" s="3" t="inlineStr">
        <x:is>
          <x:t>27 mar. 2023</x:t>
        </x:is>
      </x:c>
      <x:c r="P758" s="3" t="inlineStr">
        <x:is>
          <x:t/>
        </x:is>
      </x:c>
      <x:c r="Q758" s="3" t="inlineStr">
        <x:is>
          <x:t/>
        </x:is>
      </x:c>
    </x:row>
    <x:row r="759">
      <x:c r="A759" s="10" t="inlineStr">
        <x:f xml:space="preserve">HYPERLINK("http://sipi.sic.gov.co/sipi/View.ashx?4531908","SD2022/0139185")</x:f>
      </x:c>
      <x:c r="B759" s="3" t="inlineStr">
        <x:is>
          <x:t>ADICTIVA Alejandra Diaz</x:t>
        </x:is>
      </x:c>
      <x:c r="C759" s="9" t="inlineStr">
        <x:is>
          <x:t/>
        </x:is>
      </x:c>
      <x:c r="D759" s="3" t="inlineStr">
        <x:is>
          <x:t>27 dic. 2022</x:t>
        </x:is>
      </x:c>
      <x:c r="E759" s="3" t="inlineStr">
        <x:is>
          <x:t/>
        </x:is>
      </x:c>
      <x:c r="F759" s="3" t="inlineStr">
        <x:is>
          <x:t>Negada</x:t>
        </x:is>
      </x:c>
      <x:c r="G759" s="3" t="inlineStr">
        <x:is>
          <x:t/>
        </x:is>
      </x:c>
      <x:c r="H759" s="3" t="inlineStr">
        <x:is>
          <x:t>sofia alejandra diaz torres, calle 48 c sur #24 a 35 , BOGOTÁ, D.C. 110621, CO</x:t>
        </x:is>
      </x:c>
      <x:c r="I759" s="3" t="inlineStr">
        <x:is>
          <x:t>3</x:t>
        </x:is>
      </x:c>
      <x:c r="J759" s="3" t="inlineStr">
        <x:is>
          <x:t>11</x:t>
        </x:is>
      </x:c>
      <x:c r="K759" s="3" t="inlineStr">
        <x:is>
          <x:t>3. Cosméticos de belleza; cosméticos para tratamiento de belleza cosméticos para el cuidado de belleza; cremas bálsamos de belleza; cremas de belleza para el rostro y el cuerpo; mascarillas de belleza para el cabello; mascarillas faciales de belleza; cosméticos naturales.
</x:t>
        </x:is>
      </x:c>
      <x:c r="L759" s="3" t="inlineStr">
        <x:is>
          <x:t>No</x:t>
        </x:is>
      </x:c>
      <x:c r="M759" s="3" t="inlineStr">
        <x:is>
          <x:t/>
        </x:is>
      </x:c>
      <x:c r="N759" s="3" t="inlineStr">
        <x:is>
          <x:t/>
        </x:is>
      </x:c>
      <x:c r="O759" s="3" t="inlineStr">
        <x:is>
          <x:t>20 dic. 2023</x:t>
        </x:is>
      </x:c>
      <x:c r="P759" s="3" t="inlineStr">
        <x:is>
          <x:t/>
        </x:is>
      </x:c>
      <x:c r="Q759" s="3" t="inlineStr">
        <x:is>
          <x:t/>
        </x:is>
      </x:c>
    </x:row>
    <x:row r="760">
      <x:c r="A760" s="10" t="inlineStr">
        <x:f xml:space="preserve">HYPERLINK("http://sipi.sic.gov.co/sipi/View.ashx?4531983","SD2022/0139205")</x:f>
      </x:c>
      <x:c r="B760" s="3" t="inlineStr">
        <x:is>
          <x:t>ultra fast</x:t>
        </x:is>
      </x:c>
      <x:c r="C760" s="3" t="inlineStr">
        <x:is>
          <x:t/>
        </x:is>
      </x:c>
      <x:c r="D760" s="3" t="inlineStr">
        <x:is>
          <x:t>28 dic. 2022</x:t>
        </x:is>
      </x:c>
      <x:c r="E760" s="3" t="inlineStr">
        <x:is>
          <x:t/>
        </x:is>
      </x:c>
      <x:c r="F760" s="3" t="inlineStr">
        <x:is>
          <x:t>Negada</x:t>
        </x:is>
      </x:c>
      <x:c r="G760" s="3" t="inlineStr">
        <x:is>
          <x:t/>
        </x:is>
      </x:c>
      <x:c r="H760" s="3" t="inlineStr">
        <x:is>
          <x:t>Luisa Fernanda Álvarez Arcila, Cra 25 # 9-74, LA CEJA, ANTIOQUIA 055010, CO</x:t>
        </x:is>
      </x:c>
      <x:c r="I760" s="3" t="inlineStr">
        <x:is>
          <x:t>3, 5</x:t>
        </x:is>
      </x:c>
      <x:c r="J760" s="3" t="inlineStr">
        <x:is>
          <x:t>11</x:t>
        </x:is>
      </x:c>
      <x:c r="K760"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 vegana en cuanto suplemento nutricional de bebidas listas para beber;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x:t>
        </x:is>
      </x:c>
      <x:c r="L760" s="3" t="inlineStr">
        <x:is>
          <x:t>No</x:t>
        </x:is>
      </x:c>
      <x:c r="M760" s="3" t="inlineStr">
        <x:is>
          <x:t/>
        </x:is>
      </x:c>
      <x:c r="N760" s="3" t="inlineStr">
        <x:is>
          <x:t/>
        </x:is>
      </x:c>
      <x:c r="O760" s="3" t="inlineStr">
        <x:is>
          <x:t>17 mar. 2023</x:t>
        </x:is>
      </x:c>
      <x:c r="P760" s="3" t="inlineStr">
        <x:is>
          <x:t/>
        </x:is>
      </x:c>
      <x:c r="Q760" s="3" t="inlineStr">
        <x:is>
          <x:t/>
        </x:is>
      </x:c>
    </x:row>
    <x:row r="761">
      <x:c r="A761" s="10" t="inlineStr">
        <x:f xml:space="preserve">HYPERLINK("http://sipi.sic.gov.co/sipi/View.ashx?4532010","SD2022/0139210")</x:f>
      </x:c>
      <x:c r="B761" s="3" t="inlineStr">
        <x:is>
          <x:t>Juanita's Shop</x:t>
        </x:is>
      </x:c>
      <x:c r="C761" s="9" t="inlineStr">
        <x:is>
          <x:t/>
        </x:is>
      </x:c>
      <x:c r="D761" s="3" t="inlineStr">
        <x:is>
          <x:t>28 dic. 2022</x:t>
        </x:is>
      </x:c>
      <x:c r="E761" s="3" t="inlineStr">
        <x:is>
          <x:t/>
        </x:is>
      </x:c>
      <x:c r="F761" s="3" t="inlineStr">
        <x:is>
          <x:t>Negada</x:t>
        </x:is>
      </x:c>
      <x:c r="G761" s="3" t="inlineStr">
        <x:is>
          <x:t>Registro juanita's</x:t>
        </x:is>
      </x:c>
      <x:c r="H761" s="3" t="inlineStr">
        <x:is>
          <x:t>KAREN YOVANNA MESA SILVA, SIN ESTABLECER, MEDELLIN, ANTIOQUIA, CO</x:t>
        </x:is>
      </x:c>
      <x:c r="I761" s="3" t="inlineStr">
        <x:is>
          <x:t>3, 35</x:t>
        </x:is>
      </x:c>
      <x:c r="J761" s="3" t="inlineStr">
        <x:is>
          <x:t>11</x:t>
        </x:is>
      </x:c>
      <x:c r="K761" s="3" t="inlineStr">
        <x:is>
          <x:t>3. Mascarillas para el cabello y el cuero cabelludo; productos cosméticos para el cabello y el cuero cabelludo; productos cosméticos y de belleza; maquillaje [cosméticos]; pomadas labiales; cremas faciales; jabones faciales; limpiadores faciales; lociones faciales [cosméticos]; papel secante facial para uso cosmético; sueros faciales.
35. Servicios de venta minorista de instrumentos de belleza para personas; servicios de venta de tienda al por menor en línea de productos cosméticos y de belleza; servicios de venta de tienda minorista en línea en relación con productos cosméticos y de belleza; servicios de venta mayorista de mercancías.
</x:t>
        </x:is>
      </x:c>
      <x:c r="L761" s="3" t="inlineStr">
        <x:is>
          <x:t>Sí</x:t>
        </x:is>
      </x:c>
      <x:c r="M761" s="3" t="inlineStr">
        <x:is>
          <x:t/>
        </x:is>
      </x:c>
      <x:c r="N761" s="3" t="inlineStr">
        <x:is>
          <x:t/>
        </x:is>
      </x:c>
      <x:c r="O761" s="3" t="inlineStr">
        <x:is>
          <x:t>09 ago. 2023</x:t>
        </x:is>
      </x:c>
      <x:c r="P761" s="3" t="inlineStr">
        <x:is>
          <x:t/>
        </x:is>
      </x:c>
      <x:c r="Q761" s="3" t="inlineStr">
        <x:is>
          <x:t/>
        </x:is>
      </x:c>
    </x:row>
    <x:row r="762">
      <x:c r="A762" s="10" t="inlineStr">
        <x:f xml:space="preserve">HYPERLINK("http://sipi.sic.gov.co/sipi/View.ashx?4532189","SD2022/0139238")</x:f>
      </x:c>
      <x:c r="B762" s="3" t="inlineStr">
        <x:is>
          <x:t>VICKY NAILS</x:t>
        </x:is>
      </x:c>
      <x:c r="C762" s="3" t="inlineStr">
        <x:is>
          <x:t/>
        </x:is>
      </x:c>
      <x:c r="D762" s="3" t="inlineStr">
        <x:is>
          <x:t>28 dic. 2022</x:t>
        </x:is>
      </x:c>
      <x:c r="E762" s="3" t="inlineStr">
        <x:is>
          <x:t/>
        </x:is>
      </x:c>
      <x:c r="F762" s="3" t="inlineStr">
        <x:is>
          <x:t>Negada</x:t>
        </x:is>
      </x:c>
      <x:c r="G762" s="3" t="inlineStr">
        <x:is>
          <x:t>VICKY NAILS</x:t>
        </x:is>
      </x:c>
      <x:c r="H762" s="3" t="inlineStr">
        <x:is>
          <x:t>LAURA PAOLA  PATIÑO FOREST, CALLE 67A #68B-50, BOGOTÁ, D.C., CO</x:t>
        </x:is>
      </x:c>
      <x:c r="I762" s="3" t="inlineStr">
        <x:is>
          <x:t>3</x:t>
        </x:is>
      </x:c>
      <x:c r="J762" s="3" t="inlineStr">
        <x:is>
          <x:t>11</x:t>
        </x:is>
      </x:c>
      <x:c r="K762" s="3" t="inlineStr">
        <x:is>
          <x:t>3. Aceite para uñas; aceite regenerador para cutícula; adhesivos para fijar uñas; bases para uñas; brillo para uñas; cola para fortalecer las uñas; cremas para las uñas; dilusor de esmalte; removedor de cutícula; disolvente para quitar esmalte; endurecedor de uñas; esmalte de uñas; esmalte semipermanente de uñas; lacas para las uñas; pegamento para las uñas; quita esmalte de uñas; uñas artificiales para uso cosmético, calcomanías para uñas, uñas postizas.
</x:t>
        </x:is>
      </x:c>
      <x:c r="L762" s="3" t="inlineStr">
        <x:is>
          <x:t>No</x:t>
        </x:is>
      </x:c>
      <x:c r="M762" s="3" t="inlineStr">
        <x:is>
          <x:t/>
        </x:is>
      </x:c>
      <x:c r="N762" s="3" t="inlineStr">
        <x:is>
          <x:t/>
        </x:is>
      </x:c>
      <x:c r="O762" s="3" t="inlineStr">
        <x:is>
          <x:t>27 abr. 2023</x:t>
        </x:is>
      </x:c>
      <x:c r="P762" s="3" t="inlineStr">
        <x:is>
          <x:t/>
        </x:is>
      </x:c>
      <x:c r="Q762" s="3" t="inlineStr">
        <x:is>
          <x:t/>
        </x:is>
      </x:c>
    </x:row>
    <x:row r="763">
      <x:c r="A763" s="10" t="inlineStr">
        <x:f xml:space="preserve">HYPERLINK("http://sipi.sic.gov.co/sipi/View.ashx?4532350","SD2022/0139322")</x:f>
      </x:c>
      <x:c r="B763" s="3" t="inlineStr">
        <x:is>
          <x:t>Amelia Store A M by Aleja Barbosa</x:t>
        </x:is>
      </x:c>
      <x:c r="C763" s="9" t="inlineStr">
        <x:is>
          <x:t/>
        </x:is>
      </x:c>
      <x:c r="D763" s="3" t="inlineStr">
        <x:is>
          <x:t>28 dic. 2022</x:t>
        </x:is>
      </x:c>
      <x:c r="E763" s="3" t="inlineStr">
        <x:is>
          <x:t/>
        </x:is>
      </x:c>
      <x:c r="F763" s="3" t="inlineStr">
        <x:is>
          <x:t>Negada</x:t>
        </x:is>
      </x:c>
      <x:c r="G763" s="3" t="inlineStr">
        <x:is>
          <x:t/>
        </x:is>
      </x:c>
      <x:c r="H763" s="3" t="inlineStr">
        <x:is>
          <x:t>Alejandra Barbosa Castro , Carrera 51 C # 67 A 30 , MEDELLIN, ANTIOQUIA, CO</x:t>
        </x:is>
      </x:c>
      <x:c r="I763" s="3" t="inlineStr">
        <x:is>
          <x:t>3</x:t>
        </x:is>
      </x:c>
      <x:c r="J763" s="3" t="inlineStr">
        <x:is>
          <x:t>11</x:t>
        </x:is>
      </x:c>
      <x:c r="K763" s="3" t="inlineStr">
        <x:is>
          <x:t>3. Bases de maquillaje; bases de maquillaje cremosas; bases de maquillaje en crema; bases de maquillaje líquidas; bases de maquillaje para la piel; kits de maquillaje que consisten principalmente en bases de maquillaje, rímeles, coloretes, brillos de labios y lápices de labios [sin incluir pinceles ni esponjas]; cola de maquillaje para uso cosmético; fondo de maquillaje; fundación de maquillaje; kits de cosméticos que contienen principalmente máscara de pestañas, lápices de labios, lápices de cejas, maquillaje, fundación de maquillaje y brillos de labios; kits de maquillaje; lápices de maquillaje; maquillaje; maquillaje [cosméticos]; maquillaje para el rostro; maquillaje para el rostro y el cuerpo; maquillaje para la cara; maquillaje para la cara y el cuerpo; maquillaje para la piel; maquillaje para los ojos; maquillajes de base; maquillajes de base en crema; maquillajes de ojos; maquillajes faciales;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polvos de maquillaje; preparaciones de maquillaje para el rostro y el cuerpo; productos cosméticos y de maquillaje; productos de maquillaje; sprays para fijar el maquillaje; tiza para maquillaje; cremas cosméticas para la piel; cremas cosméticas para las manos; cremas cosméticas para pieles secas; cremas cosméticas para reafirmar la piel; cremas cosméticas para tonificar la piel; cremas cosméticas reafirmantes para el contorno de ojos;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masaje cosméticas; cremas de noche; cremas de protección capilar, no medicinales; cremas de protección para el cabello; cremas de protección para el cabello, no medicinales; cremas de protección solar; cremas de protección solar para uso cosmético; cremas desmaquillantes; cremas emolientes reparadoras para el cuidado diario de la piel; cremas exfoliantes; cremas exfoliantes para uso cosmético; cremas faciales; cremas faciales para uso cosmético; cremas no medicinales para el tratamiento del cuero cabelludo; cremas orgánicas de estiramiento facial; cremas para aclarar la piel; cremas para atenuar las manchas de la vejez; cremas para atenuar las manchas de la vejez de uso cosmético; cremas para broncear la piel; cremas para dar firmeza al cuerpo; cremas para después del sol; cremas para después del sol de uso cosmético; cremas para el cabello; cremas para el cabello de uso cosmético; cremas para el cabello para uso cosmético; cremas para el cuerpo [cosméticos]; cremas para el cuerpo cosméticas; cremas para el cuidado de la piel que no sean de uso médico; cremas para el cuidado de la piel, no medicinales; cremas para el cuidado del cabello; cremas para los labios; cremas para los labios de uso cosmético; cremas para los ojos; cremas para los ojos de uso cosmético; cremas para tez clara; cremas para tez clara de uso cosmético; cremas perfumadas; cremas perfumadas para el cuerpo; cremas perfumadas para uso cosmético; cremas reafirmantes corporales; cremas reafirmantes para el cuerpo; cremas regeneradoras; cremas reparadoras para contornos de ojos; cremas reparadoras para la piel [cosméticos]; cremas reparadoras para la piel de uso cosmético; cremas revitalizantes para la piel; cremas tonificantes [cosméticos]; cremas y geles cosméticos para cara, manos y cuerpo; cremas y geles cosméticos para rostro, manos y cuerpo; cremas y lociones bronceadoras; cremas y lociones cosméticas; cremas y lociones cosméticas para el cuidado del rostro y el cuerpo; cremas y preparaciones para después del sol; mascarillas corporales en forma de cremas para uso cosmético; productos cosméticos en forma de cremas; emulsiones faciales; emulsiones faciales para uso cosmético; emulsiones, geles y lociones para el cuidado de la piel; productos cosméticos, a saber, leches, lociones y emulsiones; cremas no medicadas para exfoliantes faciales; exfoliantes [preparaciones cosméticas]; exfoliantes corporales cosméticos; exfoliantes corporales para uso cosmético; exfoliantes faciales; exfoliantes faciales y corporales no medicinales; exfoliantes iluminadores; exfoliantes para el cuerpo de uso cosmético; exfoliantes para uso cosmético; geles exfoliantes, no medicinales; aceites hidratantes intensivos; barras de labios hidratantes; cremas, aceites, lociones y preparaciones limpiadoras e hidratantes; hidratantes faciales [cosméticos]; hidratantes faciales de uso cosmético; hidratantes para la piel utilizados como cosméticos; leches hidratantes; leches hidratantes corporales; lociones hidratantes [cosméticos]; lociones hidratantes para el cuerpo [cosméticos]; lápices de labios [pintalabios] hidratantes; lápices de labios hidratantes; mascarillas hidratantes para la piel; preparaciones hidratantes [cosméticos]; productos hidratantes antienvejecimiento; productos hidratantes para después del sol; productos hidratantes para el cabello; geles hidratantes [cosméticos]; pintalabios hidratantes; mascarillas faciales de limpieza profunda; mascarillas faciales limpiadoras; mascarillas faciales para eliminar el exceso de sebo de la cara; mascarillas faciales para limpiar los poros; mascarillas faciales para tonificar la piel; mascarillas faciales para uso cosmético; mascarillas limpiadoras para faciales; mascarillas para el cabello; mascarillas para el cuidado capilar; mascarillas para el cutis [cosméticos]; mascarillas para hidratar la piel; mascarillas para la cara; mascarillas para la piel [cosméticos]; mascarillas para pieles grasas; mascarillas cosméticas; mascarillas cosméticas para el cutis; mascarillas de belleza para el contorno de los ojos; aceites y lociones bronceadoras; aceites y lociones con filtro solar; aceites y lociones de protección solar; cremas y lociones cosméticas para el cuidado de la cara y el cuerpo; cremas, aceites, lociones, aerosoles, lápices y bálsamos para uso cosmético; cremas, leches, lociones, geles y polvos cosméticos para la cara, el cuerpo y las manos; lociones antienvejecimiento para uso cosmético; lociones autobronceadoras [cosméticos]; lociones brillantes para el cuerpo; lociones capilares no medicinales; lociones con filtro solar para uso cosmético; lociones con pantalla solar para uso cosmético; lociones cosméticas para el rostro; lociones cosméticas para la cara; lociones cosméticas para reducir la aparición de manchas de envejecimiento y pecas; lociones desmaquillantes; lociones faciales [cosméticos]; lociones limpiadoras no medicadas; lociones limpiadoras para la piel; lociones para los ojos de uso cosmético; lociones perfumadas [preparaciones de tocador]; lociones perfumadas para el cuerpo; productos de perfumería, aceites esenciales, cosméticos no medicinales, lociones capilares no medicinales; productos de perfumería, aceites esenciales, cosméticos, lociones capilares; toallitas impregnadas de lociones cosméticas; cosméticos en forma de polvos; polvos brillantes para el cuerpo; polvos compactos para polveras [cosméticos]; polvos faciales compactos; polvos faciales cosméticos de color blanco; polvos faciales para uso cosmético; polvos para el cuerpo; polvos para el cuerpo de uso cosmético; polvos perfumados para uso cosmético; productos cosméticos en forma de polvos; rubores para las mejillas; cosméticos para pestañas; extensiones de pestañas; máscara de pestañas; máscara para pestañas largas; máscaras para pestañas largas; pestañas postizas; preparaciones cosméticas para pestañas; productos cosméticos para las pestañas; productos de limpieza para las pestañas; barras de labios con protección solar [cosméticos]; barras de labios en stick con protección solar [cosméticos]; brillos de labios; cosméticos para los labios; exfoliantes para labios; lápices de labios; lápices de labios [pintalabios]; pintalabios; pomadas para los labios; protectores solares para los labios; tintes de labios [cosméticos]; tintes de labios para uso cosmético; sueros antiedad multiactivos; sueros de belleza; sueros faciales; sueros faciales para uso cosmético; sueros no medicados para la piel de la cara; sueros para el contorno de los ojos; sueros para el cuidado del cabello; sueros para el lifting facial; sueros para uso cosmético; tónicos para la piel para uso cosmético; tónicos para uso cosmético; tónicos revitalizantes faciales; paletas de sombras de párpados; sombras de ojos; sombras de ojos en polvo o en lápiz; sombras de párpados; aceites suavizantes para el cabello; suavizantes para el cabello de uso cosmético; almohadillas limpiadoras impregnadas de productos cosméticos; almohadillas, toallitas o pañitos húmedos o impregnados de preparaciones limpiadoras; cremas limpiadoras [cosméticos]; espuma limpiadora; espumas limpiadoras para la piel; leches limpiadoras de tocador; limpiadores cosméticos faciales; limpiadores cosméticos para la piel; limpiadores faciales [cosméticos]; limpiadores líquidos para la piel; paños desechables impregnados de compuestos limpiadores para uso facial; paños desechables impregnados de productos químicos o compuestos limpiadores para la higiene personal; paños impregnados de productos limpiadores para la piel; toallitas limpiadoras para el rostro; colorete; colorete en lápiz; colorete líquido; coloretes en crema; cejas postizas; cosméticos para las cejas; geles para el peinado de las cejas; geles para el teñido de las cejas; lápices de cejas; polvo de cejas; paletas de brillos labiales; papel secante anti-brillo [cosméticos]; papel secante anti-brillo para uso cosmético; polvos de brillo para uso cosmético; bastoncillos de algodón para uso cosmético; bolas de algodón impregnadas de preparaciones desmaquillantes; bolas de algodón impregnadas de preparados desmaquilladores; cotonetes de algodón para uso cosmético; discos de algodón para uso cosmético; algodón impregnado de preparaciones desmaquillantes; algodón y bastoncillos de algodón para uso cosmético; almohadillas de algodón para desmaquillar; almohadillas de algodón para uso cosmético; bastoncillos de algodón impregnados de preparaciones desmaquillantes; aceites bronceadores de uso cosmético; autobronceadores [cosméticos]; bronceadores para la piel; champúes para el cabello; champús capilares; champús no medicinales; limpiadores para pinceles cosméticos; esponjas impregnadas con productos de tocador; cosméticos y preparaciones cosméticas; corrector facial; correctores antiojeras; correctores de ojos; correctores para disimular manchas e imperfecciones de la piel.
</x:t>
        </x:is>
      </x:c>
      <x:c r="L763" s="3" t="inlineStr">
        <x:is>
          <x:t>No</x:t>
        </x:is>
      </x:c>
      <x:c r="M763" s="3" t="inlineStr">
        <x:is>
          <x:t/>
        </x:is>
      </x:c>
      <x:c r="N763" s="3" t="inlineStr">
        <x:is>
          <x:t/>
        </x:is>
      </x:c>
      <x:c r="O763" s="3" t="inlineStr">
        <x:is>
          <x:t>09 oct. 2023</x:t>
        </x:is>
      </x:c>
      <x:c r="P763" s="3" t="inlineStr">
        <x:is>
          <x:t/>
        </x:is>
      </x:c>
      <x:c r="Q763" s="3" t="inlineStr">
        <x:is>
          <x:t/>
        </x:is>
      </x:c>
    </x:row>
    <x:row r="764">
      <x:c r="A764" s="10" t="inlineStr">
        <x:f xml:space="preserve">HYPERLINK("http://sipi.sic.gov.co/sipi/View.ashx?4533007","SD2022/0139501")</x:f>
      </x:c>
      <x:c r="B764" s="3" t="inlineStr">
        <x:is>
          <x:t>J nici</x:t>
        </x:is>
      </x:c>
      <x:c r="C764" s="9" t="inlineStr">
        <x:is>
          <x:t/>
        </x:is>
      </x:c>
      <x:c r="D764" s="3" t="inlineStr">
        <x:is>
          <x:t>29 dic. 2022</x:t>
        </x:is>
      </x:c>
      <x:c r="E764" s="3" t="inlineStr">
        <x:is>
          <x:t/>
        </x:is>
      </x:c>
      <x:c r="F764" s="3" t="inlineStr">
        <x:is>
          <x:t>Negada</x:t>
        </x:is>
      </x:c>
      <x:c r="G764" s="3" t="inlineStr">
        <x:is>
          <x:t>REGISTRO DE MARCA J NICI</x:t>
        </x:is>
      </x:c>
      <x:c r="H764" s="3" t="inlineStr">
        <x:is>
          <x:t>Jhon Fredy Ortiz Alzate, Abedules de la Hermosa, Carrera 22C Nro. 25 - 37 , SANTA ROSA DE CABAL, RISARALDA, CO</x:t>
        </x:is>
      </x:c>
      <x:c r="I764" s="3" t="inlineStr">
        <x:is>
          <x:t>3, 30</x:t>
        </x:is>
      </x:c>
      <x:c r="J764" s="3" t="inlineStr">
        <x:is>
          <x:t>11</x:t>
        </x:is>
      </x:c>
      <x:c r="K764" s="3" t="inlineStr">
        <x:is>
          <x:t>3. Productos de belleza como champú, exfoliante, mascarillas para el cuerpo, mascarillas para el cabello, acondicionador para el cabello. Productos cosméticos no medicinales.
30. Café, té. Té de café en verde; café tostado y molido.
</x:t>
        </x:is>
      </x:c>
      <x:c r="L764" s="3" t="inlineStr">
        <x:is>
          <x:t>No</x:t>
        </x:is>
      </x:c>
      <x:c r="M764" s="3" t="inlineStr">
        <x:is>
          <x:t>Mauricio Castro Orjuela, Avenida Carrera 19 # 95 - 20, BOGOTA, CUNDINAMARCA 00000, CO</x:t>
        </x:is>
      </x:c>
      <x:c r="N764" s="3" t="inlineStr">
        <x:is>
          <x:t/>
        </x:is>
      </x:c>
      <x:c r="O764" s="3" t="inlineStr">
        <x:is>
          <x:t>20 jun. 2023</x:t>
        </x:is>
      </x:c>
      <x:c r="P764" s="3" t="inlineStr">
        <x:is>
          <x:t/>
        </x:is>
      </x:c>
      <x:c r="Q764" s="3" t="inlineStr">
        <x:is>
          <x:t/>
        </x:is>
      </x:c>
    </x:row>
    <x:row r="765">
      <x:c r="A765" s="10" t="inlineStr">
        <x:f xml:space="preserve">HYPERLINK("http://sipi.sic.gov.co/sipi/View.ashx?4533123","SD2022/0139597")</x:f>
      </x:c>
      <x:c r="B765" s="3" t="inlineStr">
        <x:is>
          <x:t>ENCANTO CAPILAR </x:t>
        </x:is>
      </x:c>
      <x:c r="C765" s="9" t="inlineStr">
        <x:is>
          <x:t/>
        </x:is>
      </x:c>
      <x:c r="D765" s="3" t="inlineStr">
        <x:is>
          <x:t>28 dic. 2022</x:t>
        </x:is>
      </x:c>
      <x:c r="E765" s="3" t="inlineStr">
        <x:is>
          <x:t/>
        </x:is>
      </x:c>
      <x:c r="F765" s="3" t="inlineStr">
        <x:is>
          <x:t>Negada</x:t>
        </x:is>
      </x:c>
      <x:c r="G765" s="3" t="inlineStr">
        <x:is>
          <x:t/>
        </x:is>
      </x:c>
      <x:c r="H765" s="3" t="inlineStr">
        <x:is>
          <x:t> LABORATORIOS CAPIL LOREN S.A.S., calle 13 # 7-59, CURUMANI, CESAR 20228, CO</x:t>
        </x:is>
      </x:c>
      <x:c r="I765" s="3" t="inlineStr">
        <x:is>
          <x:t>3</x:t>
        </x:is>
      </x:c>
      <x:c r="J765" s="3" t="inlineStr">
        <x:is>
          <x:t>11</x:t>
        </x:is>
      </x:c>
      <x:c r="K765"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aceites destilados para el cuidado de belleza; cosméticos de belleza; cosméticos para tratamiento de belleza cosméticos para el cuidado de belleza; cremas bálsamos de belleza; cremas de belleza; cremas de belleza para el cuerpo; cremas de belleza para el rostro y el cuerpo; geles de belleza; leches de belleza; lociones de belleza; mascarillas de belleza; mascarillas de belleza para el contorno de los ojos; mascarillas de belleza para las manos; mascarillas faciales de belleza; preparaciones de cuidado corporal y de belleza para uso cosmético; preparaciones para cuidados corporales y de belleza; preparaciones para el cuidado del cuerpo y la belleza; preparaciones para el cuidado y la belleza personal; productos cosméticos y de belleza; sueros de belleza; bases de maquillaje; bases de maquillaje cremosas; bases de maquillaje en crema; bases de maquillaje líquidas; bases de maquillaje para la piel; cola de maquillaje para uso cosmético; fondo de maquillaje; fundación de maquillaje;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maquillaje [cosméticos]; maquillaje de teatro, a saber, sangre falsa; maquillaje para el cuerpo; maquillaje para el rostro; maquillaje para el rostro y el cuerpo; maquillaje para la cara; maquillaje para la cara y el cuerpo; maquillaje para la piel; maquillaje para los ojos; maquillaje para polveras; maquillaje teatral; maquillaje vendido en polveras; maquillajes de base; maquillajes de base en crema; maquillajes de ojos; maquillajes faciales; maquillajes para el teatro; mizu-oshiroi [bases de maquillaje líquidas];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polvos de maquillaje; preparaciones de maquillaje para el rostro y el cuerpo; preparaciones de maquillaje para la cara y el cuerpo; productos cosméticos y de maquillaje; productos de maquillaje; sangre falsa [maquillaje de teatro]; sprays para fijar el maquillaje; tiza para maquillaje.
</x:t>
        </x:is>
      </x:c>
      <x:c r="L765" s="3" t="inlineStr">
        <x:is>
          <x:t>No</x:t>
        </x:is>
      </x:c>
      <x:c r="M765" s="3" t="inlineStr">
        <x:is>
          <x:t>SANDRA PATRICIA CORTES SANCHEZ, cra79#19-20 torre 2 apto 904, BOGOTÁ, D.C. 57, CO</x:t>
        </x:is>
      </x:c>
      <x:c r="N765" s="3" t="inlineStr">
        <x:is>
          <x:t/>
        </x:is>
      </x:c>
      <x:c r="O765" s="3" t="inlineStr">
        <x:is>
          <x:t>17 abr. 2023</x:t>
        </x:is>
      </x:c>
      <x:c r="P765" s="3" t="inlineStr">
        <x:is>
          <x:t/>
        </x:is>
      </x:c>
      <x:c r="Q765" s="3" t="inlineStr">
        <x:is>
          <x:t/>
        </x:is>
      </x:c>
    </x:row>
    <x:row r="766">
      <x:c r="A766" s="10" t="inlineStr">
        <x:f xml:space="preserve">HYPERLINK("http://sipi.sic.gov.co/sipi/View.ashx?4533267","SD2022/0139549")</x:f>
      </x:c>
      <x:c r="B766" s="3" t="inlineStr">
        <x:is>
          <x:t>BIONITTA</x:t>
        </x:is>
      </x:c>
      <x:c r="C766" s="3" t="inlineStr">
        <x:is>
          <x:t/>
        </x:is>
      </x:c>
      <x:c r="D766" s="3" t="inlineStr">
        <x:is>
          <x:t>28 dic. 2022</x:t>
        </x:is>
      </x:c>
      <x:c r="E766" s="3" t="inlineStr">
        <x:is>
          <x:t/>
        </x:is>
      </x:c>
      <x:c r="F766" s="3" t="inlineStr">
        <x:is>
          <x:t>Negada</x:t>
        </x:is>
      </x:c>
      <x:c r="G766" s="3" t="inlineStr">
        <x:is>
          <x:t/>
        </x:is>
      </x:c>
      <x:c r="H766" s="3" t="inlineStr">
        <x:is>
          <x:t>Juanita Arbeláez Castaño , Calle 77 sur #45-56, MEDELLIN, ANTIOQUIA, CO</x:t>
        </x:is>
      </x:c>
      <x:c r="I766" s="3" t="inlineStr">
        <x:is>
          <x:t>3</x:t>
        </x:is>
      </x:c>
      <x:c r="J766" s="3" t="inlineStr">
        <x:is>
          <x:t>11</x:t>
        </x:is>
      </x:c>
      <x:c r="K766"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66" s="3" t="inlineStr">
        <x:is>
          <x:t>Sí</x:t>
        </x:is>
      </x:c>
      <x:c r="M766" s="3" t="inlineStr">
        <x:is>
          <x:t/>
        </x:is>
      </x:c>
      <x:c r="N766" s="3" t="inlineStr">
        <x:is>
          <x:t/>
        </x:is>
      </x:c>
      <x:c r="O766" s="3" t="inlineStr">
        <x:is>
          <x:t>17 abr. 2023</x:t>
        </x:is>
      </x:c>
      <x:c r="P766" s="3" t="inlineStr">
        <x:is>
          <x:t/>
        </x:is>
      </x:c>
      <x:c r="Q766" s="3" t="inlineStr">
        <x:is>
          <x:t/>
        </x:is>
      </x:c>
    </x:row>
    <x:row r="767">
      <x:c r="A767" s="10" t="inlineStr">
        <x:f xml:space="preserve">HYPERLINK("http://sipi.sic.gov.co/sipi/View.ashx?4533441","SD2022/0139621")</x:f>
      </x:c>
      <x:c r="B767" s="3" t="inlineStr">
        <x:is>
          <x:t>LABORATORIO CAPIL LOREN </x:t>
        </x:is>
      </x:c>
      <x:c r="C767" s="9" t="inlineStr">
        <x:is>
          <x:t/>
        </x:is>
      </x:c>
      <x:c r="D767" s="3" t="inlineStr">
        <x:is>
          <x:t>28 dic. 2022</x:t>
        </x:is>
      </x:c>
      <x:c r="E767" s="3" t="inlineStr">
        <x:is>
          <x:t/>
        </x:is>
      </x:c>
      <x:c r="F767" s="3" t="inlineStr">
        <x:is>
          <x:t>Negada</x:t>
        </x:is>
      </x:c>
      <x:c r="G767" s="3" t="inlineStr">
        <x:is>
          <x:t/>
        </x:is>
      </x:c>
      <x:c r="H767" s="3" t="inlineStr">
        <x:is>
          <x:t> LABORATORIOS CAPIL LOREN S.A.S., calle 13 # 7-59, CURUMANI, CESAR 20228, CO</x:t>
        </x:is>
      </x:c>
      <x:c r="I767" s="3" t="inlineStr">
        <x:is>
          <x:t>3</x:t>
        </x:is>
      </x:c>
      <x:c r="J767" s="3" t="inlineStr">
        <x:is>
          <x:t>11</x:t>
        </x:is>
      </x:c>
      <x:c r="K767" s="3" t="inlineStr">
        <x:is>
          <x: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bases de maquillaje; bases de maquillaje cremosas; bases de maquillaje en crema; bases de maquillaje líquidas; bases de maquillaje para la piel; cola de maquillaje para uso cosmético; fondo de maquillaje; fundación de maquillaje;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maquillaje [cosméticos]; maquillaje de teatro, a saber, sangre falsa; maquillaje para el cuerpo; maquillaje para el rostro; maquillaje para el rostro y el cuerpo; maquillaje para la cara; maquillaje para la cara y el cuerpo; maquillaje para la piel; maquillaje para los ojos; maquillaje para polveras; maquillaje teatral; maquillaje vendido en polveras; maquillajes de base; maquillajes de base en crema; maquillajes de ojos; maquillajes faciales; maquillajes para el teatro; mizu-oshiroi [bases de maquillaje líquidas];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polvos de maquillaje; preparaciones de maquillaje para el rostro y el cuerpo; preparaciones de maquillaje para la cara y el cuerpo; productos cosméticos y de maquillaje; productos de maquillaje; sangre falsa [maquillaje de teatro]; sprays para fijar el maquillaje; tiza para maquillaje.
</x:t>
        </x:is>
      </x:c>
      <x:c r="L767" s="3" t="inlineStr">
        <x:is>
          <x:t>No</x:t>
        </x:is>
      </x:c>
      <x:c r="M767" s="3" t="inlineStr">
        <x:is>
          <x:t>SANDRA PATRICIA CORTES SANCHEZ, cra79#19-20 torre 2 apto 904, BOGOTÁ, D.C. 57, CO</x:t>
        </x:is>
      </x:c>
      <x:c r="N767" s="3" t="inlineStr">
        <x:is>
          <x:t/>
        </x:is>
      </x:c>
      <x:c r="O767" s="3" t="inlineStr">
        <x:is>
          <x:t>17 abr. 2023</x:t>
        </x:is>
      </x:c>
      <x:c r="P767" s="3" t="inlineStr">
        <x:is>
          <x:t/>
        </x:is>
      </x:c>
      <x:c r="Q767" s="3" t="inlineStr">
        <x:is>
          <x:t/>
        </x:is>
      </x:c>
    </x:row>
    <x:row r="768">
      <x:c r="A768" s="10" t="inlineStr">
        <x:f xml:space="preserve">HYPERLINK("http://sipi.sic.gov.co/sipi/View.ashx?4533786","SD2022/0139924")</x:f>
      </x:c>
      <x:c r="B768" s="3" t="inlineStr">
        <x:is>
          <x:t>MYSTICAL PIEL SUAVE</x:t>
        </x:is>
      </x:c>
      <x:c r="C768" s="9" t="inlineStr">
        <x:is>
          <x:t/>
        </x:is>
      </x:c>
      <x:c r="D768" s="3" t="inlineStr">
        <x:is>
          <x:t>28 dic. 2022</x:t>
        </x:is>
      </x:c>
      <x:c r="E768" s="3" t="inlineStr">
        <x:is>
          <x:t/>
        </x:is>
      </x:c>
      <x:c r="F768" s="3" t="inlineStr">
        <x:is>
          <x:t>Negada</x:t>
        </x:is>
      </x:c>
      <x:c r="G768" s="3" t="inlineStr">
        <x:is>
          <x:t>MYSTICAL PIEL SUAVE</x:t>
        </x:is>
      </x:c>
      <x:c r="H768" s="3" t="inlineStr">
        <x:is>
          <x:t>Miguel Angel Garcia Patiño, calle 2 sur # 50e -48, MEDELLIN, ANTIOQUIA, CO</x:t>
        </x:is>
      </x:c>
      <x:c r="I768" s="3" t="inlineStr">
        <x:is>
          <x:t>3</x:t>
        </x:is>
      </x:c>
      <x:c r="J768" s="3" t="inlineStr">
        <x:is>
          <x:t>11</x:t>
        </x:is>
      </x:c>
      <x:c r="K768" s="3" t="inlineStr">
        <x:is>
          <x:t>3. Cremas faciales; emulsiones faciales; exfoliantes faciales; hidratantes faciales; limpiadores faciales; lociones faciales; mascarillas faciales; preparaciones de cuidado facial; preparaciones faciales; sueros faciales; tónicos faciales; tónicos faciales clarificantes; correctores para disimular manchas e imperfecciones de la piel; preparaciones para suavizar y eliminar las manchas; productos para suavizar y eliminar las manchas; cremas no medicadas para suavizar la piel.
</x:t>
        </x:is>
      </x:c>
      <x:c r="L768" s="3" t="inlineStr">
        <x:is>
          <x:t>No</x:t>
        </x:is>
      </x:c>
      <x:c r="M768" s="3" t="inlineStr">
        <x:is>
          <x:t/>
        </x:is>
      </x:c>
      <x:c r="N768" s="3" t="inlineStr">
        <x:is>
          <x:t/>
        </x:is>
      </x:c>
      <x:c r="O768" s="3" t="inlineStr">
        <x:is>
          <x:t>20 jun. 2023</x:t>
        </x:is>
      </x:c>
      <x:c r="P768" s="3" t="inlineStr">
        <x:is>
          <x:t/>
        </x:is>
      </x:c>
      <x:c r="Q768" s="3" t="inlineStr">
        <x:is>
          <x:t/>
        </x:is>
      </x:c>
    </x:row>
    <x:row r="769">
      <x:c r="A769" s="10" t="inlineStr">
        <x:f xml:space="preserve">HYPERLINK("http://sipi.sic.gov.co/sipi/View.ashx?4533943","SD2022/0139766")</x:f>
      </x:c>
      <x:c r="B769" s="3" t="inlineStr">
        <x:is>
          <x:t>MYSTERIOUS</x:t>
        </x:is>
      </x:c>
      <x:c r="C769" s="9" t="inlineStr">
        <x:is>
          <x:t/>
        </x:is>
      </x:c>
      <x:c r="D769" s="3" t="inlineStr">
        <x:is>
          <x:t>28 dic. 2022</x:t>
        </x:is>
      </x:c>
      <x:c r="E769" s="3" t="inlineStr">
        <x:is>
          <x:t/>
        </x:is>
      </x:c>
      <x:c r="F769" s="3" t="inlineStr">
        <x:is>
          <x:t>Negada</x:t>
        </x:is>
      </x:c>
      <x:c r="G769" s="3" t="inlineStr">
        <x:is>
          <x:t>MYSTERIOUS</x:t>
        </x:is>
      </x:c>
      <x:c r="H769" s="3" t="inlineStr">
        <x:is>
          <x:t>Miguel Angel Garcia Patiño, calle 2 sur # 50e -48, MEDELLIN, ANTIOQUIA, CO</x:t>
        </x:is>
      </x:c>
      <x:c r="I769" s="3" t="inlineStr">
        <x:is>
          <x:t>3</x:t>
        </x:is>
      </x:c>
      <x:c r="J769" s="3" t="inlineStr">
        <x:is>
          <x:t>11</x:t>
        </x:is>
      </x:c>
      <x:c r="K769" s="3" t="inlineStr">
        <x:is>
          <x:t>3. Jabones faciales; jabones cosméticos; jabones*; limpiadores de la piel.
</x:t>
        </x:is>
      </x:c>
      <x:c r="L769" s="3" t="inlineStr">
        <x:is>
          <x:t>No</x:t>
        </x:is>
      </x:c>
      <x:c r="M769" s="3" t="inlineStr">
        <x:is>
          <x:t/>
        </x:is>
      </x:c>
      <x:c r="N769" s="3" t="inlineStr">
        <x:is>
          <x:t/>
        </x:is>
      </x:c>
      <x:c r="O769" s="3" t="inlineStr">
        <x:is>
          <x:t>17 abr. 2023</x:t>
        </x:is>
      </x:c>
      <x:c r="P769" s="3" t="inlineStr">
        <x:is>
          <x:t/>
        </x:is>
      </x:c>
      <x:c r="Q769" s="3" t="inlineStr">
        <x:is>
          <x:t/>
        </x:is>
      </x:c>
    </x:row>
    <x:row r="770">
      <x:c r="A770" s="10" t="inlineStr">
        <x:f xml:space="preserve">HYPERLINK("http://sipi.sic.gov.co/sipi/View.ashx?4534051","SD2022/0140743")</x:f>
      </x:c>
      <x:c r="B770" s="3" t="inlineStr">
        <x:is>
          <x:t>AMAPOLA. artesana</x:t>
        </x:is>
      </x:c>
      <x:c r="C770" s="9" t="inlineStr">
        <x:is>
          <x:t/>
        </x:is>
      </x:c>
      <x:c r="D770" s="3" t="inlineStr">
        <x:is>
          <x:t>29 dic. 2022</x:t>
        </x:is>
      </x:c>
      <x:c r="E770" s="3" t="inlineStr">
        <x:is>
          <x:t/>
        </x:is>
      </x:c>
      <x:c r="F770" s="3" t="inlineStr">
        <x:is>
          <x:t>Negada</x:t>
        </x:is>
      </x:c>
      <x:c r="G770" s="3" t="inlineStr">
        <x:is>
          <x:t/>
        </x:is>
      </x:c>
      <x:c r="H770" s="3" t="inlineStr">
        <x:is>
          <x:t>JUAN DAVID VALLEJO RESTREPO, carrera 81 nro. 32 - 69 of 301, MEDELLIN, ANTIOQUIA, CO</x:t>
        </x:is>
      </x:c>
      <x:c r="I770" s="3" t="inlineStr">
        <x:is>
          <x:t>3, 4, 5, 30, 35, 41, 44</x:t>
        </x:is>
      </x:c>
      <x:c r="J770" s="3" t="inlineStr">
        <x:is>
          <x:t>11</x:t>
        </x:is>
      </x:c>
      <x:c r="K770" s="3" t="inlineStr">
        <x:is>
          <x:t>3. Detergentes jabonosos para uso doméstico; esponjas impregnadas con jabones; esponjas impregnadas con jabones para uso doméstico; jabones antitranspirantes; jabones corporales no medicados; jabones cosméticos; jabones de baño; jabones de baño en forma líquida, sólida o de gel; jabones de ducha; jabones de lufa; jabones de papel para uso personal; jabones de tocador; jabones de tocador no medicinales; jabones de tocador perfumados; jabones detergentes; jabones en crema para el cuerpo; jabones en forma líquida; jabones en polvo no medicinales; jabones faciales; jabones líquidos; jabones líquidos no medicinales; jabones líquidos para baños de pies; jabones líquidos para el baño; jabones líquidos para las manos y el rostro; jabones líquidos para las manos, el rostro y el cuerpo; jabones no medicados para el cuerpo; jabones no medicados para las manos; jabones no medicinales; jabones para alfombras; jabones para el cuerpo; jabones para la ducha; jabones para la piel; jabones para las manos; jabones para lavar la ropa; jabones para uso doméstico; jabones para uso personal; jabones perfumados; jabones vegetales; jabones y detergentes; jabones*; champúes para el cabello; champúes para el cabello a base de cáñamo; champús 3 en 1; champús acondicionadores; champús anticaspa; champús capilares; champús corporales; champús de ph neutro; champús en barritas sólidas; champús en seco*; champús equilibrados de ph; champús no medicinales; champús no medicinales contra la caspa; champús para bebés; champús para el cabello; champús para el cabello humano; champús para el cabello y el cuerpo; champús para el cuerpo; champús y acondicionadores; champús y acondicionadores para el cabello; champús*; productos de enjuague para el cabello [champús acondicionadores]; bases de maquillaje en crema; crema corporal; crema corporal para uso cosmético; crema en gel para matificar la piel; crema lavamanos; crema limpiadora; crema no medicinal contra la dermatitis del pañal; crema para aclarar la piel; crema para las manos; crema para lavarse las manos; crema para peinar el cabello; cremas acondicionadoras; cremas acondicionadoras para la piel, de uso cosmético; cremas antiarrugas para uso cosmético; cremas capilares; cremas con vitamina a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de baño; cremas de belleza; cremas de belleza para el cuerpo; cremas de belleza para el rostro y el cuerpo;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que no sean para uso médico; cremas de noche; cremas de protección capilar, no medicinales; cremas de protección para el cabello; cremas de protección para el cabello, no medicinales; cremas exfoliantes; cremas exfoliantes para uso cosmético; cremas faciales; cremas hidratantes; cremas para el cabello; cremas para el cabello de uso cosmético; cremas para el cabello para uso cosmético; cremas para el cuerpo [cosméticos]; cremas para el cuerpo cosméticas; cremas para las manos; cremas para las manos de uso cosmético; cremas perfumadas; cremas perfumadas para el cuerpo; cremas perfumadas para uso cosmético; cremas, lociones y geles hidratantes; gel crema matificante; geles, cremas y aceites de ducha; agentes de enjuague para lavar la ropa; jabón líquido para lavar la ropa; productos blanqueadores para lavar la ropa; velas de masaje para uso cosmético; aceite de almendras; aceite de lavanda; aceite de masaje, no medicinal; aceite de menta; aceite de rosas; aceites aromáticos; aceites aromáticos para el baño; aceites cosméticos; aceites cosméticos para la piel; aceites de aromaterapia; aceites de baño; productos de perfumería, aceites esenciales; productos de perfumería, aceites esenciales, cosméticos no medicinales, lociones capilares no medicinales; maquillajes faciales; mascarillas faciales; mascarillas faciales [productos cosméticos]; mascarillas faciales cosméticas; mascarillas faciales de belleza; mascarillas faciales limpiadoras; mascarillas faciales para tonificar la piel; mascarillas faciales para uso cosmético; acondicionadores labiales; bálsamos labiales; bálsamos labiales no medicinales; colorantes labiales [cosméticos]; colorantes labiales [productos cosméticos]; lápices labiales; lápices labiales hidratantes; paletas de brillos labiales; pomadas labiales; protectores labiales no medicinales; tintes labiales; tintes labiales [cosméticos]; tintes labiales [productos cosméticos]; tintes labiales para uso cosmético; serum calmante para la piel; serum de corrección para el contorno de los ojos; serum para calmar la piel [cosmético]; serum para el contorno de ojos.
4. Cera de abeja utilizada en la fabricación de velas; cera para fabricar velas; cera para hacer velas; lamparillas [velas]; mechas para velas; mechas para velas de alumbrado; velas [iluminación]; velas aromáticas; velas calientaplatos; velas con repelente de insectos; velas de cera; velas de fragancia para aromaterapia; velas de iluminación; velas de sebo; velas para absorber el humo; velas perfumadas; velas perfumadas de aromaterapia.
5. Preparaciones sanitarias de higiene personal que no sean productos de tocador; lociones faciales medicinales; champús en seco medicinales; champús medicinales; champús medicinales anticaspa; jabones antibacterianos; jabones antibacterianos para la piel; jabones carbólicos; jabones desinfectantes; jabones desinfectantes perfumados; jabones medicinales; jabones y detergentes medicinales y desinfectantes; lavados desinfectantes que no sean jabones; lociones antibacterianas para las manos; lociones capilares medicinales; lociones dermatológicas; lociones farmacéuticas para la piel; lociones medicinales; lociones medicinales para el cuerpo; lociones medicinales para tratar afecciones dermatológicas; lociones y cremas medicamentosas para el cuerpo, piel, cara y manos; lociones y cremas medicamentosas para el cuerpo, piel, rostro y manos; toallitas impregnadas de lociones farmacéuticas; toallitas y pañitos impregnados de lociones y cremas farmacéuticas; infusiones de hierbas medicinales; infusiones medicinales; serum calmante para la piel [medicinales]; serum calmante para la piel, medicinales; serum de alivio para la piel [medicinales]; serum de alivio para la piel, medicinales.
30. Infusiones de escaramujo; infusiones de hierbas; infusiones de hierbas que no sean para uso médico; infusiones de manzanilla; infusiones de salvia; infusiones de tila; infusiones de tilo; infusiones que no sean para uso médico; preparaciones aromáticas para infusiones no medicinales; té para infusiones; bebidas a base de té; bebidas a base de té con sabor a frutas; bebidas heladas a base de té; bolsas de filtro para té, llenas; bolsas de papel biodegradables de filtro para té, llenas; bolsitas de papel biodegradables de filtro para té, llenas; extractos de té para uso culinario; hojas de té procesadas; mezclas para la confección de té; mezclas para la elaboración de té; mezclas para preparar té; té*; tés de frutas; tés de hierbas que no sean para uso médico; tés helados.
35. Administración de empresas; explotación o dirección de una empresa comercial; dirección de negocios; dirección de negocios comerciales.
41. Clases personalizadas [educación y formación]; educación; educación en salud física; educación relacionada con la salud; educación y enseñanza; educación, enseñanza y formación; capacitación en el campo de la meditación; clases de meditación; cursos de meditación; enseñanza a la meditación; enseñanza de las prácticas a la meditación; formación a la meditación; formación de las prácticas a la meditación; formación en el campo de la meditación; instrucción a la meditación; instrucción de las prácticas a la meditación; provisión de talleres en línea en el campo del bienestar; servicios de bienestar en cuanto formación en salud y fitness; suministro de manuales y materiales didácticos en el campo del bienestar; suministro de materiales educativos en línea en el campo del bienestar; capacitacción de yoga; clases de yoga; cursos de yoga; enseñanza de yoga; facilitación de videos en línea no descargables para la enseñanza del yoga; formación de yoga; suministro de servicios de entrenamiento físico en el ámbito del yoga; suminsitro de videos en línea no descargables para la enseñanza del yoga.
44. Servicios de meditación con fines de atención psicológica; servicios de meditación para el tratamiento de atención psicológica; servicios de terapia por meditación; servicios de terapia por meditación [servicios de psicoterapia]; servicios de terapia por meditación en cuanto servicios de psicoterapia; consultoría sobre salud mental y bienestar; servicios de balneoterapia para mejorar la salud y el bienestar físico y mental; servicios de balneoterapia prestados en balnearios para mejorar la salud y el bienestar físico y espiritual; servicios prestados por balnearios para mejorar la salud y el bienestar físico y mental, incluidos masajes, tratamientos faciales y corporales, así como cuidados cosméticos para el cuerpo; suministro de información sobre salud mental y bienestar; suministro de información sobre salud y bienestar.
</x:t>
        </x:is>
      </x:c>
      <x:c r="L770" s="3" t="inlineStr">
        <x:is>
          <x:t>No</x:t>
        </x:is>
      </x:c>
      <x:c r="M770" s="3" t="inlineStr">
        <x:is>
          <x:t/>
        </x:is>
      </x:c>
      <x:c r="N770" s="3" t="inlineStr">
        <x:is>
          <x:t/>
        </x:is>
      </x:c>
      <x:c r="O770" s="3" t="inlineStr">
        <x:is>
          <x:t>16 feb. 2023</x:t>
        </x:is>
      </x:c>
      <x:c r="P770" s="3" t="inlineStr">
        <x:is>
          <x:t/>
        </x:is>
      </x:c>
      <x:c r="Q770" s="3" t="inlineStr">
        <x:is>
          <x:t/>
        </x:is>
      </x:c>
    </x:row>
    <x:row r="771">
      <x:c r="A771" s="10" t="inlineStr">
        <x:f xml:space="preserve">HYPERLINK("http://sipi.sic.gov.co/sipi/View.ashx?4534229","SD2022/0139841")</x:f>
      </x:c>
      <x:c r="B771" s="3" t="inlineStr">
        <x:is>
          <x:t>LYRALA</x:t>
        </x:is>
      </x:c>
      <x:c r="C771" s="3" t="inlineStr">
        <x:is>
          <x:t/>
        </x:is>
      </x:c>
      <x:c r="D771" s="3" t="inlineStr">
        <x:is>
          <x:t>28 dic. 2022</x:t>
        </x:is>
      </x:c>
      <x:c r="E771" s="3" t="inlineStr">
        <x:is>
          <x:t/>
        </x:is>
      </x:c>
      <x:c r="F771" s="3" t="inlineStr">
        <x:is>
          <x:t>Negada</x:t>
        </x:is>
      </x:c>
      <x:c r="G771" s="3" t="inlineStr">
        <x:is>
          <x:t/>
        </x:is>
      </x:c>
      <x:c r="H771" s="3" t="inlineStr">
        <x:is>
          <x:t>CARLOS ENRIQUE MUÑOZ SANTACOLOMA, CARRERA 101A No. 17-25, CALI, VALLE DEL CAUCA, CO</x:t>
        </x:is>
      </x:c>
      <x:c r="I771" s="3" t="inlineStr">
        <x:is>
          <x:t>3</x:t>
        </x:is>
      </x:c>
      <x:c r="J771" s="3" t="inlineStr">
        <x:is>
          <x:t>11</x:t>
        </x:is>
      </x:c>
      <x:c r="K771" s="3" t="inlineStr">
        <x:is>
          <x:t>3. ACEITES ESENCIALES; COSMÉTICOS; PRODUCTOS COSMÉTICOS PARA EL CUIDADO DE LA PIEL, CREMAS COSMÉTICAS, JABONES; LOCIONES CAPILARES; LOCIONES PARA USO COSMÉTICO, PREPARACIONES COSMÉTICAS PARA LA PIEL; PREPARACIONES FITO – COSMÉTICAS.
</x:t>
        </x:is>
      </x:c>
      <x:c r="L771" s="3" t="inlineStr">
        <x:is>
          <x:t>No</x:t>
        </x:is>
      </x:c>
      <x:c r="M771" s="3" t="inlineStr">
        <x:is>
          <x:t>SERGIO ROBERTO CABRERA TORRES, AVENIDA 4N No. 25N-45 BARRIO SAN VICENTE, CALI, VALLE DEL CAUCA, CO</x:t>
        </x:is>
      </x:c>
      <x:c r="N771" s="3" t="inlineStr">
        <x:is>
          <x:t/>
        </x:is>
      </x:c>
      <x:c r="O771" s="3" t="inlineStr">
        <x:is>
          <x:t>17 mar. 2023</x:t>
        </x:is>
      </x:c>
      <x:c r="P771" s="3" t="inlineStr">
        <x:is>
          <x:t/>
        </x:is>
      </x:c>
      <x:c r="Q771" s="3" t="inlineStr">
        <x:is>
          <x:t/>
        </x:is>
      </x:c>
    </x:row>
    <x:row r="772">
      <x:c r="A772" s="10" t="inlineStr">
        <x:f xml:space="preserve">HYPERLINK("http://sipi.sic.gov.co/sipi/View.ashx?4534317","SD2022/0139882")</x:f>
      </x:c>
      <x:c r="B772" s="3" t="inlineStr">
        <x:is>
          <x:t>LIPOP</x:t>
        </x:is>
      </x:c>
      <x:c r="C772" s="9" t="inlineStr">
        <x:is>
          <x:t/>
        </x:is>
      </x:c>
      <x:c r="D772" s="3" t="inlineStr">
        <x:is>
          <x:t>28 dic. 2022</x:t>
        </x:is>
      </x:c>
      <x:c r="E772" s="3" t="inlineStr">
        <x:is>
          <x:t/>
        </x:is>
      </x:c>
      <x:c r="F772" s="3" t="inlineStr">
        <x:is>
          <x:t>Negada</x:t>
        </x:is>
      </x:c>
      <x:c r="G772" s="3" t="inlineStr">
        <x:is>
          <x:t/>
        </x:is>
      </x:c>
      <x:c r="H772" s="3" t="inlineStr">
        <x:is>
          <x:t>CARLOS ENRIQUE MUÑOZ SANTACOLOMA, CARRERA 101A No. 17-25, CALI, VALLE DEL CAUCA, CO</x:t>
        </x:is>
      </x:c>
      <x:c r="I772" s="3" t="inlineStr">
        <x:is>
          <x:t>3</x:t>
        </x:is>
      </x:c>
      <x:c r="J772" s="3" t="inlineStr">
        <x:is>
          <x:t>11</x:t>
        </x:is>
      </x:c>
      <x:c r="K772" s="3" t="inlineStr">
        <x:is>
          <x:t>3. ACEITES ESENCIALES; COSMÉTICOS; PRODUCTOS COSMÉTICOS PARA EL CUIDADO DE LA PIEL, CREMAS COSMÉTICAS, JABONES; LOCIONES CAPILARES; LOCIONES PARA USO COSMÉTICO, PREPARACIONES COSMÉTICAS PARA LA PIEL; PREPARACIONES FITO – COSMÉTICAS.
</x:t>
        </x:is>
      </x:c>
      <x:c r="L772" s="3" t="inlineStr">
        <x:is>
          <x:t>No</x:t>
        </x:is>
      </x:c>
      <x:c r="M772" s="3" t="inlineStr">
        <x:is>
          <x:t>SERGIO ROBERTO CABRERA TORRES, AVENIDA 4N No. 25N-45 BARRIO SAN VICENTE, CALI, VALLE DEL CAUCA, CO</x:t>
        </x:is>
      </x:c>
      <x:c r="N772" s="3" t="inlineStr">
        <x:is>
          <x:t/>
        </x:is>
      </x:c>
      <x:c r="O772" s="3" t="inlineStr">
        <x:is>
          <x:t>27 mar. 2023</x:t>
        </x:is>
      </x:c>
      <x:c r="P772" s="3" t="inlineStr">
        <x:is>
          <x:t/>
        </x:is>
      </x:c>
      <x:c r="Q772" s="3" t="inlineStr">
        <x:is>
          <x:t/>
        </x:is>
      </x:c>
    </x:row>
    <x:row r="773">
      <x:c r="A773" s="10" t="inlineStr">
        <x:f xml:space="preserve">HYPERLINK("http://sipi.sic.gov.co/sipi/View.ashx?4534527","SD2022/0139966")</x:f>
      </x:c>
      <x:c r="B773" s="3" t="inlineStr">
        <x:is>
          <x:t>PERFECT FACE MAKEUP</x:t>
        </x:is>
      </x:c>
      <x:c r="C773" s="9" t="inlineStr">
        <x:is>
          <x:t/>
        </x:is>
      </x:c>
      <x:c r="D773" s="3" t="inlineStr">
        <x:is>
          <x:t>28 dic. 2022</x:t>
        </x:is>
      </x:c>
      <x:c r="E773" s="3" t="inlineStr">
        <x:is>
          <x:t/>
        </x:is>
      </x:c>
      <x:c r="F773" s="3" t="inlineStr">
        <x:is>
          <x:t>Negada</x:t>
        </x:is>
      </x:c>
      <x:c r="G773" s="3" t="inlineStr">
        <x:is>
          <x:t>pf01</x:t>
        </x:is>
      </x:c>
      <x:c r="H773" s="3" t="inlineStr">
        <x:is>
          <x:t>YELITZA PAOLA RODRIGUEZ MONTAÑEZ, calle 3 0-56 barrio santa marta, PAMPLONA, NORTE DE SANTANDER 543050, CO</x:t>
        </x:is>
      </x:c>
      <x:c r="I773" s="3" t="inlineStr">
        <x:is>
          <x:t>3</x:t>
        </x:is>
      </x:c>
      <x:c r="J773" s="3" t="inlineStr">
        <x:is>
          <x:t>11</x:t>
        </x:is>
      </x:c>
      <x:c r="K77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73" s="3" t="inlineStr">
        <x:is>
          <x:t>No</x:t>
        </x:is>
      </x:c>
      <x:c r="M773" s="3" t="inlineStr">
        <x:is>
          <x:t/>
        </x:is>
      </x:c>
      <x:c r="N773" s="3" t="inlineStr">
        <x:is>
          <x:t/>
        </x:is>
      </x:c>
      <x:c r="O773" s="3" t="inlineStr">
        <x:is>
          <x:t>05 abr. 2023</x:t>
        </x:is>
      </x:c>
      <x:c r="P773" s="3" t="inlineStr">
        <x:is>
          <x:t/>
        </x:is>
      </x:c>
      <x:c r="Q773" s="3" t="inlineStr">
        <x:is>
          <x:t/>
        </x:is>
      </x:c>
    </x:row>
    <x:row r="774">
      <x:c r="A774" s="10" t="inlineStr">
        <x:f xml:space="preserve">HYPERLINK("http://sipi.sic.gov.co/sipi/View.ashx?4534789","SD2022/0140006")</x:f>
      </x:c>
      <x:c r="B774" s="3" t="inlineStr">
        <x:is>
          <x:t>D'Salinas</x:t>
        </x:is>
      </x:c>
      <x:c r="C774" s="9" t="inlineStr">
        <x:is>
          <x:t/>
        </x:is>
      </x:c>
      <x:c r="D774" s="3" t="inlineStr">
        <x:is>
          <x:t>28 dic. 2022</x:t>
        </x:is>
      </x:c>
      <x:c r="E774" s="3" t="inlineStr">
        <x:is>
          <x:t/>
        </x:is>
      </x:c>
      <x:c r="F774" s="3" t="inlineStr">
        <x:is>
          <x:t>Negada</x:t>
        </x:is>
      </x:c>
      <x:c r="G774" s="3" t="inlineStr">
        <x:is>
          <x:t/>
        </x:is>
      </x:c>
      <x:c r="H774" s="3" t="inlineStr">
        <x:is>
          <x:t>Daniela Rengifo Largo, Cra 5, CHINCHINA, CALDAS, CO</x:t>
        </x:is>
      </x:c>
      <x:c r="I774" s="3" t="inlineStr">
        <x:is>
          <x:t>3</x:t>
        </x:is>
      </x:c>
      <x:c r="J774" s="3" t="inlineStr">
        <x:is>
          <x:t>11</x:t>
        </x:is>
      </x:c>
      <x:c r="K774" s="3" t="inlineStr">
        <x:is>
          <x:t>3. Aceites bronceadores [cosméticos];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apitoxina [veneno de abeja melífera] con fines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tonificantes [cosméticos]; cremas y geles cosméticos para cara, manos y cuerpo; cremas y geles cosméticos para rostro, manos y cuerpo; cremas, leches, lociones, geles y polvos cosméticos para la cara, el cuerpo y las manos; endurecedores de uñas [cosméticos]; esmaltes de base para las uñas [productos cosméticos]; exfoliantes corporales cosméticos; filtro solar [cosméticos]; geles bronceadores [cosméticos]; geles corporales y faciales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leches bronceadoras [cosméticos]; leches para después del sol [productos cosméticos];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autobronceadoras [cosméticos]; lociones faciales [cosméticos]; lociones hidratantes [cosméticos]; lociones hidratantes para el cuerpo [cosméticos]; lociones hidratantes para la piel [cosméticos]; lociones no medicinales para el cuidado de la piel [cosméticos]; lociones para el cuidado de la piel [cosméticos]; lociones para la piel [productos cosméticos]; maquillaje [cosméticos]; mascarillas faciales [productos cosméticos]; mascarillas para el cutis [cosméticos]; mascarillas para la piel [cosméticos]; papel secante anti-brillo [cosméticos]; papel secante facial [cosméticos]; parches cosméticos con filtro y pantalla solar para aplicar sobre la piel; parches de gel para los ojos con fines cosméticos; pañitos cosméticos prehumedecidos; perfumería para cosméticos; polvos compactos para polveras [cosméticos]; polvos cosméticos; polvos faciales [cosméticos]; polvos faciales cosméticos; polvos faciales cosméticos de color blanco; preparaciones autobronceadoras [cosméticos]; preparaciones blanqueadoras para la piel [productos cosméticos]; preparaciones de cuidado facial [cosméticos]; preparaciones de protección solar [productos cosméticos]; preparaciones faciales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de revestimiento para esculpir uñas [productos cosméticos]; productos y preparaciones cosméticos para el cuidado de la piel; protectores solares para los labios [productos cosméticos]; quitaesmalte para uñas [cosméticos]; quitaesmaltes de uñas [cosméticos]; tatuajes temporales con fines cosméticos; tintes cosméticos; tintes de labios [cosméticos]; tintes labiales [cosméticos]; tintes labiales [productos cosméticos]; tintes para los labios [productos cosméticos]; tiras blanqueadoras de dientes impregnadas con preparaciones blanqueadoras [cosméticos]; toallas de papel para las manos impregnadas de cosméticos; toallas de papel para las manos impregnadas de productos cosméticos; toallitas desechables impregnadas con preparados cosméticos para bebés; toallitas impregnadas con preparados cosméticos; toallitas impregnadas de productos cosméticos; tónicos cosméticos; tónicos cosméticos para el rostro; tónicos cosméticos para la cara; tónicos faciales [cosméticos]; veneno de abeja con fines cosméticos.
</x:t>
        </x:is>
      </x:c>
      <x:c r="L774" s="3" t="inlineStr">
        <x:is>
          <x:t>No</x:t>
        </x:is>
      </x:c>
      <x:c r="M774" s="3" t="inlineStr">
        <x:is>
          <x:t/>
        </x:is>
      </x:c>
      <x:c r="N774" s="3" t="inlineStr">
        <x:is>
          <x:t/>
        </x:is>
      </x:c>
      <x:c r="O774" s="3" t="inlineStr">
        <x:is>
          <x:t>05 abr. 2023</x:t>
        </x:is>
      </x:c>
      <x:c r="P774" s="3" t="inlineStr">
        <x:is>
          <x:t/>
        </x:is>
      </x:c>
      <x:c r="Q774" s="3" t="inlineStr">
        <x:is>
          <x:t/>
        </x:is>
      </x:c>
    </x:row>
    <x:row r="775">
      <x:c r="A775" s="10" t="inlineStr">
        <x:f xml:space="preserve">HYPERLINK("http://sipi.sic.gov.co/sipi/View.ashx?4534852","SD2022/0140030")</x:f>
      </x:c>
      <x:c r="B775" s="3" t="inlineStr">
        <x:is>
          <x:t>Macana Concept</x:t>
        </x:is>
      </x:c>
      <x:c r="C775" s="9" t="inlineStr">
        <x:is>
          <x:t/>
        </x:is>
      </x:c>
      <x:c r="D775" s="3" t="inlineStr">
        <x:is>
          <x:t>28 dic. 2022</x:t>
        </x:is>
      </x:c>
      <x:c r="E775" s="3" t="inlineStr">
        <x:is>
          <x:t/>
        </x:is>
      </x:c>
      <x:c r="F775" s="3" t="inlineStr">
        <x:is>
          <x:t>Negada</x:t>
        </x:is>
      </x:c>
      <x:c r="G775" s="3" t="inlineStr">
        <x:is>
          <x:t/>
        </x:is>
      </x:c>
      <x:c r="H775" s="3" t="inlineStr">
        <x:is>
          <x:t>maria camila hernandez gomez, Cra 81 a # 33 103, MEDELLIN, ANTIOQUIA, CO</x:t>
        </x:is>
      </x:c>
      <x:c r="I775" s="3" t="inlineStr">
        <x:is>
          <x:t>3</x:t>
        </x:is>
      </x:c>
      <x:c r="J775" s="3" t="inlineStr">
        <x:is>
          <x:t>11</x:t>
        </x:is>
      </x:c>
      <x:c r="K775" s="3" t="inlineStr">
        <x:is>
          <x:t>3. Cosméticos para tratamiento de belleza cosméticos para el cuidado de belleza; cremas de belleza para el cuerpo; cremas de belleza para el rostro y el cuerpo; mascarillas de belleza para el cabello; mascarillas de belleza para el contorno de los ojos; mascarillas de belleza para las manos; preparaciones de cuidado corporal y de belleza para uso cosmético; preparaciones para el cuidado y la belleza personal.
</x:t>
        </x:is>
      </x:c>
      <x:c r="L775" s="3" t="inlineStr">
        <x:is>
          <x:t>No</x:t>
        </x:is>
      </x:c>
      <x:c r="M775" s="3" t="inlineStr">
        <x:is>
          <x:t/>
        </x:is>
      </x:c>
      <x:c r="N775" s="3" t="inlineStr">
        <x:is>
          <x:t/>
        </x:is>
      </x:c>
      <x:c r="O775" s="3" t="inlineStr">
        <x:is>
          <x:t>30 oct. 2023</x:t>
        </x:is>
      </x:c>
      <x:c r="P775" s="3" t="inlineStr">
        <x:is>
          <x:t/>
        </x:is>
      </x:c>
      <x:c r="Q775" s="3" t="inlineStr">
        <x:is>
          <x:t/>
        </x:is>
      </x:c>
    </x:row>
    <x:row r="776">
      <x:c r="A776" s="10" t="inlineStr">
        <x:f xml:space="preserve">HYPERLINK("http://sipi.sic.gov.co/sipi/View.ashx?4535226","SD2022/0140122")</x:f>
      </x:c>
      <x:c r="B776" s="3" t="inlineStr">
        <x:is>
          <x:t>ELORA CUIDADO CAPILAR </x:t>
        </x:is>
      </x:c>
      <x:c r="C776" s="9" t="inlineStr">
        <x:is>
          <x:t/>
        </x:is>
      </x:c>
      <x:c r="D776" s="3" t="inlineStr">
        <x:is>
          <x:t>28 dic. 2022</x:t>
        </x:is>
      </x:c>
      <x:c r="E776" s="3" t="inlineStr">
        <x:is>
          <x:t/>
        </x:is>
      </x:c>
      <x:c r="F776" s="3" t="inlineStr">
        <x:is>
          <x:t>Negada</x:t>
        </x:is>
      </x:c>
      <x:c r="G776" s="3" t="inlineStr">
        <x:is>
          <x:t>ELORA CUIDADO CAPILAR </x:t>
        </x:is>
      </x:c>
      <x:c r="H776" s="3" t="inlineStr">
        <x:is>
          <x:t>LILIANA MARÍA FRANCO VELÁSQUEZ, CALLE 3 A SUR NO. 81 A - 04, MEDELLIN, ANTIOQUIA, CO</x:t>
        </x:is>
      </x:c>
      <x:c r="I776" s="3" t="inlineStr">
        <x:is>
          <x:t>3</x:t>
        </x:is>
      </x:c>
      <x:c r="J776" s="3" t="inlineStr">
        <x:is>
          <x:t>11</x:t>
        </x:is>
      </x:c>
      <x:c r="K776" s="3" t="inlineStr">
        <x:is>
          <x:t>3. Cosméticos.
</x:t>
        </x:is>
      </x:c>
      <x:c r="L776" s="3" t="inlineStr">
        <x:is>
          <x:t>No</x:t>
        </x:is>
      </x:c>
      <x:c r="M776" s="3" t="inlineStr">
        <x:is>
          <x:t>BLANCA MERY VELASQUEZ GALLO, CRA 81B No. 7A-40 URB. VILLAVERDE 1 CASA 13, MEDELLIN, ANTIOQUIA, CO</x:t>
        </x:is>
      </x:c>
      <x:c r="N776" s="3" t="inlineStr">
        <x:is>
          <x:t/>
        </x:is>
      </x:c>
      <x:c r="O776" s="3" t="inlineStr">
        <x:is>
          <x:t>05 abr. 2023</x:t>
        </x:is>
      </x:c>
      <x:c r="P776" s="3" t="inlineStr">
        <x:is>
          <x:t/>
        </x:is>
      </x:c>
      <x:c r="Q776" s="3" t="inlineStr">
        <x:is>
          <x:t/>
        </x:is>
      </x:c>
    </x:row>
    <x:row r="777">
      <x:c r="A777" s="10" t="inlineStr">
        <x:f xml:space="preserve">HYPERLINK("http://sipi.sic.gov.co/sipi/View.ashx?4535629","SD2022/0140246")</x:f>
      </x:c>
      <x:c r="B777" s="3" t="inlineStr">
        <x:is>
          <x:t>bo</x:t>
        </x:is>
      </x:c>
      <x:c r="C777" s="9" t="inlineStr">
        <x:is>
          <x:t/>
        </x:is>
      </x:c>
      <x:c r="D777" s="3" t="inlineStr">
        <x:is>
          <x:t>28 dic. 2022</x:t>
        </x:is>
      </x:c>
      <x:c r="E777" s="3" t="inlineStr">
        <x:is>
          <x:t/>
        </x:is>
      </x:c>
      <x:c r="F777" s="3" t="inlineStr">
        <x:is>
          <x:t>Negada</x:t>
        </x:is>
      </x:c>
      <x:c r="G777" s="3" t="inlineStr">
        <x:is>
          <x:t/>
        </x:is>
      </x:c>
      <x:c r="H777" s="3" t="inlineStr">
        <x:is>
          <x:t>Daniela Alejandra  Jimenez Pineda, CARRERA 103A # 22-42, BOGOTA, CUNDINAMARCA 110911, CO</x:t>
        </x:is>
      </x:c>
      <x:c r="I777" s="3" t="inlineStr">
        <x:is>
          <x:t>3</x:t>
        </x:is>
      </x:c>
      <x:c r="J777" s="3" t="inlineStr">
        <x:is>
          <x:t>11</x:t>
        </x:is>
      </x:c>
      <x:c r="K777" s="3" t="inlineStr">
        <x:is>
          <x:t>3. Aceites bronceadores [cosméticos];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apitoxina [veneno de abeja melífera] con fines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tonificantes [cosméticos]; cremas y geles cosméticos para cara, manos y cuerpo; cremas y geles cosméticos para rostro, manos y cuerpo; cremas, leches, lociones, geles y polvos cosméticos para la cara, el cuerpo y las manos; endurecedores de uñas [cosméticos]; esmaltes de base para las uñas [productos cosméticos]; geles bronceadores [cosméticos]; geles corporales y faciales [cosméticos]; geles para el cuerpo [cosméticos]; hidratantes [cosméticos]; kits de cosméticos que comprenden principalmente máscara de pestañas, lápices de labios, lápices de cejas, maquillaje, fundación de maquillaje y brillos de labios; leches para después del sol [productos cosméticos]; limpiadores cosméticos para la piel; limpiadores cutáneos [cosméticos]; mascarillas para la piel [cosméticos]; papel secante facial [cosméticos]; polvos compactos para polveras [cosméticos]; polvos cosméticos; polvos faciales cosméticos; preparaciones blanqueadoras para la piel [productos cosméticos]; preparaciones faciales [cosméticos]; preparaciones hidratantes [cosméticos].
</x:t>
        </x:is>
      </x:c>
      <x:c r="L777" s="3" t="inlineStr">
        <x:is>
          <x:t>Sí</x:t>
        </x:is>
      </x:c>
      <x:c r="M777" s="3" t="inlineStr">
        <x:is>
          <x:t/>
        </x:is>
      </x:c>
      <x:c r="N777" s="3" t="inlineStr">
        <x:is>
          <x:t/>
        </x:is>
      </x:c>
      <x:c r="O777" s="3" t="inlineStr">
        <x:is>
          <x:t>05 abr. 2023</x:t>
        </x:is>
      </x:c>
      <x:c r="P777" s="3" t="inlineStr">
        <x:is>
          <x:t/>
        </x:is>
      </x:c>
      <x:c r="Q777" s="3" t="inlineStr">
        <x:is>
          <x:t/>
        </x:is>
      </x:c>
    </x:row>
    <x:row r="778">
      <x:c r="A778" s="10" t="inlineStr">
        <x:f xml:space="preserve">HYPERLINK("http://sipi.sic.gov.co/sipi/View.ashx?4536061","SD2022/0141528")</x:f>
      </x:c>
      <x:c r="B778" s="3" t="inlineStr">
        <x:is>
          <x:t>MELS</x:t>
        </x:is>
      </x:c>
      <x:c r="C778" s="9" t="inlineStr">
        <x:is>
          <x:t/>
        </x:is>
      </x:c>
      <x:c r="D778" s="3" t="inlineStr">
        <x:is>
          <x:t>29 dic. 2022</x:t>
        </x:is>
      </x:c>
      <x:c r="E778" s="3" t="inlineStr">
        <x:is>
          <x:t/>
        </x:is>
      </x:c>
      <x:c r="F778" s="3" t="inlineStr">
        <x:is>
          <x:t>Negada</x:t>
        </x:is>
      </x:c>
      <x:c r="G778" s="3" t="inlineStr">
        <x:is>
          <x:t>MELS</x:t>
        </x:is>
      </x:c>
      <x:c r="H778" s="3" t="inlineStr">
        <x:is>
          <x:t>Juan Esteban  Jaramillo, Cl. 7 #83-31, MEDELLIN, ANTIOQUIA, CO; Melissa Cañaveral Pelaez, Cl. 7 #83-31, MEDELLIN, ANTIOQUIA, CO</x:t>
        </x:is>
      </x:c>
      <x:c r="I778" s="3" t="inlineStr">
        <x:is>
          <x:t>3, 35, 44</x:t>
        </x:is>
      </x:c>
      <x:c r="J778" s="3" t="inlineStr">
        <x:is>
          <x:t>11</x:t>
        </x:is>
      </x:c>
      <x:c r="K778" s="3" t="inlineStr">
        <x:is>
          <x:t>3. Bases de maquillaje; bases de maquillaje cremosas; bases de maquillaje en crema; bases de maquillaje líquidas; bases de maquillaje para la piel; cola de maquillaje para uso cosmético; fondo de maquillaje; fundación de maquillaje;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lápices de maquillaje; maquillaje; maquillaje [cosméticos]; maquillaje de teatro, a saber, sangre falsa; maquillaje para el cuerpo; maquillaje para el rostro; maquillaje para el rostro y el cuerpo; maquillaje para la cara; maquillaje para la cara y el cuerpo; maquillaje para la piel; maquillaje para los ojos; maquillaje para polveras; maquillaje teatral; maquillaje vendido en polveras; maquillajes de base; maquillajes de base en crema; maquillajes de ojos; maquillajes faciales; maquillajes para el teatro; mizu-oshiroi [bases de maquillaje líquidas];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polvos de maquillaje; preparaciones de maquillaje para el rostro y el cuerpo; preparaciones de maquillaje para la cara y el cuerpo; productos cosméticos y de maquillaje; productos de maquillaje; sangre falsa [maquillaje de teatro]; sprays para fijar el maquillaje; tiza para maquillaje; adhesivos para falsas pestañas; adhesivos para fijar uñas y pestañas postizas; adhesivos para pegar las pestañas postizas; adhesivos para pestañas postizas; adhesivos para pestañas, cabello y uñas postizos; cosméticos para pestañas; extensiones de pestañas; máscara de pestañas; máscara para pestañas largas; máscaras para pestañas largas; pestañas artificiales magnéticas; pestañas postizas; pestañas postizas magnéticas; preparaciones cosméticas para pestañas; productos cosméticos para las pestañas; productos de limpieza para las pestañas; tintes de pestañas; tintes para pestañas; adhesivos para fijar cejas postizas; adhesivos para la fijación de cejas postizas; cejas postizas; cejas postizas autoadhesivas; cosméticos para las cejas; geles para el peinado de las cejas; geles para el teñido de las cejas; lápices de cejas; polvo de cejas; tintes de cejas; tintes para cejas; aclaradores de uñas; adhesivos para fijar uñas postizas; adhesivos para pegar las uñas postizas; adhesivos para uñas postizas; bases para esmaltes de uñas; blanqueadores para las uñas; brillantina para las uñas; brillos de uñas para aplicar sobre el esmalte; calcomanías decorativas para uñas; calcomanías para las uñas; cremas para las uñas; cremas para las uñas de uso cosmético; endurecedores de uñas; endurecedores de uñas [cosméticos]; escarcha para las uñas; esmaltes de base para las uñas [productos cosméticos]; esmaltes de uñas; esmaltes de uñas en gel; esmaltes de uñas para uso cosmético; esmaltes de uñas y quitaesmaltes; fortalecedores de uñas;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kits para el cuidado de las uñas que comprenden principalmente lacas de uñas, quitaesmaltes y uñas postizas; lacas de uñas; lacas para las uñas; lociones para fortalecer las uñas; lociones, cremas y preparaciones para el cuidado de la cara, cuerpo, cuero cabelludo, uñas y cabello; lociones, cremas y preparaciones para el cuidado del rostro, cuerpo, cuero cabelludo, uñas y cabello; lápices para aplicar el esmalte de uñas; lápices quitaesmaltes de uñas; pegatinas decorativas para uñas; plumas de esmalte de uñas; preparaciones cosméticas para el cuidado de las uñas; preparaciones cosméticas para las uñas; preparaciones cosméticas para secar esmaltes de uñas; preparaciones para el cuidado de las uñas; preparaciones para pulir las uñas; preparaciones para retirar uñas de gel; preparaciones y productos para el cuidado de las uñas; productos de revestimiento para esculpir uñas; productos de revestimiento para esculpir uñas [productos cosméticos]; productos para ablandar las uñas; productos para el cuidado de las uñas; puntas de uñas; purpurina para las uñas; quitaesmalte para uñas [cosméticos]; quitaesmaltes de uñas [cosméticos]; reparadores de uñas; uñas postizas; uñas postizas de metales preciosos; uñas postizas para los dedos de los pies; aceites bronceadores [cosméticos];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apitoxina [veneno de abeja melífera] con fines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cannabis; cosméticos a base de cáñamo;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los labios; cosméticos para polveras;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tonificantes [cosméticos]; cremas y geles cosméticos para cara, manos y cuerpo; cremas y geles cosméticos para rostro, manos y cuerpo; cremas, leches, lociones, geles y polvos cosméticos para la cara, el cuerpo y las manos; exfoliantes corporales cosméticos; filtro solar [cosméticos]; geles bronceadores [cosméticos]; geles corporales y faciales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jabones cosméticos; leches bronceadoras [cosméticos]; leches para después del sol [productos cosméticos];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autobronceadoras [cosméticos]; lociones faciales [cosméticos]; lociones hidratantes [cosméticos]; lociones hidratantes para el cuerpo [cosméticos]; lociones hidratantes para la piel [cosméticos]; lociones no medicinales para el cuidado de la piel [cosméticos]; lociones para el cuidado de la piel [cosméticos]; lociones para la piel [productos cosméticos]; mascarillas faciales [productos cosméticos]; mascarillas para el cutis [cosméticos]; mascarillas para la piel [cosméticos]; papel secante anti-brillo [cosméticos]; papel secante facial [cosméticos]; parches cosméticos con filtro y pantalla solar para aplicar sobre la piel; parches de gel para los ojos con fines cosméticos; pañitos cosméticos prehumedecidos; perfumería para cosméticos; polvos compactos para polveras [cosméticos]; polvos cosméticos; polvos faciales [cosméticos]; polvos faciales cosméticos; polvos faciales cosméticos de color blanco; preparaciones autobronceadoras [cosméticos]; preparaciones blanqueadoras para la piel [productos cosméticos]; preparaciones de cuidado facial [cosméticos]; preparaciones de protección solar [productos cosméticos]; preparaciones faciales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niños; productos cosméticos para proteger la piel contra los rayos del sol; productos cosméticos para uso personal; productos cosméticos y de belleza;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y preparaciones cosméticos para el cuidado de la piel; protectores solares para los labios [productos cosméticos]; tintes cosméticos; tintes de labios [cosméticos]; tintes labiales [cosméticos]; tintes labiales [productos cosméticos]; tintes para los labios [productos cosméticos].
35. Servicios de agencia de ventas de productos de maquillaje; servicios de tiendas mayoristas de preparaciones de maquillaje; asesoramiento sobre productos de consumo en relación con productos cosméticos; investigación de marketing en el ámbito de los productos cosméticos, la perfumería y los productos de belleza; servicio de distribución comercial en el ámbito de los cosméticos; servicios de agencia de ventas de productos cosméticos; servicios de agencia de ventas de utensilios cosméticos; servicios de distribución comercial al por mayor de productos cosméticos; servicios de información sobre productos de consumo relacionados con productos cosméticos; servicios de publicidad en relación con productos cosméticos; servicios de revendedores en el ámbito de los cosméticos; servicios de venta de tienda al por menor en línea de productos cosméticos y de belleza; servicios de venta de tienda al por menor en línea que incluyen productos cosméticos y de belleza; servicios de venta de tienda minorista en línea de productos cosméticos y de belleza; servicios de venta de tienda minorista en línea en relación con productos cosméticos y de belleza; servicios de venta de tienda minorista en línea que incluyen productos cosméticos y de belleza; servicios de venta minorista en línea de cosméticos; servicios de venta minorista en línea de productos cosméticos; servicios de venta minorista en línea de productos cosméticos y de belleza, así como de prendas de vestir y complementos; servicios de venta minorista en línea en relación con productos cosméticos; servicios de venta minorista o mayorista de productos cosméticos; servicios de venta minorista o mayorista de productos cosméticos, productos de tocador, dentífricos, jabones y detergentes; servicios de venta minorista por correspondencia de cosméticos; servicios de venta minorista por correspondencia de productos cosméticos.
44. Servicios de aplicación de maquillaje; servicios de consulta en línea o en persona sobre maquillaje; servicios de consulta en línea sobre maquillaje; servicios de consulta y aplicación de maquillaje; servicios de consultas sobre maquillaje; servicios de extensión de pestañas; servicios de permanentes para pestañas; servicios de rizado de pestañas; servicios de teñido de pestañas; servicios de tratamientos de belleza, en particular para pestañas; servicios de depilación de cejas con hilo; servicios de modelado de las cejas; servicios de tatuaje de cejas; servicios de teñido de cejas; eliminación por láser de hongos en las uñas de los pies; servicios de salones de uñas; servicios para el cuidado de las uñas; suministro de cuñas [orinales] para pacientes en entornos hospitalarios; tratamiento cosmético por láser de hongos en las uñas de los pies; tratamientos para las uñas; servicios cosméticos de punción con agujas; servicios de análisis cosmético para seleccionar los productos cosméticos más adecuados según las facciones y el tono de piel de cada persona; servicios de cuidados cosméticos corporales; servicios de cuidados cosméticos corporales prestados en balnearios; servicios de tatuajes cosméticos; servicios de tratamientos cosméticos corporales; servicios de tratamientos cosméticos corporales, faciales y capilares; servicios de tratamientos cosméticos faciales y corporales; servicios prestados por balnearios para mejorar la salud y el bienestar físico y mental, incluidos masajes, tratamientos faciales y corporales, así como cuidados cosméticos para el cuerpo; tratamientos cosméticos para el cabello; tratamientos cosméticos por electrólisis.
</x:t>
        </x:is>
      </x:c>
      <x:c r="L778" s="3" t="inlineStr">
        <x:is>
          <x:t>Sí</x:t>
        </x:is>
      </x:c>
      <x:c r="M778" s="3" t="inlineStr">
        <x:is>
          <x:t>david Giraldo Echeverry, transversal 35 no. 72-5, MEDELLIN,, ANTIOQUIA, CO</x:t>
        </x:is>
      </x:c>
      <x:c r="N778" s="3" t="inlineStr">
        <x:is>
          <x:t/>
        </x:is>
      </x:c>
      <x:c r="O778" s="3" t="inlineStr">
        <x:is>
          <x:t>05 abr. 2023</x:t>
        </x:is>
      </x:c>
      <x:c r="P778" s="3" t="inlineStr">
        <x:is>
          <x:t/>
        </x:is>
      </x:c>
      <x:c r="Q778" s="3" t="inlineStr">
        <x:is>
          <x:t/>
        </x:is>
      </x:c>
    </x:row>
    <x:row r="779">
      <x:c r="A779" s="10" t="inlineStr">
        <x:f xml:space="preserve">HYPERLINK("http://sipi.sic.gov.co/sipi/View.ashx?4536435","SD2022/0140509")</x:f>
      </x:c>
      <x:c r="B779" s="3" t="inlineStr">
        <x:is>
          <x:t>Küna Ancient Care</x:t>
        </x:is>
      </x:c>
      <x:c r="C779" s="9" t="inlineStr">
        <x:is>
          <x:t/>
        </x:is>
      </x:c>
      <x:c r="D779" s="3" t="inlineStr">
        <x:is>
          <x:t>29 dic. 2022</x:t>
        </x:is>
      </x:c>
      <x:c r="E779" s="3" t="inlineStr">
        <x:is>
          <x:t/>
        </x:is>
      </x:c>
      <x:c r="F779" s="3" t="inlineStr">
        <x:is>
          <x:t>Negada</x:t>
        </x:is>
      </x:c>
      <x:c r="G779" s="3" t="inlineStr">
        <x:is>
          <x:t>Küna Ancient Care</x:t>
        </x:is>
      </x:c>
      <x:c r="H779" s="3" t="inlineStr">
        <x:is>
          <x:t>Maria Juliana Serrano Vera, KR 24 80 52 CONJ VILLA NUEVA DEL CAMPO T C APT 203, BUCARAMANGA, SANTANDER 680004, CO</x:t>
        </x:is>
      </x:c>
      <x:c r="I779" s="3" t="inlineStr">
        <x:is>
          <x:t>3, 5</x:t>
        </x:is>
      </x:c>
      <x:c r="J779" s="3" t="inlineStr">
        <x:is>
          <x:t>11</x:t>
        </x:is>
      </x:c>
      <x:c r="K77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jabones; mascarillas de belleza; productos de maquillaje; agua de Colonia; cosméticos desmaquilladores; aguas perfumadas; aguas de tocador; aceites esenciales / aceites etéreos; maquillaje; productos de limpieza; aceites para uso cosmético; aceites de perfumería / aceites para perfumes y fragancias; lociones para uso cosmético; leches limpiadoras de tocador; preparaciones de lavandería; preparaciones de tocador; champús; perfumes; productos cosméticos para el cuidado de la piel; jabones desodorantes; sales de baño que no sean para uso médico; toallitas impregnadas de lociones cosméticas; preparaciones de aloe vera para uso cosmético; geles de masaje que no sean para uso médico; preparaciones para el baño que no sean para uso médico; toallitas impregnadas de preparaciones desmaquillantes; preparaciones fito-cosméticas; productos cosméticos para niños; toallitas para bebés impregnadas de preparaciones de limpieza; pastas de dientes; cremas a base de aceites esenciales para aromaterapia; cremas no medicinales contra la dermatitis del pañal para niños; cremas cosméticas no medicinales; cremas de protección solar para niños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productos higiénicos y sanitarios para uso médico; alimentos y sustancias para uso médico; alimentos para bebes; complementos alimenticios para bebes; algodón antiséptico; algodón para uso médico; almohadillas de lactancia; calmantes; champús medicinales; complementos nutricionales; esparadrapos; gasa para apósitos; gelatina para uso médico; hisopos para uso médico; jabones antibacterianos; jabones desinfectantes; jabones medicinales; jalea real para uso farmacéutico; jarabes para uso farmacéutico; leche de almendras para uso farmacéutico; leche en polvo para bebes; leche en polvo para uso médico; lociones para uso farmacéutico; pañales para bebes; pañales -; braga para bebes; pañales - calzón para bebes; preparaciones alimenticias para bebes; preparaciones de aloe vera para uso farmacéutico; preparaciones de baño para uso médico; preparaciones de fitoterapia para uso médico; preparaciones de oligoelementos para el consumo humano; preparaciones de tocador medicinales; preparaciones de vitaminas; preparaciones farmacéuticas; preparaciones farmacéuticas para cuidar la piel; preparaciones nutraceúticas de uso terapéutico o medico; preparaciones terapéuticas para el baño; productos para las quemaduras; remedios de uso médico; suplementos alimenticios para bebes; suplementos nutricionales; toallitas impregnadas de lociones farmacéuticas; ungüentos para uso farmacéutico.
</x:t>
        </x:is>
      </x:c>
      <x:c r="L779" s="3" t="inlineStr">
        <x:is>
          <x:t>No</x:t>
        </x:is>
      </x:c>
      <x:c r="M779" s="3" t="inlineStr">
        <x:is>
          <x:t/>
        </x:is>
      </x:c>
      <x:c r="N779" s="3" t="inlineStr">
        <x:is>
          <x:t/>
        </x:is>
      </x:c>
      <x:c r="O779" s="3" t="inlineStr">
        <x:is>
          <x:t>27 abr. 2023</x:t>
        </x:is>
      </x:c>
      <x:c r="P779" s="3" t="inlineStr">
        <x:is>
          <x:t/>
        </x:is>
      </x:c>
      <x:c r="Q779" s="3" t="inlineStr">
        <x:is>
          <x:t/>
        </x:is>
      </x:c>
    </x:row>
    <x:row r="780">
      <x:c r="A780" s="10" t="inlineStr">
        <x:f xml:space="preserve">HYPERLINK("http://sipi.sic.gov.co/sipi/View.ashx?4536828","SD2022/0143063")</x:f>
      </x:c>
      <x:c r="B780" s="3" t="inlineStr">
        <x:is>
          <x:t>JUANDA MANIA</x:t>
        </x:is>
      </x:c>
      <x:c r="C780" s="9" t="inlineStr">
        <x:is>
          <x:t/>
        </x:is>
      </x:c>
      <x:c r="D780" s="3" t="inlineStr">
        <x:is>
          <x:t>30 dic. 2022</x:t>
        </x:is>
      </x:c>
      <x:c r="E780" s="3" t="inlineStr">
        <x:is>
          <x:t/>
        </x:is>
      </x:c>
      <x:c r="F780" s="3" t="inlineStr">
        <x:is>
          <x:t>Negada</x:t>
        </x:is>
      </x:c>
      <x:c r="G780" s="3" t="inlineStr">
        <x:is>
          <x:t>JUANDA MANIA</x:t>
        </x:is>
      </x:c>
      <x:c r="H780" s="3" t="inlineStr">
        <x:is>
          <x:t>Juan David Muñoz Jaramillo, Carrera 52D # 76 - 67 - Centro Comercial Platino. L. 1211 1212, ITAGUI, ANTIOQUIA, CO</x:t>
        </x:is>
      </x:c>
      <x:c r="I780" s="3" t="inlineStr">
        <x:is>
          <x:t>3, 35, 41, 43</x:t>
        </x:is>
      </x:c>
      <x:c r="J780" s="3" t="inlineStr">
        <x:is>
          <x:t>11</x:t>
        </x:is>
      </x:c>
      <x:c r="K780" s="3" t="inlineStr">
        <x:is>
          <x:t>3. Cosméticos; cosméticos de belleza; perfumes.
35. Patrocinio de publicidad; publicidad; marketing; dirección de negocios; dirección de eventos comerciales; organización de eventos publicitarios; organización de eventos promocionales.
41. Servicios de gestión de eventos en cuanto organización de eventos culturales; servicios de gestión de eventos en cuanto organización de eventos de entretenimiento; servicios de gestión de eventos en cuanto organización de eventos deportivos; servicios de gestión de eventos en cuanto organización de eventos educativos; celebración de eventos en vivo; facilitación de eventos de ocio.
43. Preparación de alimentos y bebidas; servicio de comidas y bebidas; suministro de comidas de consumo inmediato; servicios de catering.
</x:t>
        </x:is>
      </x:c>
      <x:c r="L780" s="3" t="inlineStr">
        <x:is>
          <x:t>No</x:t>
        </x:is>
      </x:c>
      <x:c r="M780" s="3" t="inlineStr">
        <x:is>
          <x:t>Natalia Botero Alzate, calle 14 # 16 -56, EL RETIRO, ANTIOQUIA, CO</x:t>
        </x:is>
      </x:c>
      <x:c r="N780" s="3" t="inlineStr">
        <x:is>
          <x:t/>
        </x:is>
      </x:c>
      <x:c r="O780" s="3" t="inlineStr">
        <x:is>
          <x:t>27 feb. 2023</x:t>
        </x:is>
      </x:c>
      <x:c r="P780" s="3" t="inlineStr">
        <x:is>
          <x:t/>
        </x:is>
      </x:c>
      <x:c r="Q780" s="3" t="inlineStr">
        <x:is>
          <x:t/>
        </x:is>
      </x:c>
    </x:row>
    <x:row r="781">
      <x:c r="A781" s="10" t="inlineStr">
        <x:f xml:space="preserve">HYPERLINK("http://sipi.sic.gov.co/sipi/View.ashx?4536966","SD2022/0140610")</x:f>
      </x:c>
      <x:c r="B781" s="3" t="inlineStr">
        <x:is>
          <x:t>ACTI-DERM FAST</x:t>
        </x:is>
      </x:c>
      <x:c r="C781" s="3" t="inlineStr">
        <x:is>
          <x:t/>
        </x:is>
      </x:c>
      <x:c r="D781" s="3" t="inlineStr">
        <x:is>
          <x:t>29 dic. 2022</x:t>
        </x:is>
      </x:c>
      <x:c r="E781" s="3" t="inlineStr">
        <x:is>
          <x:t/>
        </x:is>
      </x:c>
      <x:c r="F781" s="3" t="inlineStr">
        <x:is>
          <x:t>Negada</x:t>
        </x:is>
      </x:c>
      <x:c r="G781" s="3" t="inlineStr">
        <x:is>
          <x:t>M 2022/37007</x:t>
        </x:is>
      </x:c>
      <x:c r="H781" s="3" t="inlineStr">
        <x:is>
          <x:t> GENOMMA LAB INTERNACIONAL S.A.B  DE C.V., Antonio Dovali Jaime 70, Torre C, piso 2, Despacho A, Col. Santa Fe, C.P. 01210, DELEGACIÓN DE ÁLVARO OBREGÓN, CIUDAD DE MEXICO, MX</x:t>
        </x:is>
      </x:c>
      <x:c r="I781" s="3" t="inlineStr">
        <x:is>
          <x:t>3</x:t>
        </x:is>
      </x:c>
      <x:c r="J781" s="3" t="inlineStr">
        <x:is>
          <x:t>11</x:t>
        </x:is>
      </x:c>
      <x:c r="K781" s="3" t="inlineStr">
        <x:is>
          <x:t>3. Productos cosméticos y preparaciones de tocador no medicinales; Jabones; jabones cosméticos, maquillaje; emolientes y exfoliantes para la piel; mascarillas para la piel; desmaquillantes.
</x:t>
        </x:is>
      </x:c>
      <x:c r="L781" s="3" t="inlineStr">
        <x:is>
          <x:t>No</x:t>
        </x:is>
      </x:c>
      <x:c r="M781" s="3" t="inlineStr">
        <x:is>
          <x:t>CAROLINA MERCEDES DAZA MONTALVO, CARRERA 11 No. 86 - 53 PISO 6, BOGOTÁ, D.C., CO</x:t>
        </x:is>
      </x:c>
      <x:c r="N781" s="3" t="inlineStr">
        <x:is>
          <x:t/>
        </x:is>
      </x:c>
      <x:c r="O781" s="3" t="inlineStr">
        <x:is>
          <x:t>17 abr. 2023</x:t>
        </x:is>
      </x:c>
      <x:c r="P781" s="3" t="inlineStr">
        <x:is>
          <x:t/>
        </x:is>
      </x:c>
      <x:c r="Q781" s="3" t="inlineStr">
        <x:is>
          <x:t/>
        </x:is>
      </x:c>
    </x:row>
    <x:row r="782">
      <x:c r="A782" s="10" t="inlineStr">
        <x:f xml:space="preserve">HYPERLINK("http://sipi.sic.gov.co/sipi/View.ashx?4537025","SD2022/0140677")</x:f>
      </x:c>
      <x:c r="B782" s="3" t="inlineStr">
        <x:is>
          <x:t>MYSTIC   VELITAS Y JABONES PARA EL ALMA/CANDLES E SOAPS FOR THE SOUL</x:t>
        </x:is>
      </x:c>
      <x:c r="C782" s="9" t="inlineStr">
        <x:is>
          <x:t/>
        </x:is>
      </x:c>
      <x:c r="D782" s="3" t="inlineStr">
        <x:is>
          <x:t>29 dic. 2022</x:t>
        </x:is>
      </x:c>
      <x:c r="E782" s="3" t="inlineStr">
        <x:is>
          <x:t/>
        </x:is>
      </x:c>
      <x:c r="F782" s="3" t="inlineStr">
        <x:is>
          <x:t>Negada</x:t>
        </x:is>
      </x:c>
      <x:c r="G782" s="3" t="inlineStr">
        <x:is>
          <x:t>23252922</x:t>
        </x:is>
      </x:c>
      <x:c r="H782" s="3" t="inlineStr">
        <x:is>
          <x:t>MARIA ELVIRA  Maria Vargas, CR71A#95A04APT204, BOGOTÁ, D.C., CO</x:t>
        </x:is>
      </x:c>
      <x:c r="I782" s="3" t="inlineStr">
        <x:is>
          <x:t>3</x:t>
        </x:is>
      </x:c>
      <x:c r="J782" s="3" t="inlineStr">
        <x:is>
          <x:t>11</x:t>
        </x:is>
      </x:c>
      <x:c r="K782"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82" s="3" t="inlineStr">
        <x:is>
          <x:t>No</x:t>
        </x:is>
      </x:c>
      <x:c r="M782" s="3" t="inlineStr">
        <x:is>
          <x:t/>
        </x:is>
      </x:c>
      <x:c r="N782" s="3" t="inlineStr">
        <x:is>
          <x:t/>
        </x:is>
      </x:c>
      <x:c r="O782" s="3" t="inlineStr">
        <x:is>
          <x:t>08 may. 2023</x:t>
        </x:is>
      </x:c>
      <x:c r="P782" s="3" t="inlineStr">
        <x:is>
          <x:t/>
        </x:is>
      </x:c>
      <x:c r="Q782" s="3" t="inlineStr">
        <x:is>
          <x:t/>
        </x:is>
      </x:c>
    </x:row>
    <x:row r="783">
      <x:c r="A783" s="10" t="inlineStr">
        <x:f xml:space="preserve">HYPERLINK("http://sipi.sic.gov.co/sipi/View.ashx?4537574","SD2022/0140789")</x:f>
      </x:c>
      <x:c r="B783" s="3" t="inlineStr">
        <x:is>
          <x:t>AMVIRÍ</x:t>
        </x:is>
      </x:c>
      <x:c r="C783" s="9" t="inlineStr">
        <x:is>
          <x:t/>
        </x:is>
      </x:c>
      <x:c r="D783" s="3" t="inlineStr">
        <x:is>
          <x:t>29 dic. 2022</x:t>
        </x:is>
      </x:c>
      <x:c r="E783" s="3" t="inlineStr">
        <x:is>
          <x:t/>
        </x:is>
      </x:c>
      <x:c r="F783" s="3" t="inlineStr">
        <x:is>
          <x:t>Negada</x:t>
        </x:is>
      </x:c>
      <x:c r="G783" s="3" t="inlineStr">
        <x:is>
          <x:t>AMVIRI</x:t>
        </x:is>
      </x:c>
      <x:c r="H783" s="3" t="inlineStr">
        <x:is>
          <x:t>GABRIELA ROLDAN QUEVEDO, Carrera 3 A # 46 A -53, CALI, VALLE DEL CAUCA, CO</x:t>
        </x:is>
      </x:c>
      <x:c r="I783" s="3" t="inlineStr">
        <x:is>
          <x:t>3</x:t>
        </x:is>
      </x:c>
      <x:c r="J783" s="3" t="inlineStr">
        <x:is>
          <x:t>11</x:t>
        </x:is>
      </x:c>
      <x:c r="K783"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83" s="3" t="inlineStr">
        <x:is>
          <x:t>No</x:t>
        </x:is>
      </x:c>
      <x:c r="M783" s="3" t="inlineStr">
        <x:is>
          <x:t>ALVARO JOSE  LUNA PELAEZ, CALLE 17AN No. 8N - 60, PISO 2, CALI, VALLE DEL CAUCA, CO</x:t>
        </x:is>
      </x:c>
      <x:c r="N783" s="3" t="inlineStr">
        <x:is>
          <x:t/>
        </x:is>
      </x:c>
      <x:c r="O783" s="3" t="inlineStr">
        <x:is>
          <x:t>17 mar. 2023</x:t>
        </x:is>
      </x:c>
      <x:c r="P783" s="3" t="inlineStr">
        <x:is>
          <x:t/>
        </x:is>
      </x:c>
      <x:c r="Q783" s="3" t="inlineStr">
        <x:is>
          <x:t/>
        </x:is>
      </x:c>
    </x:row>
    <x:row r="784">
      <x:c r="A784" s="10" t="inlineStr">
        <x:f xml:space="preserve">HYPERLINK("http://sipi.sic.gov.co/sipi/View.ashx?4537692","SD2022/0140804")</x:f>
      </x:c>
      <x:c r="B784" s="3" t="inlineStr">
        <x:is>
          <x:t>OM BY BLONES</x:t>
        </x:is>
      </x:c>
      <x:c r="C784" s="9" t="inlineStr">
        <x:is>
          <x:t/>
        </x:is>
      </x:c>
      <x:c r="D784" s="3" t="inlineStr">
        <x:is>
          <x:t>29 dic. 2022</x:t>
        </x:is>
      </x:c>
      <x:c r="E784" s="3" t="inlineStr">
        <x:is>
          <x:t/>
        </x:is>
      </x:c>
      <x:c r="F784" s="3" t="inlineStr">
        <x:is>
          <x:t>Negada</x:t>
        </x:is>
      </x:c>
      <x:c r="G784" s="3" t="inlineStr">
        <x:is>
          <x:t>OM2022</x:t>
        </x:is>
      </x:c>
      <x:c r="H784" s="3" t="inlineStr">
        <x:is>
          <x:t>VICTOR LEOPOLDO GONZALES BECERRA, CALLE 49 # 68 51, MEDELLIN, ANTIOQUIA, CO; JAIME POSADA MARTINEZ, CALLE 49 68 51, MEDELLIN, ANTIOQUIA, CO</x:t>
        </x:is>
      </x:c>
      <x:c r="I784" s="3" t="inlineStr">
        <x:is>
          <x:t>3</x:t>
        </x:is>
      </x:c>
      <x:c r="J784" s="3" t="inlineStr">
        <x:is>
          <x:t>11</x:t>
        </x:is>
      </x:c>
      <x:c r="K78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84" s="3" t="inlineStr">
        <x:is>
          <x:t>No</x:t>
        </x:is>
      </x:c>
      <x:c r="M784" s="3" t="inlineStr">
        <x:is>
          <x:t/>
        </x:is>
      </x:c>
      <x:c r="N784" s="3" t="inlineStr">
        <x:is>
          <x:t/>
        </x:is>
      </x:c>
      <x:c r="O784" s="3" t="inlineStr">
        <x:is>
          <x:t>18 ago. 2023</x:t>
        </x:is>
      </x:c>
      <x:c r="P784" s="3" t="inlineStr">
        <x:is>
          <x:t/>
        </x:is>
      </x:c>
      <x:c r="Q784" s="3" t="inlineStr">
        <x:is>
          <x:t/>
        </x:is>
      </x:c>
    </x:row>
    <x:row r="785">
      <x:c r="A785" s="10" t="inlineStr">
        <x:f xml:space="preserve">HYPERLINK("http://sipi.sic.gov.co/sipi/View.ashx?4537701","SD2022/0140818")</x:f>
      </x:c>
      <x:c r="B785" s="3" t="inlineStr">
        <x:is>
          <x:t>EB ELECTRIC BEAUTY</x:t>
        </x:is>
      </x:c>
      <x:c r="C785" s="9" t="inlineStr">
        <x:is>
          <x:t/>
        </x:is>
      </x:c>
      <x:c r="D785" s="3" t="inlineStr">
        <x:is>
          <x:t>29 dic. 2022</x:t>
        </x:is>
      </x:c>
      <x:c r="E785" s="3" t="inlineStr">
        <x:is>
          <x:t/>
        </x:is>
      </x:c>
      <x:c r="F785" s="3" t="inlineStr">
        <x:is>
          <x:t>Negada</x:t>
        </x:is>
      </x:c>
      <x:c r="G785" s="3" t="inlineStr">
        <x:is>
          <x:t>Electric beauty</x:t>
        </x:is>
      </x:c>
      <x:c r="H785" s="3" t="inlineStr">
        <x:is>
          <x:t>ESTEFANIA BUITRAGO CUELLAR, CALLE 152 #58 -50, BOGOTÁ, D.C., CO</x:t>
        </x:is>
      </x:c>
      <x:c r="I785" s="3" t="inlineStr">
        <x:is>
          <x:t>3</x:t>
        </x:is>
      </x:c>
      <x:c r="J785" s="3" t="inlineStr">
        <x:is>
          <x:t>11</x:t>
        </x:is>
      </x:c>
      <x:c r="K78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todo a base de cannabis.
</x:t>
        </x:is>
      </x:c>
      <x:c r="L785" s="3" t="inlineStr">
        <x:is>
          <x:t>No</x:t>
        </x:is>
      </x:c>
      <x:c r="M785" s="3" t="inlineStr">
        <x:is>
          <x:t>ALVARO JOSE  LUNA PELAEZ, CALLE 17AN No. 8N - 60, PISO 2, CALI, VALLE DEL CAUCA, CO</x:t>
        </x:is>
      </x:c>
      <x:c r="N785" s="3" t="inlineStr">
        <x:is>
          <x:t/>
        </x:is>
      </x:c>
      <x:c r="O785" s="3" t="inlineStr">
        <x:is>
          <x:t>18 ago. 2023</x:t>
        </x:is>
      </x:c>
      <x:c r="P785" s="3" t="inlineStr">
        <x:is>
          <x:t/>
        </x:is>
      </x:c>
      <x:c r="Q785" s="3" t="inlineStr">
        <x:is>
          <x:t/>
        </x:is>
      </x:c>
    </x:row>
    <x:row r="786">
      <x:c r="A786" s="10" t="inlineStr">
        <x:f xml:space="preserve">HYPERLINK("http://sipi.sic.gov.co/sipi/View.ashx?4538606","SD2022/0141193")</x:f>
      </x:c>
      <x:c r="B786" s="3" t="inlineStr">
        <x:is>
          <x:t>ESSENTTIA BOTANICA</x:t>
        </x:is>
      </x:c>
      <x:c r="C786" s="3" t="inlineStr">
        <x:is>
          <x:t/>
        </x:is>
      </x:c>
      <x:c r="D786" s="3" t="inlineStr">
        <x:is>
          <x:t>29 dic. 2022</x:t>
        </x:is>
      </x:c>
      <x:c r="E786" s="3" t="inlineStr">
        <x:is>
          <x:t/>
        </x:is>
      </x:c>
      <x:c r="F786" s="3" t="inlineStr">
        <x:is>
          <x:t>Negada</x:t>
        </x:is>
      </x:c>
      <x:c r="G786" s="3" t="inlineStr">
        <x:is>
          <x:t>ESSENTTIA BOTANICA - nominativa</x:t>
        </x:is>
      </x:c>
      <x:c r="H786" s="3" t="inlineStr">
        <x:is>
          <x:t>Xiomara Londoño Londoño, carrera 43 N. 9 sur 195 oficina 1038, MEDELLIN, ANTIOQUIA, CO</x:t>
        </x:is>
      </x:c>
      <x:c r="I786" s="3" t="inlineStr">
        <x:is>
          <x:t>3</x:t>
        </x:is>
      </x:c>
      <x:c r="J786" s="3" t="inlineStr">
        <x:is>
          <x:t>11</x:t>
        </x:is>
      </x:c>
      <x:c r="K786" s="3" t="inlineStr">
        <x:is>
          <x:t>3. Jabones para el cuerpo; jabones para uso personal; champús en barritas sólidas; sales de baño; jabones faciales; cremas corporales; lociones y cremas corporales perfumadas.
</x:t>
        </x:is>
      </x:c>
      <x:c r="L786" s="3" t="inlineStr">
        <x:is>
          <x:t>No</x:t>
        </x:is>
      </x:c>
      <x:c r="M786" s="3" t="inlineStr">
        <x:is>
          <x:t>ANDRES FELIPE  LOPEZ VALENCIA, Calle 52 # 77 C 23, MEDELLIN, ANTIOQUIA, CO</x:t>
        </x:is>
      </x:c>
      <x:c r="N786" s="3" t="inlineStr">
        <x:is>
          <x:t/>
        </x:is>
      </x:c>
      <x:c r="O786" s="3" t="inlineStr">
        <x:is>
          <x:t>17 abr. 2023</x:t>
        </x:is>
      </x:c>
      <x:c r="P786" s="3" t="inlineStr">
        <x:is>
          <x:t/>
        </x:is>
      </x:c>
      <x:c r="Q786" s="3" t="inlineStr">
        <x:is>
          <x:t/>
        </x:is>
      </x:c>
    </x:row>
    <x:row r="787">
      <x:c r="A787" s="10" t="inlineStr">
        <x:f xml:space="preserve">HYPERLINK("http://sipi.sic.gov.co/sipi/View.ashx?4538990","SD2022/0141126")</x:f>
      </x:c>
      <x:c r="B787" s="3" t="inlineStr">
        <x:is>
          <x:t>CONSENTIDA COSMETICS</x:t>
        </x:is>
      </x:c>
      <x:c r="C787" s="9" t="inlineStr">
        <x:is>
          <x:t/>
        </x:is>
      </x:c>
      <x:c r="D787" s="3" t="inlineStr">
        <x:is>
          <x:t>29 dic. 2022</x:t>
        </x:is>
      </x:c>
      <x:c r="E787" s="3" t="inlineStr">
        <x:is>
          <x:t/>
        </x:is>
      </x:c>
      <x:c r="F787" s="3" t="inlineStr">
        <x:is>
          <x:t>Negada</x:t>
        </x:is>
      </x:c>
      <x:c r="G787" s="3" t="inlineStr">
        <x:is>
          <x:t/>
        </x:is>
      </x:c>
      <x:c r="H787" s="3" t="inlineStr">
        <x:is>
          <x:t>Juan Pablo  García Mejia , Transversal 32 sur # 32 b 48, ENVIGADO, ANTIOQUIA, CO</x:t>
        </x:is>
      </x:c>
      <x:c r="I787" s="3" t="inlineStr">
        <x:is>
          <x:t>3</x:t>
        </x:is>
      </x:c>
      <x:c r="J787" s="3" t="inlineStr">
        <x:is>
          <x:t>11</x:t>
        </x:is>
      </x:c>
      <x:c r="K787" s="3" t="inlineStr">
        <x:is>
          <x:t>3. Aceites cosméticos; aceites perfumados para la fabricación de productos cosméticos; autobronceadores [cosméticos]; colonias, perfumes y productos cosméticos; correctores de imperfecciones [productos cosméticos]; cosméticos; cosméticos a base de cannabis; cosméticos a base de cáñamo; cosméticos a base de hierbas; cosméticos de belleza; cosméticos naturales; cosméticos no medicinales; cosméticos para el cabello; cosméticos para el cuidado del cuerpo; cremas corporales [cosméticos]; cremas hidratantes para la piel [cosméticos]; cremas, leches, lociones, geles y polvos cosméticos para la cara, el cuerpo y las manos; kits de cosméticos que contienen principalmente máscara de pestañas, lápices de labios, lápices de cejas, maquillaje, fundación de maquillaje y brillos de labios; productos de perfumería, aceites esenciales, cosméticos no medicinales, lociones capilares no medicinales; tónicos cosméticos; jabones cosméticos; jabones de baño; jabones de tocador perfumados; jabones faciales.
</x:t>
        </x:is>
      </x:c>
      <x:c r="L787" s="3" t="inlineStr">
        <x:is>
          <x:t>No</x:t>
        </x:is>
      </x:c>
      <x:c r="M787" s="3" t="inlineStr">
        <x:is>
          <x:t>WILLIAM ORLANDO  QUIROGA, Carrera 13 No. 32-93. Torre 3, Oficina 708. Parque Central Baviera., BOGOTA, CUNDINAMARCA, CO</x:t>
        </x:is>
      </x:c>
      <x:c r="N787" s="3" t="inlineStr">
        <x:is>
          <x:t/>
        </x:is>
      </x:c>
      <x:c r="O787" s="3" t="inlineStr">
        <x:is>
          <x:t>17 abr. 2023</x:t>
        </x:is>
      </x:c>
      <x:c r="P787" s="3" t="inlineStr">
        <x:is>
          <x:t/>
        </x:is>
      </x:c>
      <x:c r="Q787" s="3" t="inlineStr">
        <x:is>
          <x:t/>
        </x:is>
      </x:c>
    </x:row>
    <x:row r="788">
      <x:c r="A788" s="10" t="inlineStr">
        <x:f xml:space="preserve">HYPERLINK("http://sipi.sic.gov.co/sipi/View.ashx?4539085","SD2022/0141157")</x:f>
      </x:c>
      <x:c r="B788" s="3" t="inlineStr">
        <x:is>
          <x:t>EUCALIPRUB</x:t>
        </x:is>
      </x:c>
      <x:c r="C788" s="9" t="inlineStr">
        <x:is>
          <x:t/>
        </x:is>
      </x:c>
      <x:c r="D788" s="3" t="inlineStr">
        <x:is>
          <x:t>29 dic. 2022</x:t>
        </x:is>
      </x:c>
      <x:c r="E788" s="3" t="inlineStr">
        <x:is>
          <x:t/>
        </x:is>
      </x:c>
      <x:c r="F788" s="3" t="inlineStr">
        <x:is>
          <x:t>Negada</x:t>
        </x:is>
      </x:c>
      <x:c r="G788" s="3" t="inlineStr">
        <x:is>
          <x:t/>
        </x:is>
      </x:c>
      <x:c r="H788" s="3" t="inlineStr">
        <x:is>
          <x:t>Juan Pablo  García Mejia , Transversal 32 sur # 32 b 48, ENVIGADO, ANTIOQUIA, CO</x:t>
        </x:is>
      </x:c>
      <x:c r="I788" s="3" t="inlineStr">
        <x:is>
          <x:t>3</x:t>
        </x:is>
      </x:c>
      <x:c r="J788" s="3" t="inlineStr">
        <x:is>
          <x:t>11</x:t>
        </x:is>
      </x:c>
      <x:c r="K788" s="3" t="inlineStr">
        <x:is>
          <x:t>3. Cremas cosméticas; cremas cosméticas para el cuidado de la piel; cremas de masaje no medicinales; cremas de noche; cremas no medicinales para la piel; pomadas en barra.
</x:t>
        </x:is>
      </x:c>
      <x:c r="L788" s="3" t="inlineStr">
        <x:is>
          <x:t>No</x:t>
        </x:is>
      </x:c>
      <x:c r="M788" s="3" t="inlineStr">
        <x:is>
          <x:t>WILLIAM ORLANDO  QUIROGA, Carrera 13 No. 32-93. Torre 3, Oficina 708. Parque Central Baviera., BOGOTA, CUNDINAMARCA, CO</x:t>
        </x:is>
      </x:c>
      <x:c r="N788" s="3" t="inlineStr">
        <x:is>
          <x:t/>
        </x:is>
      </x:c>
      <x:c r="O788" s="3" t="inlineStr">
        <x:is>
          <x:t>08 may. 2023</x:t>
        </x:is>
      </x:c>
      <x:c r="P788" s="3" t="inlineStr">
        <x:is>
          <x:t/>
        </x:is>
      </x:c>
      <x:c r="Q788" s="3" t="inlineStr">
        <x:is>
          <x:t/>
        </x:is>
      </x:c>
    </x:row>
    <x:row r="789">
      <x:c r="A789" s="10" t="inlineStr">
        <x:f xml:space="preserve">HYPERLINK("http://sipi.sic.gov.co/sipi/View.ashx?4539136","SD2022/0141196")</x:f>
      </x:c>
      <x:c r="B789" s="3" t="inlineStr">
        <x:is>
          <x:t>VALÚ PRODUCTOS NATURALES</x:t>
        </x:is>
      </x:c>
      <x:c r="C789" s="9" t="inlineStr">
        <x:is>
          <x:t/>
        </x:is>
      </x:c>
      <x:c r="D789" s="3" t="inlineStr">
        <x:is>
          <x:t>29 dic. 2022</x:t>
        </x:is>
      </x:c>
      <x:c r="E789" s="3" t="inlineStr">
        <x:is>
          <x:t/>
        </x:is>
      </x:c>
      <x:c r="F789" s="3" t="inlineStr">
        <x:is>
          <x:t>Negada</x:t>
        </x:is>
      </x:c>
      <x:c r="G789" s="3" t="inlineStr">
        <x:is>
          <x:t/>
        </x:is>
      </x:c>
      <x:c r="H789" s="3" t="inlineStr">
        <x:is>
          <x:t>JULIANA VALENTINA RODRIGUEZ GOMEZ, CARRERA15 # 13  - 56, ARMENIA, QUINDIO, CO</x:t>
        </x:is>
      </x:c>
      <x:c r="I789" s="3" t="inlineStr">
        <x:is>
          <x:t>3, 5</x:t>
        </x:is>
      </x:c>
      <x:c r="J789" s="3" t="inlineStr">
        <x:is>
          <x:t>11</x:t>
        </x:is>
      </x:c>
      <x:c r="K789"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x:t>
        </x:is>
      </x:c>
      <x:c r="L789" s="3" t="inlineStr">
        <x:is>
          <x:t>No</x:t>
        </x:is>
      </x:c>
      <x:c r="M789" s="3" t="inlineStr">
        <x:is>
          <x:t/>
        </x:is>
      </x:c>
      <x:c r="N789" s="3" t="inlineStr">
        <x:is>
          <x:t/>
        </x:is>
      </x:c>
      <x:c r="O789" s="3" t="inlineStr">
        <x:is>
          <x:t>17 abr. 2023</x:t>
        </x:is>
      </x:c>
      <x:c r="P789" s="3" t="inlineStr">
        <x:is>
          <x:t/>
        </x:is>
      </x:c>
      <x:c r="Q789" s="3" t="inlineStr">
        <x:is>
          <x:t/>
        </x:is>
      </x:c>
    </x:row>
    <x:row r="790">
      <x:c r="A790" s="10" t="inlineStr">
        <x:f xml:space="preserve">HYPERLINK("http://sipi.sic.gov.co/sipi/View.ashx?4540488","SD2022/0141613")</x:f>
      </x:c>
      <x:c r="B790" s="3" t="inlineStr">
        <x:is>
          <x:t>Serret Keep It Simple </x:t>
        </x:is>
      </x:c>
      <x:c r="C790" s="3" t="inlineStr">
        <x:is>
          <x:t/>
        </x:is>
      </x:c>
      <x:c r="D790" s="3" t="inlineStr">
        <x:is>
          <x:t>29 dic. 2022</x:t>
        </x:is>
      </x:c>
      <x:c r="E790" s="3" t="inlineStr">
        <x:is>
          <x:t/>
        </x:is>
      </x:c>
      <x:c r="F790" s="3" t="inlineStr">
        <x:is>
          <x:t>Negada</x:t>
        </x:is>
      </x:c>
      <x:c r="G790" s="3" t="inlineStr">
        <x:is>
          <x:t>Serret cl 03</x:t>
        </x:is>
      </x:c>
      <x:c r="H790" s="3" t="inlineStr">
        <x:is>
          <x:t>Katherine Serret Cano, Carrera 26 # 3A - 263, Villa Campestre del Mar, PUERTO COLOMBIA, ATLÁNTICO, CO</x:t>
        </x:is>
      </x:c>
      <x:c r="I790" s="3" t="inlineStr">
        <x:is>
          <x:t>3</x:t>
        </x:is>
      </x:c>
      <x:c r="J790" s="3" t="inlineStr">
        <x:is>
          <x:t>11</x:t>
        </x:is>
      </x:c>
      <x:c r="K790" s="3" t="inlineStr">
        <x:is>
          <x:t>3. Aceites de perfumería; aceites esenciales en cuanto perfumes de lavandería; aceites para perfumes y fragancias; agua de perfume; almizcle [producto de perfumería]; colonias, perfumes y productos cosméticos; eau de parfum [agua de perfume]; extractos de flores [productos de perfumería]; fragancias y productos de perfumería; perfumería para cosméticos; perfumería y fragancias; perfumes; perfumes y aguas de tocador;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ámbar [productos de perfumería].
</x:t>
        </x:is>
      </x:c>
      <x:c r="L790" s="3" t="inlineStr">
        <x:is>
          <x:t>No</x:t>
        </x:is>
      </x:c>
      <x:c r="M790" s="3" t="inlineStr">
        <x:is>
          <x:t>MIGUEL URQUIJO CERTAIN, Calle 79 # 57-140, BARRANQUILLA, ATLÁNTICO 080001, CO</x:t>
        </x:is>
      </x:c>
      <x:c r="N790" s="3" t="inlineStr">
        <x:is>
          <x:t/>
        </x:is>
      </x:c>
      <x:c r="O790" s="3" t="inlineStr">
        <x:is>
          <x:t>09 jun. 2023</x:t>
        </x:is>
      </x:c>
      <x:c r="P790" s="3" t="inlineStr">
        <x:is>
          <x:t/>
        </x:is>
      </x:c>
      <x:c r="Q790" s="3" t="inlineStr">
        <x:is>
          <x:t/>
        </x:is>
      </x:c>
    </x:row>
    <x:row r="791">
      <x:c r="A791" s="10" t="inlineStr">
        <x:f xml:space="preserve">HYPERLINK("http://sipi.sic.gov.co/sipi/View.ashx?4540518","SD2022/0141568")</x:f>
      </x:c>
      <x:c r="B791" s="3" t="inlineStr">
        <x:is>
          <x:t>Consiéntete, ¡Te lo mereces!</x:t>
        </x:is>
      </x:c>
      <x:c r="C791" s="9" t="inlineStr">
        <x:is>
          <x:t/>
        </x:is>
      </x:c>
      <x:c r="D791" s="3" t="inlineStr">
        <x:is>
          <x:t>29 dic. 2022</x:t>
        </x:is>
      </x:c>
      <x:c r="E791" s="3" t="inlineStr">
        <x:is>
          <x:t/>
        </x:is>
      </x:c>
      <x:c r="F791" s="3" t="inlineStr">
        <x:is>
          <x:t>Negada</x:t>
        </x:is>
      </x:c>
      <x:c r="G791" s="3" t="inlineStr">
        <x:is>
          <x:t/>
        </x:is>
      </x:c>
      <x:c r="H791" s="3" t="inlineStr">
        <x:is>
          <x:t>INGRID ROSSANNY SILVA DIAZ, CL 7 12 98, CUCUTA, NORTE DE SANTANDER, CO</x:t>
        </x:is>
      </x:c>
      <x:c r="I791" s="3" t="inlineStr">
        <x:is>
          <x:t>3, 35</x:t>
        </x:is>
      </x:c>
      <x:c r="J791" s="3" t="inlineStr">
        <x:is>
          <x:t>11</x:t>
        </x:is>
      </x:c>
      <x:c r="K791" s="3" t="inlineStr">
        <x:is>
          <x:t>3. Aceites destilados para el cuidado de belleza; cosméticos de belleza; cosméticos para tratamiento de belleza cosméticos para el cuidado de belleza; cremas bálsamos de belleza; cremas de belleza; cremas de belleza para el cuerpo; cremas de belleza para el rostro y el cuerpo; geles de belleza; leches de belleza; lociones de belleza; mascarillas de belleza; mascarillas de belleza para el cabello; mascarillas de belleza para el contorno de los ojos; mascarillas de belleza para las manos; mascarillas faciales de belleza; productos cosméticos y de belleza; sueros de belleza.
35. Servicios de tiendas minoristas de instrumentos de belleza para personas; servicios de tiendas minoristas en línea de instrumentos de belleza para personas; servicios de venta de tienda al por menor en línea de productos cosméticos y de belleza; servicios de venta de tienda al por menor en línea que incluyen productos cosméticos y de belleza; servicios de venta de tienda minorista en línea de productos cosméticos y de belleza; servicios de venta de tienda minorista en línea en relación con productos cosméticos y de belleza; servicios de venta de tienda minorista en línea que incluyen productos cosméticos y de belleza; servicios de venta mayorista de instrumentos de belleza para personas; servicios de venta mayorista en relación con instrumentos de belleza para personas; servicios de venta minorista de instrumentos de belleza para personas; servicios de venta minorista en línea de productos cosméticos y de belleza, así como de prendas de vestir y complementos; servicios de venta minorista en relación con instrumentos de belleza para personas.
</x:t>
        </x:is>
      </x:c>
      <x:c r="L791" s="3" t="inlineStr">
        <x:is>
          <x:t>No</x:t>
        </x:is>
      </x:c>
      <x:c r="M791" s="3" t="inlineStr">
        <x:is>
          <x:t/>
        </x:is>
      </x:c>
      <x:c r="N791" s="3" t="inlineStr">
        <x:is>
          <x:t/>
        </x:is>
      </x:c>
      <x:c r="O791" s="3" t="inlineStr">
        <x:is>
          <x:t>29 may. 2023</x:t>
        </x:is>
      </x:c>
      <x:c r="P791" s="3" t="inlineStr">
        <x:is>
          <x:t/>
        </x:is>
      </x:c>
      <x:c r="Q791" s="3" t="inlineStr">
        <x:is>
          <x:t/>
        </x:is>
      </x:c>
    </x:row>
    <x:row r="792">
      <x:c r="A792" s="10" t="inlineStr">
        <x:f xml:space="preserve">HYPERLINK("http://sipi.sic.gov.co/sipi/View.ashx?4540858","SD2022/0141913")</x:f>
      </x:c>
      <x:c r="B792" s="3" t="inlineStr">
        <x:is>
          <x:t>OTSU</x:t>
        </x:is>
      </x:c>
      <x:c r="C792" s="9" t="inlineStr">
        <x:is>
          <x:t/>
        </x:is>
      </x:c>
      <x:c r="D792" s="3" t="inlineStr">
        <x:is>
          <x:t>30 dic. 2022</x:t>
        </x:is>
      </x:c>
      <x:c r="E792" s="3" t="inlineStr">
        <x:is>
          <x:t/>
        </x:is>
      </x:c>
      <x:c r="F792" s="3" t="inlineStr">
        <x:is>
          <x:t>Negada</x:t>
        </x:is>
      </x:c>
      <x:c r="G792" s="3" t="inlineStr">
        <x:is>
          <x:t/>
        </x:is>
      </x:c>
      <x:c r="H792" s="3" t="inlineStr">
        <x:is>
          <x:t>TOMAS  QUINTERO ATEHORTUA, SIN ESTABLECER, MEDELLIN, ANTIOQUIA, CO</x:t>
        </x:is>
      </x:c>
      <x:c r="I792" s="3" t="inlineStr">
        <x:is>
          <x:t>3</x:t>
        </x:is>
      </x:c>
      <x:c r="J792" s="3" t="inlineStr">
        <x:is>
          <x:t>11</x:t>
        </x:is>
      </x:c>
      <x:c r="K792" s="3" t="inlineStr">
        <x:is>
          <x:t>3. Jabones; productos de perfumería; aceites esenciales; cosméticos; productos capilares, por ejemplo, shampoo, rinse, acondicionador, lociones capilares, aceites capilares; productos de tocado.
</x:t>
        </x:is>
      </x:c>
      <x:c r="L792" s="3" t="inlineStr">
        <x:is>
          <x:t>No</x:t>
        </x:is>
      </x:c>
      <x:c r="M792" s="3" t="inlineStr">
        <x:is>
          <x:t>JOHN JAIRO SÁNCHEZ GÓMEZ, CALLE 43 Nº 73 - 91, Int 101, MEDELLIN, ANTIOQUIA, CO</x:t>
        </x:is>
      </x:c>
      <x:c r="N792" s="3" t="inlineStr">
        <x:is>
          <x:t/>
        </x:is>
      </x:c>
      <x:c r="O792" s="3" t="inlineStr">
        <x:is>
          <x:t>08 sept. 2023</x:t>
        </x:is>
      </x:c>
      <x:c r="P792" s="3" t="inlineStr">
        <x:is>
          <x:t/>
        </x:is>
      </x:c>
      <x:c r="Q792" s="3" t="inlineStr">
        <x:is>
          <x:t/>
        </x:is>
      </x:c>
    </x:row>
    <x:row r="793">
      <x:c r="A793" s="10" t="inlineStr">
        <x:f xml:space="preserve">HYPERLINK("http://sipi.sic.gov.co/sipi/View.ashx?4540929","SD2022/0141711")</x:f>
      </x:c>
      <x:c r="B793" s="3" t="inlineStr">
        <x:is>
          <x:t>ONION PRODUCTOS NATURALES</x:t>
        </x:is>
      </x:c>
      <x:c r="C793" s="9" t="inlineStr">
        <x:is>
          <x:t/>
        </x:is>
      </x:c>
      <x:c r="D793" s="3" t="inlineStr">
        <x:is>
          <x:t>29 dic. 2022</x:t>
        </x:is>
      </x:c>
      <x:c r="E793" s="3" t="inlineStr">
        <x:is>
          <x:t/>
        </x:is>
      </x:c>
      <x:c r="F793" s="3" t="inlineStr">
        <x:is>
          <x:t>Negada</x:t>
        </x:is>
      </x:c>
      <x:c r="G793" s="3" t="inlineStr">
        <x:is>
          <x:t>ONION</x:t>
        </x:is>
      </x:c>
      <x:c r="H793" s="3" t="inlineStr">
        <x:is>
          <x:t>Melanny  Velez Durango, cra 30# 107 a 123, MEDELLIN, ANTIOQUIA 050002, CO; Karen Yizeth Castaño Rivera, Calle 103 número 42 b -32, MEDELLIN, ANTIOQUIA 050003, CO</x:t>
        </x:is>
      </x:c>
      <x:c r="I793" s="3" t="inlineStr">
        <x:is>
          <x:t>3</x:t>
        </x:is>
      </x:c>
      <x:c r="J793" s="3" t="inlineStr">
        <x:is>
          <x:t>11</x:t>
        </x:is>
      </x:c>
      <x:c r="K793" s="3" t="inlineStr">
        <x:is>
          <x:t>3. Cosméticos para el cabello.
</x:t>
        </x:is>
      </x:c>
      <x:c r="L793" s="3" t="inlineStr">
        <x:is>
          <x:t>No</x:t>
        </x:is>
      </x:c>
      <x:c r="M793" s="3" t="inlineStr">
        <x:is>
          <x:t/>
        </x:is>
      </x:c>
      <x:c r="N793" s="3" t="inlineStr">
        <x:is>
          <x:t/>
        </x:is>
      </x:c>
      <x:c r="O793" s="3" t="inlineStr">
        <x:is>
          <x:t>29 sept. 2023</x:t>
        </x:is>
      </x:c>
      <x:c r="P793" s="3" t="inlineStr">
        <x:is>
          <x:t/>
        </x:is>
      </x:c>
      <x:c r="Q793" s="3" t="inlineStr">
        <x:is>
          <x:t/>
        </x:is>
      </x:c>
    </x:row>
    <x:row r="794">
      <x:c r="A794" s="10" t="inlineStr">
        <x:f xml:space="preserve">HYPERLINK("http://sipi.sic.gov.co/sipi/View.ashx?4541045","SD2022/0141776")</x:f>
      </x:c>
      <x:c r="B794" s="3" t="inlineStr">
        <x:is>
          <x:t>NATURALS</x:t>
        </x:is>
      </x:c>
      <x:c r="C794" s="3" t="inlineStr">
        <x:is>
          <x:t/>
        </x:is>
      </x:c>
      <x:c r="D794" s="3" t="inlineStr">
        <x:is>
          <x:t>29 dic. 2022</x:t>
        </x:is>
      </x:c>
      <x:c r="E794" s="3" t="inlineStr">
        <x:is>
          <x:t/>
        </x:is>
      </x:c>
      <x:c r="F794" s="3" t="inlineStr">
        <x:is>
          <x:t>Negada</x:t>
        </x:is>
      </x:c>
      <x:c r="G794" s="3" t="inlineStr">
        <x:is>
          <x:t>35</x:t>
        </x:is>
      </x:c>
      <x:c r="H794" s="3" t="inlineStr">
        <x:is>
          <x:t>MIGUEL ANGEL  BARRERO SANCHEZ, Calle 1C No. 40 - 18, BOGOTA, CUNDINAMARCA 11001, CO</x:t>
        </x:is>
      </x:c>
      <x:c r="I794" s="3" t="inlineStr">
        <x:is>
          <x:t>3</x:t>
        </x:is>
      </x:c>
      <x:c r="J794" s="3" t="inlineStr">
        <x:is>
          <x:t>11</x:t>
        </x:is>
      </x:c>
      <x:c r="K794" s="3" t="inlineStr">
        <x:is>
          <x:t>3. Cosméticos para animales; jabones y champús no medicinales; cosméticos para animales; desodorantes para animales; productos de aseo como jabones; productos de perfumería, aceites esenciales, cosméticos, limpiadores desodorizantes, preparaciones de limpieza para uso doméstico; productos cosméticos y de aseo para animales de compañía.
</x:t>
        </x:is>
      </x:c>
      <x:c r="L794" s="3" t="inlineStr">
        <x:is>
          <x:t>Sí</x:t>
        </x:is>
      </x:c>
      <x:c r="M794" s="3" t="inlineStr">
        <x:is>
          <x:t/>
        </x:is>
      </x:c>
      <x:c r="N794" s="3" t="inlineStr">
        <x:is>
          <x:t/>
        </x:is>
      </x:c>
      <x:c r="O794" s="3" t="inlineStr">
        <x:is>
          <x:t>08 may. 2023</x:t>
        </x:is>
      </x:c>
      <x:c r="P794" s="3" t="inlineStr">
        <x:is>
          <x:t/>
        </x:is>
      </x:c>
      <x:c r="Q794" s="3" t="inlineStr">
        <x:is>
          <x:t/>
        </x:is>
      </x:c>
    </x:row>
    <x:row r="795">
      <x:c r="A795" s="10" t="inlineStr">
        <x:f xml:space="preserve">HYPERLINK("http://sipi.sic.gov.co/sipi/View.ashx?4541329","SD2022/0141839")</x:f>
      </x:c>
      <x:c r="B795" s="3" t="inlineStr">
        <x:is>
          <x:t>LILAK COMERCIALIZADORA</x:t>
        </x:is>
      </x:c>
      <x:c r="C795" s="9" t="inlineStr">
        <x:is>
          <x:t/>
        </x:is>
      </x:c>
      <x:c r="D795" s="3" t="inlineStr">
        <x:is>
          <x:t>30 dic. 2022</x:t>
        </x:is>
      </x:c>
      <x:c r="E795" s="3" t="inlineStr">
        <x:is>
          <x:t/>
        </x:is>
      </x:c>
      <x:c r="F795" s="3" t="inlineStr">
        <x:is>
          <x:t>Negada</x:t>
        </x:is>
      </x:c>
      <x:c r="G795" s="3" t="inlineStr">
        <x:is>
          <x:t/>
        </x:is>
      </x:c>
      <x:c r="H795" s="3" t="inlineStr">
        <x:is>
          <x:t>SANTIAGO MORENO BOLAÑOS, cra 8b #54-22 Barrio La Base, CALI, VALLE DEL CAUCA, CO</x:t>
        </x:is>
      </x:c>
      <x:c r="I795" s="3" t="inlineStr">
        <x:is>
          <x:t>3</x:t>
        </x:is>
      </x:c>
      <x:c r="J795" s="3" t="inlineStr">
        <x:is>
          <x:t>11</x:t>
        </x:is>
      </x:c>
      <x:c r="K795" s="3" t="inlineStr">
        <x:is>
          <x:t>3. Productos cosméticos de baño y ducha; productos cosméticos no medicinales; productos cosméticos para el cuidado de la piel; productos cosméticos para niños; productos cosméticos para uso personal; productos cosméticos y de maquillaje; productos cosméticos, a saber, lociones.
</x:t>
        </x:is>
      </x:c>
      <x:c r="L795" s="3" t="inlineStr">
        <x:is>
          <x:t>No</x:t>
        </x:is>
      </x:c>
      <x:c r="M795" s="3" t="inlineStr">
        <x:is>
          <x:t>vanessa priscila pupo jimenez, Cra 42 #63-71, MEDELLIN, ANTIOQUIA 130001, CO</x:t>
        </x:is>
      </x:c>
      <x:c r="N795" s="3" t="inlineStr">
        <x:is>
          <x:t/>
        </x:is>
      </x:c>
      <x:c r="O795" s="3" t="inlineStr">
        <x:is>
          <x:t>17 abr. 2023</x:t>
        </x:is>
      </x:c>
      <x:c r="P795" s="3" t="inlineStr">
        <x:is>
          <x:t/>
        </x:is>
      </x:c>
      <x:c r="Q795" s="3" t="inlineStr">
        <x:is>
          <x:t/>
        </x:is>
      </x:c>
    </x:row>
    <x:row r="796">
      <x:c r="A796" s="10" t="inlineStr">
        <x:f xml:space="preserve">HYPERLINK("http://sipi.sic.gov.co/sipi/View.ashx?4542247","SD2022/0142504")</x:f>
      </x:c>
      <x:c r="B796" s="3" t="inlineStr">
        <x:is>
          <x:t>Farmacia Estrella</x:t>
        </x:is>
      </x:c>
      <x:c r="C796" s="3" t="inlineStr">
        <x:is>
          <x:t/>
        </x:is>
      </x:c>
      <x:c r="D796" s="3" t="inlineStr">
        <x:is>
          <x:t>30 dic. 2022</x:t>
        </x:is>
      </x:c>
      <x:c r="E796" s="3" t="inlineStr">
        <x:is>
          <x:t/>
        </x:is>
      </x:c>
      <x:c r="F796" s="3" t="inlineStr">
        <x:is>
          <x:t>Negada</x:t>
        </x:is>
      </x:c>
      <x:c r="G796" s="3" t="inlineStr">
        <x:is>
          <x:t>Farmacia Estrella cl 03</x:t>
        </x:is>
      </x:c>
      <x:c r="H796" s="3" t="inlineStr">
        <x:is>
          <x:t>Sara Beatriz Chalarca Taboada, Cra 9W #37-09 Pitolandia, MONTERIA, CORDOBA, CO</x:t>
        </x:is>
      </x:c>
      <x:c r="I796" s="3" t="inlineStr">
        <x:is>
          <x:t>3</x:t>
        </x:is>
      </x:c>
      <x:c r="J796" s="3" t="inlineStr">
        <x:is>
          <x:t>11</x:t>
        </x:is>
      </x:c>
      <x:c r="K796" s="3" t="inlineStr">
        <x:is>
          <x:t>3. Productos cosméticos para uso personal; productos cosméticos y de belleza; productos cosméticos y de maquillaje; productos cosméticos y preparaciones de tocador no medicinales; desodorantes corporales [productos de perfumería]; productos de perfumería, aceites esenciales, cosméticos no medicinales, lociones capilares no medicinales; dentífricos*; colonias, perfumes y productos cosméticos; preparaciones de protección solar [productos cosméticos]; preparaciones para el cuidado de la piel [productos cosméticos]; productos cosméticos y de tocador; preparaciones para blanquear y otras sustancias para lavar la ropa; preparaciones para limpiar, lavar y pulir.
</x:t>
        </x:is>
      </x:c>
      <x:c r="L796" s="3" t="inlineStr">
        <x:is>
          <x:t>No</x:t>
        </x:is>
      </x:c>
      <x:c r="M796" s="3" t="inlineStr">
        <x:is>
          <x:t>MIGUEL URQUIJO CERTAIN, Calle 79 # 57-140, BARRANQUILLA, ATLÁNTICO 080001, CO</x:t>
        </x:is>
      </x:c>
      <x:c r="N796" s="3" t="inlineStr">
        <x:is>
          <x:t/>
        </x:is>
      </x:c>
      <x:c r="O796" s="3" t="inlineStr">
        <x:is>
          <x:t>08 may. 2023</x:t>
        </x:is>
      </x:c>
      <x:c r="P796" s="3" t="inlineStr">
        <x:is>
          <x:t/>
        </x:is>
      </x:c>
      <x:c r="Q796" s="3" t="inlineStr">
        <x:is>
          <x:t/>
        </x:is>
      </x:c>
    </x:row>
    <x:row r="797">
      <x:c r="A797" s="10" t="inlineStr">
        <x:f xml:space="preserve">HYPERLINK("http://sipi.sic.gov.co/sipi/View.ashx?4542358","SD2022/0142253")</x:f>
      </x:c>
      <x:c r="B797" s="3" t="inlineStr">
        <x:is>
          <x:t>ISHARK </x:t>
        </x:is>
      </x:c>
      <x:c r="C797" s="9" t="inlineStr">
        <x:is>
          <x:t/>
        </x:is>
      </x:c>
      <x:c r="D797" s="3" t="inlineStr">
        <x:is>
          <x:t>30 dic. 2022</x:t>
        </x:is>
      </x:c>
      <x:c r="E797" s="3" t="inlineStr">
        <x:is>
          <x:t/>
        </x:is>
      </x:c>
      <x:c r="F797" s="3" t="inlineStr">
        <x:is>
          <x:t>Negada</x:t>
        </x:is>
      </x:c>
      <x:c r="G797" s="3" t="inlineStr">
        <x:is>
          <x:t>Ishark_</x:t>
        </x:is>
      </x:c>
      <x:c r="H797" s="3" t="inlineStr">
        <x:is>
          <x:t>Harold Steven  Rivas Ospina , 10-250, Cra. 7, Jamundí, Valle, CALI, VALLE DEL CAUCA 760001, CO</x:t>
        </x:is>
      </x:c>
      <x:c r="I797" s="3" t="inlineStr">
        <x:is>
          <x:t>3</x:t>
        </x:is>
      </x:c>
      <x:c r="J797" s="3" t="inlineStr">
        <x:is>
          <x:t>11</x:t>
        </x:is>
      </x:c>
      <x:c r="K797"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797" s="3" t="inlineStr">
        <x:is>
          <x:t>No</x:t>
        </x:is>
      </x:c>
      <x:c r="M797" s="3" t="inlineStr">
        <x:is>
          <x:t/>
        </x:is>
      </x:c>
      <x:c r="N797" s="3" t="inlineStr">
        <x:is>
          <x:t/>
        </x:is>
      </x:c>
      <x:c r="O797" s="3" t="inlineStr">
        <x:is>
          <x:t>25 ene. 2024</x:t>
        </x:is>
      </x:c>
      <x:c r="P797" s="3" t="inlineStr">
        <x:is>
          <x:t/>
        </x:is>
      </x:c>
      <x:c r="Q797" s="3" t="inlineStr">
        <x:is>
          <x:t/>
        </x:is>
      </x:c>
    </x:row>
    <x:row r="798">
      <x:c r="A798" s="10" t="inlineStr">
        <x:f xml:space="preserve">HYPERLINK("http://sipi.sic.gov.co/sipi/View.ashx?4542488","SD2022/0142640")</x:f>
      </x:c>
      <x:c r="B798" s="3" t="inlineStr">
        <x:is>
          <x:t>FORESTAL ESENCIA BOTÁNICA</x:t>
        </x:is>
      </x:c>
      <x:c r="C798" s="9" t="inlineStr">
        <x:is>
          <x:t/>
        </x:is>
      </x:c>
      <x:c r="D798" s="3" t="inlineStr">
        <x:is>
          <x:t>30 dic. 2022</x:t>
        </x:is>
      </x:c>
      <x:c r="E798" s="3" t="inlineStr">
        <x:is>
          <x:t/>
        </x:is>
      </x:c>
      <x:c r="F798" s="3" t="inlineStr">
        <x:is>
          <x:t>Negada</x:t>
        </x:is>
      </x:c>
      <x:c r="G798" s="3" t="inlineStr">
        <x:is>
          <x:t>FORESTAL</x:t>
        </x:is>
      </x:c>
      <x:c r="H798" s="3" t="inlineStr">
        <x:is>
          <x:t> COMERCIALIZADORA ESENCIA BOTÁNICA S.A.S., Cl 179 # 76 80, BOGOTÁ, D.C., CO</x:t>
        </x:is>
      </x:c>
      <x:c r="I798" s="3" t="inlineStr">
        <x:is>
          <x:t>3</x:t>
        </x:is>
      </x:c>
      <x:c r="J798" s="3" t="inlineStr">
        <x:is>
          <x:t>11</x:t>
        </x:is>
      </x:c>
      <x:c r="K798" s="3" t="inlineStr">
        <x:is>
          <x:t>3. Aceites esenciales; aceites esenciales aromáticos; aceites esenciales de aromaterapia; aceites esenciales de origen vegetal; aceites esenciales naturales; aceites esenciales para uso personal; aromas [aceites esenciales]; champúes para el cabello; champús capilares; champús corporales; champús no medicinales; champús para el cabello; champús para el cabello humano; champús para el cabello y el cuerpo; champús para el cuerpo; champús*; aceites para el cuerpo; aceites para el cuerpo de uso cosmético; aceites puros para uso cosmético; aceites para uso cosmético; preparaciones para el cuidado de la piel [productos cosméticos]; productos cosméticos para el cuidado corporal; productos cosméticos para el cuidado de la piel; productos cosméticos para la piel; productos cosméticos para uso personal; productos cosméticos y de belleza.
</x:t>
        </x:is>
      </x:c>
      <x:c r="L798" s="3" t="inlineStr">
        <x:is>
          <x:t>Sí</x:t>
        </x:is>
      </x:c>
      <x:c r="M798" s="3" t="inlineStr">
        <x:is>
          <x:t>Alejandro  Caicedo Gardeazabal, carrera 45 No. 6a - 50, CALI, VALLE DEL CAUCA, VALLE DEL CAUCA, CO</x:t>
        </x:is>
      </x:c>
      <x:c r="N798" s="3" t="inlineStr">
        <x:is>
          <x:t/>
        </x:is>
      </x:c>
      <x:c r="O798" s="3" t="inlineStr">
        <x:is>
          <x:t>06 feb. 2023</x:t>
        </x:is>
      </x:c>
      <x:c r="P798" s="3" t="inlineStr">
        <x:is>
          <x:t/>
        </x:is>
      </x:c>
      <x:c r="Q798" s="3" t="inlineStr">
        <x:is>
          <x:t/>
        </x:is>
      </x:c>
    </x:row>
    <x:row r="799">
      <x:c r="A799" s="10" t="inlineStr">
        <x:f xml:space="preserve">HYPERLINK("http://sipi.sic.gov.co/sipi/View.ashx?4542499","SD2022/0142239")</x:f>
      </x:c>
      <x:c r="B799" s="3" t="inlineStr">
        <x:is>
          <x:t>DERMASOL</x:t>
        </x:is>
      </x:c>
      <x:c r="C799" s="3" t="inlineStr">
        <x:is>
          <x:t/>
        </x:is>
      </x:c>
      <x:c r="D799" s="3" t="inlineStr">
        <x:is>
          <x:t>30 dic. 2022</x:t>
        </x:is>
      </x:c>
      <x:c r="E799" s="3" t="inlineStr">
        <x:is>
          <x:t/>
        </x:is>
      </x:c>
      <x:c r="F799" s="3" t="inlineStr">
        <x:is>
          <x:t>Negada</x:t>
        </x:is>
      </x:c>
      <x:c r="G799" s="3" t="inlineStr">
        <x:is>
          <x:t>DERMASOL</x:t>
        </x:is>
      </x:c>
      <x:c r="H799" s="3" t="inlineStr">
        <x:is>
          <x:t>ALISSON ROMERO MADRIGAL, Diagonal 16b- No. 108-25, BOGOTÁ, D.C., CO</x:t>
        </x:is>
      </x:c>
      <x:c r="I799" s="3" t="inlineStr">
        <x:is>
          <x:t>3</x:t>
        </x:is>
      </x:c>
      <x:c r="J799" s="3" t="inlineStr">
        <x:is>
          <x:t>11</x:t>
        </x:is>
      </x:c>
      <x:c r="K799" s="3" t="inlineStr">
        <x:is>
          <x:t>3. Cosméticos; preparaciones limpiadoras para la piel, la cara y el cuerpo; preparaciones de cuidado facial; pastillas de jabón; jabones líquidos para las manos; geles y cremas de ducha; preparaciones para lavar el cuerpo; preparaciones exfoliantes; tónicos para la piel; preparaciones para quitar cosméticos; mascarillas faciales; desodorantes, antitranspirantes para uso personal; Sprays para el cuerpo de uso cosmético; hidratantes, sueros, lociones y cremas para el cuerpo, la piel y la cara; preparaciones de afeitar; productos cosméticos para proteger la piel contra los rayos del sol; productos con filtro solar; toallitas impregnadas con soluciones de limpieza.
</x:t>
        </x:is>
      </x:c>
      <x:c r="L799" s="3" t="inlineStr">
        <x:is>
          <x:t>Sí</x:t>
        </x:is>
      </x:c>
      <x:c r="M799" s="3" t="inlineStr">
        <x:is>
          <x:t/>
        </x:is>
      </x:c>
      <x:c r="N799" s="3" t="inlineStr">
        <x:is>
          <x:t/>
        </x:is>
      </x:c>
      <x:c r="O799" s="3" t="inlineStr">
        <x:is>
          <x:t>31 jul. 2023</x:t>
        </x:is>
      </x:c>
      <x:c r="P799" s="3" t="inlineStr">
        <x:is>
          <x:t/>
        </x:is>
      </x:c>
      <x:c r="Q799" s="3" t="inlineStr">
        <x:is>
          <x:t/>
        </x:is>
      </x:c>
    </x:row>
    <x:row r="800">
      <x:c r="A800" s="10" t="inlineStr">
        <x:f xml:space="preserve">HYPERLINK("http://sipi.sic.gov.co/sipi/View.ashx?4542502","SD2022/0142323")</x:f>
      </x:c>
      <x:c r="B800" s="3" t="inlineStr">
        <x:is>
          <x:t>CAVALIER</x:t>
        </x:is>
      </x:c>
      <x:c r="C800" s="9" t="inlineStr">
        <x:is>
          <x:t/>
        </x:is>
      </x:c>
      <x:c r="D800" s="3" t="inlineStr">
        <x:is>
          <x:t>30 dic. 2022</x:t>
        </x:is>
      </x:c>
      <x:c r="E800" s="3" t="inlineStr">
        <x:is>
          <x:t/>
        </x:is>
      </x:c>
      <x:c r="F800" s="3" t="inlineStr">
        <x:is>
          <x:t>Negada</x:t>
        </x:is>
      </x:c>
      <x:c r="G800" s="3" t="inlineStr">
        <x:is>
          <x:t>1032466435</x:t>
        </x:is>
      </x:c>
      <x:c r="H800" s="3" t="inlineStr">
        <x:is>
          <x:t>Yeison Ricardo Pineda Gutierrez, Carrera 13a #32--67, BOGOTÁ, D.C., CO</x:t>
        </x:is>
      </x:c>
      <x:c r="I800" s="3" t="inlineStr">
        <x:is>
          <x:t>3</x:t>
        </x:is>
      </x:c>
      <x:c r="J800" s="3" t="inlineStr">
        <x:is>
          <x:t>11</x:t>
        </x:is>
      </x:c>
      <x:c r="K800" s="3" t="inlineStr">
        <x:is>
          <x:t>3. Aceites bronceadores [cosméticos]; aceites cosméticos; aceites cosméticos para la piel; aceites de protección solar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tonificantes [cosméticos]; cremas y geles cosméticos para cara, manos y cuerpo; cremas y geles cosméticos para rostro, manos y cuerpo; cremas, leches, lociones, geles y polvos cosméticos para la cara, el cuerpo y las manos; endurecedores de uñas [cosméticos]; esmaltes de base para las uñas [productos cosméticos]; exfoliantes corporales cosméticos; filtro solar [cosméticos]; geles bronceadores [cosméticos]; geles corporales y faciales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leches bronceadoras [cosméticos]; leches para después del sol [productos cosméticos];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autobronceadoras [cosméticos]; lociones faciales [cosméticos]; lociones hidratantes [cosméticos]; lociones hidratantes para el cuerpo [cosméticos]; lociones hidratantes para la piel [cosméticos]; lociones no medicinales para el cuidado de la piel [cosméticos]; lociones para el cuidado de la piel [cosméticos]; lociones para la piel [productos cosméticos]; maquillaje [cosméticos]; mascarillas faciales [productos cosméticos]; mascarillas para el cutis [cosméticos]; mascarillas para la piel [cosméticos]; papel secante anti-brillo [cosméticos]; papel secante facial [cosméticos]; parches cosméticos con filtro y pantalla solar para aplicar sobre la piel; parches de gel para los ojos con fines cosméticos; pañitos cosméticos prehumedecidos; perfumería para cosméticos; polvos compactos para polveras [cosméticos]; polvos cosméticos; polvos faciales [cosméticos]; polvos faciales cosméticos; polvos faciales cosméticos de color blanco; preparaciones autobronceadoras [cosméticos]; preparaciones blanqueadoras para la piel [productos cosméticos]; preparaciones de cuidado facial [cosméticos]; preparaciones de protección solar [productos cosméticos]; preparaciones faciales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de revestimiento para esculpir uñas [productos cosméticos]; productos y preparaciones cosméticos para el cuidado de la piel; protectores solares para los labios [productos cosméticos]; quitaesmalte para uñas [cosméticos]; quitaesmaltes de uñas [cosméticos]; tintes cosméticos; toallas de papel para las manos impregnadas de cosméticos; toallas de papel para las manos impregnadas de productos cosméticos; tónicos cosméticos; tónicos cosméticos para el rostro; tónicos cosméticos para la cara; tónicos faciales [cosméticos].
</x:t>
        </x:is>
      </x:c>
      <x:c r="L800" s="3" t="inlineStr">
        <x:is>
          <x:t>No</x:t>
        </x:is>
      </x:c>
      <x:c r="M800" s="3" t="inlineStr">
        <x:is>
          <x:t/>
        </x:is>
      </x:c>
      <x:c r="N800" s="3" t="inlineStr">
        <x:is>
          <x:t/>
        </x:is>
      </x:c>
      <x:c r="O800" s="3" t="inlineStr">
        <x:is>
          <x:t>27 abr. 2023</x:t>
        </x:is>
      </x:c>
      <x:c r="P800" s="3" t="inlineStr">
        <x:is>
          <x:t/>
        </x:is>
      </x:c>
      <x:c r="Q800" s="3" t="inlineStr">
        <x:is>
          <x:t/>
        </x:is>
      </x:c>
    </x:row>
    <x:row r="801">
      <x:c r="A801" s="10" t="inlineStr">
        <x:f xml:space="preserve">HYPERLINK("http://sipi.sic.gov.co/sipi/View.ashx?4542548","SD2022/0142680")</x:f>
      </x:c>
      <x:c r="B801" s="3" t="inlineStr">
        <x:is>
          <x:t>STERANIOS</x:t>
        </x:is>
      </x:c>
      <x:c r="C801" s="3" t="inlineStr">
        <x:is>
          <x:t/>
        </x:is>
      </x:c>
      <x:c r="D801" s="3" t="inlineStr">
        <x:is>
          <x:t>30 dic. 2022</x:t>
        </x:is>
      </x:c>
      <x:c r="E801" s="3" t="inlineStr">
        <x:is>
          <x:t/>
        </x:is>
      </x:c>
      <x:c r="F801" s="3" t="inlineStr">
        <x:is>
          <x:t>Negada</x:t>
        </x:is>
      </x:c>
      <x:c r="G801" s="3" t="inlineStr">
        <x:is>
          <x:t>COLO-21390-701-009-3</x:t>
        </x:is>
      </x:c>
      <x:c r="H801" s="3" t="inlineStr">
        <x:is>
          <x:t> Ecolab USA Inc., 1 Ecolab Place St. Paul, Minnesota 55102 , SAINT PAUL, MINNESOTA, US</x:t>
        </x:is>
      </x:c>
      <x:c r="I801" s="3" t="inlineStr">
        <x:is>
          <x:t>3, 5</x:t>
        </x:is>
      </x:c>
      <x:c r="J801" s="3" t="inlineStr">
        <x:is>
          <x:t>11</x:t>
        </x:is>
      </x:c>
      <x:c r="K801" s="3" t="inlineStr">
        <x:is>
          <x:t>3. Preparaciones blanqueadoras y otras sustancias para lavar la ropa; preparaciones para limpiar, pulir, fregar y raspar; jabones; preparaciones de limpieza para la industria sanitaria; detergentes; productos de limpieza para uso en equipos y suministros médicos; preparaciones de limpieza polivalentes.
5. Productos farmacéuticos, preparaciones para uso médico y veterinario; preparaciones sanitarias para uso médico; desinfectantes; productos para eliminar parásitos; fungicidas, herbicidas; preparaciones desinfectantes; toallitas desinfectantes; preparaciones para esterilizar; preparaciones higiénicas de esterilización; preparaciones antibacterianas; productos de limpieza antibacterianos, detergentes y jabones; sustancias antibacterianas para uso médico; desinfectantes para fines y equipos médicos; jabón industrial desinfectante; desinfectantes antivirales; desinfectantes para fines sanitarios e higiénicos; preparaciones para desinfectar instrumentos, piel y agua; Biocidas y esterilizantes; desinfectante hospitalario para uso médico.
</x:t>
        </x:is>
      </x:c>
      <x:c r="L801" s="3" t="inlineStr">
        <x:is>
          <x:t>No</x:t>
        </x:is>
      </x:c>
      <x:c r="M801" s="3" t="inlineStr">
        <x:is>
          <x:t>EDUARDO VARELA PEZZANO, CARRERA 4 NO. 72 - 35, BOGOTÁ, D.C., CO</x:t>
        </x:is>
      </x:c>
      <x:c r="N801" s="3" t="inlineStr">
        <x:is>
          <x:t/>
        </x:is>
      </x:c>
      <x:c r="O801" s="3" t="inlineStr">
        <x:is>
          <x:t>17 abr. 2023</x:t>
        </x:is>
      </x:c>
      <x:c r="P801" s="3" t="inlineStr">
        <x:is>
          <x:t/>
        </x:is>
      </x:c>
      <x:c r="Q801" s="3" t="inlineStr">
        <x:is>
          <x:t/>
        </x:is>
      </x:c>
    </x:row>
    <x:row r="802">
      <x:c r="A802" s="10" t="inlineStr">
        <x:f xml:space="preserve">HYPERLINK("http://sipi.sic.gov.co/sipi/View.ashx?4542576","SD2022/0142688")</x:f>
      </x:c>
      <x:c r="B802" s="3" t="inlineStr">
        <x:is>
          <x:t>SYNERGY</x:t>
        </x:is>
      </x:c>
      <x:c r="C802" s="3" t="inlineStr">
        <x:is>
          <x:t/>
        </x:is>
      </x:c>
      <x:c r="D802" s="3" t="inlineStr">
        <x:is>
          <x:t>30 dic. 2022</x:t>
        </x:is>
      </x:c>
      <x:c r="E802" s="3" t="inlineStr">
        <x:is>
          <x:t/>
        </x:is>
      </x:c>
      <x:c r="F802" s="3" t="inlineStr">
        <x:is>
          <x:t>Negada</x:t>
        </x:is>
      </x:c>
      <x:c r="G802" s="3" t="inlineStr">
        <x:is>
          <x:t>COLO-21390-701-010-1</x:t>
        </x:is>
      </x:c>
      <x:c r="H802" s="3" t="inlineStr">
        <x:is>
          <x:t> Ecolab USA Inc., 1 Ecolab Place St. Paul, Minnesota 55102 , SAINT PAUL, MINNESOTA, US</x:t>
        </x:is>
      </x:c>
      <x:c r="I802" s="3" t="inlineStr">
        <x:is>
          <x:t>3, 5</x:t>
        </x:is>
      </x:c>
      <x:c r="J802" s="3" t="inlineStr">
        <x:is>
          <x:t>11</x:t>
        </x:is>
      </x:c>
      <x:c r="K802" s="3" t="inlineStr">
        <x:is>
          <x:t>3. Preparaciones blanqueadoras y otras sustancias para lavar la ropa; preparaciones para limpiar, pulir, fregar y raspar; preparaciones de limpieza para la industria sanitaria; detergentes; productos de limpieza para uso en equipos y suministros médicos; preparaciones de limpieza polivalentes.
5. Desinfectantes; preparaciones desinfectantes; toallitas desinfectantes; preparaciones para esterilizar; preparaciones higiénicas de esterilización; preparaciones antibacterianas; productos de limpieza antibacterianos, detergentes y jabones; desinfectantes para fines y equipos médicos; desinfectantes para fines sanitarios e higiénicos; preparaciones para desinfectar instrumentos; todo lo anterior excluyendo expresamente los productos farmacéuticos y los suplementos alimenticios.
</x:t>
        </x:is>
      </x:c>
      <x:c r="L802" s="3" t="inlineStr">
        <x:is>
          <x:t>Sí</x:t>
        </x:is>
      </x:c>
      <x:c r="M802" s="3" t="inlineStr">
        <x:is>
          <x:t>JUAN PABLO CONCHA DELGADO, AVENIDA 82 No. 10-62 PISO 5, BOGOTÁ, D.C., CO</x:t>
        </x:is>
      </x:c>
      <x:c r="N802" s="3" t="inlineStr">
        <x:is>
          <x:t/>
        </x:is>
      </x:c>
      <x:c r="O802" s="3" t="inlineStr">
        <x:is>
          <x:t>17 abr. 2023</x:t>
        </x:is>
      </x:c>
      <x:c r="P802" s="3" t="inlineStr">
        <x:is>
          <x:t/>
        </x:is>
      </x:c>
      <x:c r="Q802" s="3" t="inlineStr">
        <x:is>
          <x:t/>
        </x:is>
      </x:c>
    </x:row>
    <x:row r="803">
      <x:c r="A803" s="10" t="inlineStr">
        <x:f xml:space="preserve">HYPERLINK("http://sipi.sic.gov.co/sipi/View.ashx?4542627","SD2022/0142295")</x:f>
      </x:c>
      <x:c r="B803" s="3" t="inlineStr">
        <x:is>
          <x:t>FF</x:t>
        </x:is>
      </x:c>
      <x:c r="C803" s="9" t="inlineStr">
        <x:is>
          <x:t/>
        </x:is>
      </x:c>
      <x:c r="D803" s="3" t="inlineStr">
        <x:is>
          <x:t>30 dic. 2022</x:t>
        </x:is>
      </x:c>
      <x:c r="E803" s="3" t="inlineStr">
        <x:is>
          <x:t/>
        </x:is>
      </x:c>
      <x:c r="F803" s="3" t="inlineStr">
        <x:is>
          <x:t>Negada</x:t>
        </x:is>
      </x:c>
      <x:c r="G803" s="3" t="inlineStr">
        <x:is>
          <x:t/>
        </x:is>
      </x:c>
      <x:c r="H803" s="3" t="inlineStr">
        <x:is>
          <x:t> AMERICAN GAIA CORP., WITHFIELD TOWER, THIRD FLOOR, 4792 CONEY DRIVE, BELIZE CITY, BELIZE, BZ</x:t>
        </x:is>
      </x:c>
      <x:c r="I803" s="3" t="inlineStr">
        <x:is>
          <x:t>3</x:t>
        </x:is>
      </x:c>
      <x:c r="J803" s="3" t="inlineStr">
        <x:is>
          <x:t>11</x:t>
        </x:is>
      </x:c>
      <x:c r="K803" s="3" t="inlineStr">
        <x:is>
          <x:t>3. PRODUCTOS COSMÉTICOS Y PREPARACIONES DE TOCADOR NO MEDICINALES; DENTÍFRICOS NO MEDICINALES; PRODUCTOS DE PERFUMERÍA, ACEITES ESENCIALES; JABONES NO MEDICINALES; COSMÉTICOS; LOCIONES CAPILARES NO MEDICINALES; DESODORANTES PARA PERSONAS, PRODUCTOS DE PERFUMERÍA, LÁPICES DE LABIOS (PINTALABIOS), LÁPICES PARA USO COSMÉTICO; LACAS PARA EL CABELLO; LACAS PARA LAS UÑAS; PRODUCTOS PARA QUITAR LACAS; TOALLITAS IMPREGNADAS DE LOCIONES COSMÉTICAS; PAÑOS DE LIMPIEZA IMPREGNADOS CON DETERGENTE; LOCIONES PARA DESPUÉS DEL AFEITADO; LOCIONES PARA USO COSMÉTICO; PRODUCTOS DE MAQUILLAJE; CREMAS PARA USO COSMÉTICO; EXTRACTOS DE FLORES (PRODUCTOS DE PERFUMERÍA); INCIENSO; MADERAS AROMÁTICAS; PREPARACIONES PARA ONDULAR EL CABELLO; SALES DE BAÑO QUE NO SEAN PARA USO MÉDICO; ACEITES DE TOCADOR; PRODUCTOS DE PROTECCIÓN SOLAR; AGUA DE COLONIA; JABONES DESODORANTES; TALCO DE TOCADOR; GRASAS PARA USO COSMÉTICO; ABRASIVOS; PRODUCTOS DE AFEITAR; MASCARILLAS DE BELLEZA; COSMÉTICOS PARA LAS CEJAS; CREMAS COSMÉTICAS; JABONES ANTITRANSPIRANTES PARA LOS PIES; AGUAS PERFUMADAS; PERFUMES; COSMÉTICOS PARA LAS PESTAÑAS; PRODUCTOS COSMÉTICOS PARA EL CUIDADO DE LA PIEL; POLVOS DE MAQUILLAJE.
</x:t>
        </x:is>
      </x:c>
      <x:c r="L803" s="3" t="inlineStr">
        <x:is>
          <x:t>Sí</x:t>
        </x:is>
      </x:c>
      <x:c r="M803" s="3" t="inlineStr">
        <x:is>
          <x:t>SERGIO ROBERTO CABRERA TORRES, AVENIDA 4N No. 25N-45 BARRIO SAN VICENTE, CALI, VALLE DEL CAUCA, CO</x:t>
        </x:is>
      </x:c>
      <x:c r="N803" s="3" t="inlineStr">
        <x:is>
          <x:t/>
        </x:is>
      </x:c>
      <x:c r="O803" s="3" t="inlineStr">
        <x:is>
          <x:t>05 abr. 2023</x:t>
        </x:is>
      </x:c>
      <x:c r="P803" s="3" t="inlineStr">
        <x:is>
          <x:t/>
        </x:is>
      </x:c>
      <x:c r="Q803" s="3" t="inlineStr">
        <x:is>
          <x:t/>
        </x:is>
      </x:c>
    </x:row>
    <x:row r="804">
      <x:c r="A804" s="10" t="inlineStr">
        <x:f xml:space="preserve">HYPERLINK("http://sipi.sic.gov.co/sipi/View.ashx?4542696","SD2022/0142299")</x:f>
      </x:c>
      <x:c r="B804" s="3" t="inlineStr">
        <x:is>
          <x:t>KERALINO</x:t>
        </x:is>
      </x:c>
      <x:c r="C804" s="3" t="inlineStr">
        <x:is>
          <x:t/>
        </x:is>
      </x:c>
      <x:c r="D804" s="3" t="inlineStr">
        <x:is>
          <x:t>30 dic. 2022</x:t>
        </x:is>
      </x:c>
      <x:c r="E804" s="3" t="inlineStr">
        <x:is>
          <x:t/>
        </x:is>
      </x:c>
      <x:c r="F804" s="3" t="inlineStr">
        <x:is>
          <x:t>Negada</x:t>
        </x:is>
      </x:c>
      <x:c r="G804" s="3" t="inlineStr">
        <x:is>
          <x:t>KERALINO</x:t>
        </x:is>
      </x:c>
      <x:c r="H804" s="3" t="inlineStr">
        <x:is>
          <x:t>ALISSON ROMERO MADRIGAL, Diagonal 16b- No. 108-25, BOGOTÁ, D.C., CO</x:t>
        </x:is>
      </x:c>
      <x:c r="I804" s="3" t="inlineStr">
        <x:is>
          <x:t>3</x:t>
        </x:is>
      </x:c>
      <x:c r="J804" s="3" t="inlineStr">
        <x:is>
          <x:t>11</x:t>
        </x:is>
      </x:c>
      <x:c r="K804" s="3" t="inlineStr">
        <x:is>
          <x:t>3. Preparaciones limpiadoras para la piel, la cara; y el cuerpo; preparaciones de cuidado facial; pastillas de jabón; jabones líquidos para las; manos; geles y cremas de ducha; preparaciones para lavar el cuerpo; preparaciones; exfoliantes; tónicos para la piel; cosméticos; preparaciones para quitar cosméticos; mascarillas faciales; desodorantes, antitranspirantes y sprays para las axilas para uso; personal; hidratantes, sueros, lociones y cremas para el cuerpo, la piel y la cara; productos; de afeitar; productos cosméticos para proteger la piel contra los rayos del sol; productos; con filtro solar; toallitas impregnadas con soluciones de limpieza.
</x:t>
        </x:is>
      </x:c>
      <x:c r="L804" s="3" t="inlineStr">
        <x:is>
          <x:t>No</x:t>
        </x:is>
      </x:c>
      <x:c r="M804" s="3" t="inlineStr">
        <x:is>
          <x:t/>
        </x:is>
      </x:c>
      <x:c r="N804" s="3" t="inlineStr">
        <x:is>
          <x:t/>
        </x:is>
      </x:c>
      <x:c r="O804" s="3" t="inlineStr">
        <x:is>
          <x:t>31 jul. 2023</x:t>
        </x:is>
      </x:c>
      <x:c r="P804" s="3" t="inlineStr">
        <x:is>
          <x:t/>
        </x:is>
      </x:c>
      <x:c r="Q804" s="3" t="inlineStr">
        <x:is>
          <x:t/>
        </x:is>
      </x:c>
    </x:row>
    <x:row r="805">
      <x:c r="A805" s="10" t="inlineStr">
        <x:f xml:space="preserve">HYPERLINK("http://sipi.sic.gov.co/sipi/View.ashx?4542779","SD2022/0142464")</x:f>
      </x:c>
      <x:c r="B805" s="3" t="inlineStr">
        <x:is>
          <x:t>FRAGANTIK BY ISA</x:t>
        </x:is>
      </x:c>
      <x:c r="C805" s="9" t="inlineStr">
        <x:is>
          <x:t/>
        </x:is>
      </x:c>
      <x:c r="D805" s="3" t="inlineStr">
        <x:is>
          <x:t>30 dic. 2022</x:t>
        </x:is>
      </x:c>
      <x:c r="E805" s="3" t="inlineStr">
        <x:is>
          <x:t/>
        </x:is>
      </x:c>
      <x:c r="F805" s="3" t="inlineStr">
        <x:is>
          <x:t>Negada</x:t>
        </x:is>
      </x:c>
      <x:c r="G805" s="3" t="inlineStr">
        <x:is>
          <x:t>FRAGANTIK</x:t>
        </x:is>
      </x:c>
      <x:c r="H805" s="3" t="inlineStr">
        <x:is>
          <x:t>ISABELLA  OROZCO JORDAN, Calle 9 Sur # 79C-151, Apto 2504, MEDELLIN, ANTIOQUIA 05001, CO</x:t>
        </x:is>
      </x:c>
      <x:c r="I805" s="3" t="inlineStr">
        <x:is>
          <x:t>3</x:t>
        </x:is>
      </x:c>
      <x:c r="J805" s="3" t="inlineStr">
        <x:is>
          <x:t>11</x:t>
        </x:is>
      </x:c>
      <x:c r="K805" s="3" t="inlineStr">
        <x:is>
          <x:t>3. Colonias, perfumes y productos cosméticos, perfumería y fragancias, perfumes y aguas de tocador.
</x:t>
        </x:is>
      </x:c>
      <x:c r="L805" s="3" t="inlineStr">
        <x:is>
          <x:t>Sí</x:t>
        </x:is>
      </x:c>
      <x:c r="M805" s="3" t="inlineStr">
        <x:is>
          <x:t>MARIA CAMILA GUTIÉRREZ CANO, CRA 84 # 32 c 99, MEDELLIN, ANTIOQUIA, CO</x:t>
        </x:is>
      </x:c>
      <x:c r="N805" s="3" t="inlineStr">
        <x:is>
          <x:t/>
        </x:is>
      </x:c>
      <x:c r="O805" s="3" t="inlineStr">
        <x:is>
          <x:t>08 sept. 2023</x:t>
        </x:is>
      </x:c>
      <x:c r="P805" s="3" t="inlineStr">
        <x:is>
          <x:t/>
        </x:is>
      </x:c>
      <x:c r="Q805" s="3" t="inlineStr">
        <x:is>
          <x:t/>
        </x:is>
      </x:c>
    </x:row>
    <x:row r="806">
      <x:c r="A806" s="10" t="inlineStr">
        <x:f xml:space="preserve">HYPERLINK("http://sipi.sic.gov.co/sipi/View.ashx?4542967","SD2022/0142395")</x:f>
      </x:c>
      <x:c r="B806" s="3" t="inlineStr">
        <x:is>
          <x:t>RITO EXPAND YOUR CARE</x:t>
        </x:is>
      </x:c>
      <x:c r="C806" s="9" t="inlineStr">
        <x:is>
          <x:t/>
        </x:is>
      </x:c>
      <x:c r="D806" s="3" t="inlineStr">
        <x:is>
          <x:t>30 dic. 2022</x:t>
        </x:is>
      </x:c>
      <x:c r="E806" s="3" t="inlineStr">
        <x:is>
          <x:t/>
        </x:is>
      </x:c>
      <x:c r="F806" s="3" t="inlineStr">
        <x:is>
          <x:t>Negada</x:t>
        </x:is>
      </x:c>
      <x:c r="G806" s="3" t="inlineStr">
        <x:is>
          <x:t/>
        </x:is>
      </x:c>
      <x:c r="H806" s="3" t="inlineStr">
        <x:is>
          <x:t> LA MASTER INC SAS, Carrera 43 A  5A 95 OFICINA 808, MEDELLIN, ANTIOQUIA, CO</x:t>
        </x:is>
      </x:c>
      <x:c r="I806" s="3" t="inlineStr">
        <x:is>
          <x:t>3</x:t>
        </x:is>
      </x:c>
      <x:c r="J806" s="3" t="inlineStr">
        <x:is>
          <x:t>11</x:t>
        </x:is>
      </x:c>
      <x:c r="K806" s="3" t="inlineStr">
        <x:is>
          <x:t>3. Aceites bronceadores [cosméticos];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apitoxina [veneno de abeja melífera] con fines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tonificantes [cosméticos]; cremas y geles cosméticos para cara, manos y cuerpo; cremas y geles cosméticos para rostro, manos y cuerpo; cremas, leches, lociones, geles y polvos cosméticos para la cara, el cuerpo y las manos; endurecedores de uñas [cosméticos]; esmaltes de base para las uñas [productos cosméticos]; exfoliantes corporales cosméticos; filtro solar [cosméticos]; geles bronceadores [cosméticos]; geles corporales y faciales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leches bronceadoras [cosméticos]; leches para después del sol [productos cosméticos];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autobronceadoras [cosméticos]; lociones faciales [cosméticos]; lociones hidratantes [cosméticos]; lociones hidratantes para el cuerpo [cosméticos]; lociones hidratantes para la piel [cosméticos]; lociones no medicinales para el cuidado de la piel [cosméticos]; lociones para el cuidado de la piel [cosméticos]; lociones para la piel [productos cosméticos]; maquillaje [cosméticos]; mascarillas faciales [productos cosméticos]; mascarillas para el cutis [cosméticos]; mascarillas para la piel [cosméticos]; papel secante anti-brillo [cosméticos]; papel secante facial [cosméticos]; parches cosméticos con filtro y pantalla solar para aplicar sobre la piel; parches de gel para los ojos con fines cosméticos; pañitos cosméticos prehumedecidos; perfumería para cosméticos; polvos compactos para polveras [cosméticos]; polvos cosméticos; polvos faciales [cosméticos]; polvos faciales cosméticos; polvos faciales cosméticos de color blanco; preparaciones autobronceadoras [cosméticos]; preparaciones blanqueadoras para la piel [productos cosméticos]; preparaciones de cuidado facial [cosméticos]; preparaciones de protección solar [productos cosméticos]; preparaciones faciales [cosméticos]; preparaciones hidratantes [cosméticos]; preparaciones para aclarar la piel [cosméticos]; preparaciones para blanquear la piel [cosméticos]; preparaciones para el cuidado de la piel [productos cosméticos]; preparados cosméticos para el cuidado del cuerpo; preparados cosméticos para el tratamiento de la piel;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de revestimiento para esculpir uñas [productos cosméticos]; productos y preparaciones cosméticos para el cuidado de la piel; protectores solares para los labios [productos cosméticos]; quitaesmalte para uñas [cosméticos]; quitaesmaltes de uñas [cosméticos]; tatuajes temporales con fines cosméticos; tintes cosméticos; tintes de labios [cosméticos]; tintes labiales [cosméticos]; tintes labiales [productos cosméticos]; tintes para los labios [productos cosméticos]; tiras blanqueadoras de dientes impregnadas con preparaciones blanqueadoras [cosméticos]; toallas de papel para las manos impregnadas de cosméticos; toallas de papel para las manos impregnadas de productos cosméticos; toallitas desechables impregnadas con preparados cosméticos para bebés; toallitas impregnadas con preparados cosméticos; toallitas impregnadas de productos cosméticos; tónicos cosméticos; tónicos cosméticos para el rostro; tónicos cosméticos para la cara; tónicos faciales [cosméticos].
</x:t>
        </x:is>
      </x:c>
      <x:c r="L806" s="3" t="inlineStr">
        <x:is>
          <x:t>No</x:t>
        </x:is>
      </x:c>
      <x:c r="M806" s="3" t="inlineStr">
        <x:is>
          <x:t>NATALIA RAMIREZ ARENAS, Cra 22 #17-325 Kilómetro 5 Vía Las Palmas – Ofi. 748 , MEDELLIN, ANTIOQUIA, CO</x:t>
        </x:is>
      </x:c>
      <x:c r="N806" s="3" t="inlineStr">
        <x:is>
          <x:t/>
        </x:is>
      </x:c>
      <x:c r="O806" s="3" t="inlineStr">
        <x:is>
          <x:t>16 ene. 2023</x:t>
        </x:is>
      </x:c>
      <x:c r="P806" s="3" t="inlineStr">
        <x:is>
          <x:t/>
        </x:is>
      </x:c>
      <x:c r="Q806" s="3" t="inlineStr">
        <x:is>
          <x:t/>
        </x:is>
      </x:c>
    </x:row>
    <x:row r="807">
      <x:c r="A807" s="10" t="inlineStr">
        <x:f xml:space="preserve">HYPERLINK("http://sipi.sic.gov.co/sipi/View.ashx?4543068","SD2022/0142476")</x:f>
      </x:c>
      <x:c r="B807" s="3" t="inlineStr">
        <x:is>
          <x:t>BB BEAUTY BAR GRUPO EMPRESARIAL</x:t>
        </x:is>
      </x:c>
      <x:c r="C807" s="9" t="inlineStr">
        <x:is>
          <x:t/>
        </x:is>
      </x:c>
      <x:c r="D807" s="3" t="inlineStr">
        <x:is>
          <x:t>30 dic. 2022</x:t>
        </x:is>
      </x:c>
      <x:c r="E807" s="3" t="inlineStr">
        <x:is>
          <x:t/>
        </x:is>
      </x:c>
      <x:c r="F807" s="3" t="inlineStr">
        <x:is>
          <x:t>Negada</x:t>
        </x:is>
      </x:c>
      <x:c r="G807" s="3" t="inlineStr">
        <x:is>
          <x:t/>
        </x:is>
      </x:c>
      <x:c r="H807" s="3" t="inlineStr">
        <x:is>
          <x:t>DANIELA ANDREA RAMIREZ JIMENEZ, CARRERA 89 B # 89 - 101 , MEDELLIN, ANTIOQUIA 050036, CO</x:t>
        </x:is>
      </x:c>
      <x:c r="I807" s="3" t="inlineStr">
        <x:is>
          <x:t>3, 35</x:t>
        </x:is>
      </x:c>
      <x:c r="J807" s="3" t="inlineStr">
        <x:is>
          <x:t>11</x:t>
        </x:is>
      </x:c>
      <x:c r="K807" s="3" t="inlineStr">
        <x:is>
          <x:t>3. Enjuagues para el cabello de uso cosmético; espumas [cosméticas]; geles corporales y faciales [cosméticos]; geles para el cuerpo y la cara [cosméticos]; preparaciones cosméticas para el cabello y el cuero cabelludo; preparaciones cosméticas para el cuidado del cabello; preparaciones cosméticas para el cuidado y el tratamiento de la piel; preparaciones cosméticas para el rostro y el cuerpo; preparaciones cosméticas para el tratamiento de la piel; preparaciones cosméticas para proteger la piel de los rayos del sol; preparaciones cosméticas que contienen colágeno; preparaciones de aloe vera para uso cosmético; preparaciones de colágeno para uso cosmético; preparaciones de cuidado corporal y de belleza para uso cosmético; preparaciones de cuidado facial [cosméticos]; preparaciones exfoliantes faciales para uso cosmético; productos con filtro solar para uso cosmético; productos cosméticos de cbd; productos cosméticos de baño y ducha.
35. Servicios de venta de tienda al por menor en línea que incluyen productos cosméticos y de belleza; servicios de venta de tienda minorista en línea de productos cosméticos y de belleza; servicios de venta de tienda minorista en línea en relación con productos cosméticos y de belleza; servicios de venta de tienda minorista en línea que incluyen productos cosméticos y de belleza; servicios de venta minorista en línea de cosméticos; servicios de venta minorista en línea de productos cosméticos; servicios de venta minorista en línea de productos cosméticos y de belleza, así como de prendas de vestir y complementos; servicios de venta minorista o mayorista de productos cosméticos, productos de tocador, dentífricos, jabones y detergentes.
</x:t>
        </x:is>
      </x:c>
      <x:c r="L807" s="3" t="inlineStr">
        <x:is>
          <x:t>Sí</x:t>
        </x:is>
      </x:c>
      <x:c r="M807" s="3" t="inlineStr">
        <x:is>
          <x:t>Juan David Ortiz Betancur, Carrera 56B 49 51, MEDELLIN, ANTIOQUIA, CO</x:t>
        </x:is>
      </x:c>
      <x:c r="N807" s="3" t="inlineStr">
        <x:is>
          <x:t/>
        </x:is>
      </x:c>
      <x:c r="O807" s="3" t="inlineStr">
        <x:is>
          <x:t>09 dic. 2024</x:t>
        </x:is>
      </x:c>
      <x:c r="P807" s="3" t="inlineStr">
        <x:is>
          <x:t/>
        </x:is>
      </x:c>
      <x:c r="Q807" s="3" t="inlineStr">
        <x:is>
          <x:t/>
        </x:is>
      </x:c>
    </x:row>
    <x:row r="808">
      <x:c r="A808" s="10" t="inlineStr">
        <x:f xml:space="preserve">HYPERLINK("http://sipi.sic.gov.co/sipi/View.ashx?4543266","SD2022/0142506")</x:f>
      </x:c>
      <x:c r="B808" s="3" t="inlineStr">
        <x:is>
          <x:t>4URA BOTANICALS</x:t>
        </x:is>
      </x:c>
      <x:c r="C808" s="9" t="inlineStr">
        <x:is>
          <x:t/>
        </x:is>
      </x:c>
      <x:c r="D808" s="3" t="inlineStr">
        <x:is>
          <x:t>30 dic. 2022</x:t>
        </x:is>
      </x:c>
      <x:c r="E808" s="3" t="inlineStr">
        <x:is>
          <x:t/>
        </x:is>
      </x:c>
      <x:c r="F808" s="3" t="inlineStr">
        <x:is>
          <x:t>Negada</x:t>
        </x:is>
      </x:c>
      <x:c r="G808" s="3" t="inlineStr">
        <x:is>
          <x:t/>
        </x:is>
      </x:c>
      <x:c r="H808" s="3" t="inlineStr">
        <x:is>
          <x:t>Ricardo Esteban Vargas Angel, calle 36 sur #27-10, MEDELLIN, ANTIOQUIA, CO</x:t>
        </x:is>
      </x:c>
      <x:c r="I808" s="3" t="inlineStr">
        <x:is>
          <x:t>3</x:t>
        </x:is>
      </x:c>
      <x:c r="J808" s="3" t="inlineStr">
        <x:is>
          <x:t>11</x:t>
        </x:is>
      </x:c>
      <x:c r="K808" s="3" t="inlineStr">
        <x:is>
          <x:t>3. Cosméticos naturales; cosméticos y preparaciones cosméticas; cosméticos y preparaciones de cuidado personal.
</x:t>
        </x:is>
      </x:c>
      <x:c r="L808" s="3" t="inlineStr">
        <x:is>
          <x:t>No</x:t>
        </x:is>
      </x:c>
      <x:c r="M808" s="3" t="inlineStr">
        <x:is>
          <x:t/>
        </x:is>
      </x:c>
      <x:c r="N808" s="3" t="inlineStr">
        <x:is>
          <x:t/>
        </x:is>
      </x:c>
      <x:c r="O808" s="3" t="inlineStr">
        <x:is>
          <x:t>08 may. 2023</x:t>
        </x:is>
      </x:c>
      <x:c r="P808" s="3" t="inlineStr">
        <x:is>
          <x:t/>
        </x:is>
      </x:c>
      <x:c r="Q808" s="3" t="inlineStr">
        <x:is>
          <x:t/>
        </x:is>
      </x:c>
    </x:row>
    <x:row r="809">
      <x:c r="A809" s="10" t="inlineStr">
        <x:f xml:space="preserve">HYPERLINK("http://sipi.sic.gov.co/sipi/View.ashx?4543280","SD2022/0142652")</x:f>
      </x:c>
      <x:c r="B809" s="3" t="inlineStr">
        <x:is>
          <x:t>Muutos realza tu belleza natural</x:t>
        </x:is>
      </x:c>
      <x:c r="C809" s="9" t="inlineStr">
        <x:is>
          <x:t/>
        </x:is>
      </x:c>
      <x:c r="D809" s="3" t="inlineStr">
        <x:is>
          <x:t>30 dic. 2022</x:t>
        </x:is>
      </x:c>
      <x:c r="E809" s="3" t="inlineStr">
        <x:is>
          <x:t/>
        </x:is>
      </x:c>
      <x:c r="F809" s="3" t="inlineStr">
        <x:is>
          <x:t>Negada</x:t>
        </x:is>
      </x:c>
      <x:c r="G809" s="3" t="inlineStr">
        <x:is>
          <x:t/>
        </x:is>
      </x:c>
      <x:c r="H809" s="3" t="inlineStr">
        <x:is>
          <x:t>ESTEFANIA  MARTINEZ CORREA, Carrera 76 a # 53 35, MEDELLIN, ANTIOQUIA 050034, CO</x:t>
        </x:is>
      </x:c>
      <x:c r="I809" s="3" t="inlineStr">
        <x:is>
          <x:t>3, 5</x:t>
        </x:is>
      </x:c>
      <x:c r="J809" s="3" t="inlineStr">
        <x:is>
          <x:t>11</x:t>
        </x:is>
      </x:c>
      <x:c r="K809" s="3" t="inlineStr">
        <x:is>
          <x:t>3. Aclaradores de uñas; adhesivos para fijar uñas postizas; adhesivos para fijar uñas y pestañas postizas; adhesivos para pegar las uñas postizas; adhesivos para pestañas, cabello y uñas postizos; adhesivos para uñas postizas; bases para esmaltes de uñas; blanqueadores para las uñas; brillantina para las uñas; brillos de uñas para aplicar sobre el esmalte; calcomanías decorativas para uñas; calcomanías para las uñas; cremas para las uñas; cremas para las uñas de uso cosmético; endurecedores de uñas; endurecedores de uñas [cosméticos]; escarcha para las uñas; esmaltes de base para las uñas [productos cosméticos]; esmaltes de uñas; esmaltes de uñas en gel; esmaltes de uñas para uso cosmético; esmaltes de uñas y quitaesmaltes; fortalecedores de uñas;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kits para el cuidado de las uñas que comprenden principalmente lacas de uñas, quitaesmaltes y uñas postizas; lacas de uñas; lacas para las uñas; lociones para fortalecer las uñas; lociones, cremas y preparaciones para el cuidado de la cara, cuerpo, cuero cabelludo, uñas y cabello; lociones, cremas y preparaciones para el cuidado del rostro, cuerpo, cuero cabelludo, uñas y cabello; lápices para aplicar el esmalte de uñas; lápices quitaesmaltes de uñas; pegatinas decorativas para uñas; plumas de esmalte de uñas; preparaciones cosméticas para el cuidado de las uñas; preparaciones cosméticas para las uñas; preparaciones cosméticas para secar esmaltes de uñas; preparaciones para el cuidado de las uñas; preparaciones para pulir las uñas; preparaciones para retirar uñas de gel; preparaciones y productos para el cuidado de las uñas; productos de revestimiento para esculpir uñas; productos de revestimiento para esculpir uñas [productos cosméticos]; productos para ablandar las uñas; productos para el cuidado de las uñas; puntas de uñas; purpurina para las uñas; quitaesmalte para uñas [cosméticos]; quitaesmaltes de uñas [cosméticos]; reparadores de uñas; uñas postizas; uñas postizas de metales preciosos; uñas postizas para los dedos de los pies; aceite de amla para uso cosmético; aceite de coco para uso cosmético; aceite de lavanda para uso cosmético; aceite de neem para uso cosmético; aceite de ricino para uso cosmético; aceite de rosas para uso cosmético; aceite de veppennai para uso cosmético; aceites bronceadores [cosméticos]; aceites bronceadores de uso cosmético; aceites cosméticos; aceites cosméticos para la piel; aceites de baño para uso cosmético; aceites de cáñamo a base de cbd para uso cosmético; aceites de protección solar [cosméticos]; aceites esenciales para uso cosmético; aceites minerales [cosméticos]; aceites para bronceado [cosméticos]; aceites para después del sol [productos cosméticos]; aceites para después del sol de uso cosmético; aceites para el cuerpo de uso cosmético; aceites para uso cosmético; aceites perfumados para fabricar preparaciones cosméticas; aceites perfumados para la fabricación de preparaciones cosméticas; aceites perfumados para la fabricación de preparados cosméticos; aceites perfumados para la fabricación de productos cosméticos; aceites puros para uso cosmético; aceites solares de uso cosmético; adhesivos [pegamentos] para uso cosmético; aerosoles cosméticos de uso tópico para la piel; agua de azahar para uso cosmético; agua mineral para uso cosmético en forma de pulverizadores de niebla; algodón e hisopos de algodón para uso cosmético; algodón para uso cosmético; algodón y bastoncillos de algodón para uso cosmético; alheña [tinte cosmético]; alheña para uso cosmético; alheña para uso cosmético [henna]; almohadillas de algodón para uso cosmético; almohadillas de limpieza impregnadas con cosméticos; almohadillas de limpieza impregnadas con productos cosméticos; almohadillas de limpieza impregnadas de cosméticos; almohadillas limpiadoras impregnadas de productos cosméticos; almohadillas para uso cosmético; apitoxina [veneno de abeja melífera] con fines cosméticos; astringentes para uso cosmético; autobronceadores [cosméticos]; barras de labios con protección solar [cosméticos]; barras de labios en stick con protección solar [cosméticos]; barros corporales para uso cosmético; basma [tinte para uso cosmético]; basma en cuanto tinte para uso cosmético; basma para uso cosmético; bastoncillos de algodón para uso cosmético; baños de aceite para el cuidado del cabello de uso cosmético; bloqueador solar [cosméticos]; bolas de algodón para uso cosmético; brillos para uso cosmético; calcetines impregnados con crema hidratante cosmética; calcetines pre-humedecidos con preparaciones cosméticas para uso cosmético; calcomanías decorativas para uso cosmético; cintas de estiramiento facial para uso cosmético; cintas de lifting facial para uso cosmético; cola de maquillaje para uso cosmético; cold creams para uso cosmético; colonias, perfumes y productos cosméticos; colorantes de labios [cosméticos]; colorantes labiales [cosméticos]; colorantes labiales [productos cosméticos]; colorantes para los labios [productos cosméticos]; composiciones para aclarar la piel [cosméticos]; compresas oculares para uso cosmético;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para uso cosmético; cremas acondicionadoras para la piel, de uso cosmético; cremas antiarrugas para uso cosmético; cremas antienvejecimiento para uso cosmético; cremas con filtro solar para uso cosmético; cremas con retinol para uso cosmético; cremas con vitamina a para uso cosmético; cremas contra las pecas [para uso cosmético];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limpieza [cosméticos]; cremas de limpieza [para uso cosmético]; cremas de limpieza [productos cosméticos]; cremas de limpieza para uso cosmético; cremas de masaje cosméticas; cremas de protección solar para uso cosmético; cremas exfoliantes para uso cosmético; cremas faciales para uso cosmético; cremas hidratantes para la piel [cosméticos]; cremas limpiadoras [cosméticos]; cremas limpiadoras [productos cosméticos]; cremas limpiadoras para uso cosmético; cremas para atenuar las manchas de la vejez de uso cosmético; cremas para después del sol de uso cosmético; cremas para el cabello de uso cosmético; cremas para el cabello para uso cosmético; cremas para el cuerpo [cosméticos]; cremas para el cuerpo cosméticas; cremas para el rostro de uso cosmético; cremas para el rostro y el cuerpo de uso cosmético; cremas para la cara [cosméticos]; cremas para la piel de uso cosmético; cremas para las manos de uso cosmético; cremas para los labios de uso cosmético; cremas para los ojos de uso cosmético; cremas para reducir la celulitis de uso cosmético; cremas para tez clara de uso cosmético; cremas perfumadas para uso cosmético; cremas reparadoras para la piel [cosméticos]; cremas reparadoras para la piel de uso cosmético; cremas tonificantes [cosméticos]; cremas y geles cosméticos para cara, manos y cuerpo; cremas y geles cosméticos para rostro, manos y cuerpo; cremas y lociones cosméticas; cremas y lociones cosméticas para el cuidado de la cara y el cuerpo; cremas y lociones cosméticas para el cuidado del rostro y el cuerpo; cremas, aceites, lociones, aerosoles, lápices y bálsamos para uso cosmético; cremas, leches, lociones, geles y polvos cosméticos para la cara, el cuerpo y las manos; cremas, lociones y otras preparaciones cosméticas bronceadoras; cristales de baño para uso cosmético; decolorantes para uso cosmético; discos de algodón para uso cosmético; emolientes para la piel de uso cosmético; emulsiones faciales para uso cosmético; emulsiones para el cuerpo de uso cosmético; emulsiones térmicas para uso cosmético; enjuagues para el cabello de uso cosmético; espumas [cosméticas]; espumas cosméticas con filtro solar; exfoliantes [preparaciones cosméticas]; exfoliantes corporales cosméticos; exfoliantes corporales para uso cosmético; exfoliantes para el cuerpo de uso cosmético; exfoliantes para uso cosmético; extractos de plantas para uso cosmético; fangos corporales para uso cosmético; filtro solar [cosméticos]; geles antienvejecimiento para uso cosmético; geles bronceadores [cosméticos]; geles corporales y faciales [cosméticos]; geles cosméticos; geles de aloe vera para uso cosmético; geles de lavanda para uso cosmético; geles hidratantes [cosméticos]; geles para después del sol [productos cosméticos]; geles para después del sol de uso cosmético; geles para el cuerpo [cosméticos]; geles para el cuerpo y la cara [cosméticos]; geles para la cara [cosméticos]; geles para los ojos de uso cosmético; geles para uso cosmético; grasas para uso cosmético; guantes pre-humedecidos con preparaciones cosméticas para uso cosmético; guata para uso cosmético; guata y bastoncillos de algodón para uso cosmético; henna [tinte cosmético]; henna para uso cosmético; henna para uso cosmético [alheña]; hidratantes [cosméticos]; hidratantes cosméticas para el rostro; hidratantes cosméticas para la cara; hidratantes faciales [cosméticos]; hidratantes faciales de uso cosmético; hidratantes para la piel utilizados como cosméticos; hilas para uso cosmético; hisopos de algodón para uso cosmético; hisopos para uso cosmético; jabones cosméticos; jalea de petróleo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 de almendras para uso cosmético; leches bronceadoras [cosméticos]; leches para después de tomar el sol para uso cosmético; leches para después del sol [productos cosméticos]; leches para después del sol de uso cosmético; leches para el cuerpo de uso cosmético; leches para el rostro y el cuerpo de uso cosmético; leches y lociones para el rostro de uso cosmético; leches, geles y aceites bronceadores y para después del sol, de uso cosmético; limpiador cutáneo con propiedades suavizantes [cosmético];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antienvejecimiento para uso cosmético; lociones autobronceadoras [cosméticos]; lociones capilares cosméticas; lociones con filtro solar para uso cosmético; lociones con pantalla solar para uso cosmético; lociones cosméticas para el bronceado de la piel; lociones cosméticas para el cuidado de la piel; lociones cosméticas para el rostro; lociones cosméticas para la cara; lociones cosméticas para la piel; lociones cosméticas para reducir la aparición de manchas de envejecimiento y pecas; lociones de baño para uso cosmético; lociones de protección solar para uso cosmético; lociones faciales [cosméticos]; lociones hidratantes [cosméticos]; lociones hidratantes para el cuerpo [cosméticos]; lociones hidratantes para la piel [cosméticos]; lociones no medicinales para el cuidado de la piel [cosméticos]; lociones para después del sol de uso cosmético; lociones para el cabello de uso cosmético; lociones para el cuerpo de uso cosmético; lociones para el cuidado de la piel [cosméticos]; lociones para el cuidado del rostro y del cuerpo de uso cosmético; lociones para el rostro y el cuerpo de uso cosmético; lociones para la piel [productos cosméticos]; lociones para las manos de uso cosmético; lociones para los ojos de uso cosmético; lociones para reducir la celulitis de uso cosmético; lociones para uso cosmético; lociones tónicas para el rostro, el cuerpo y las manos de uso cosmético; lociones, cremas y aceites de aplicación tópica para la piel y el cuerpo, de uso cosmético; loción de malagueta para uso cosmético; lodos corporales para uso cosmético; lápices de ojos para uso cosmético; lápices para uso cosmético; manteca a base de vegetales para uso cosmético; manteca corporal para uso cosmético; manteca de almendra para uso cosmético; manteca de aloe vera para uso cosmético; manteca de argán para uso cosmético; manteca de cacao para uso cosmético; manteca de coco para uso cosmético; manteca de karité para uso cosmético; maquillaje [cosméticos]; mascarillas corporales en forma de cremas para uso cosmético; mascarillas corporales en forma de lociones para uso cosmético; mascarillas corporales en polvo para uso cosmético; mascarillas corporales para uso cosmético; mascarillas cosméticas; mascarillas cosméticas para el cutis; mascarillas envasadas para uso cosmético; mascarillas faciales [productos cosméticos]; mascarillas faciales cosméticas; mascarillas faciales para uso cosmético; mascarillas oculares para uso cosmético; mascarillas para el cutis [cosméticos]; mascarillas para la piel [cosméticos]; mascarillas para la piel de uso cosmético; motivos decorativos para uso cosmético; máscaras cosméticas de barro; neceseres de cosmética;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papel secante anti-brillo [cosméticos]; papel secante anti-brillo para uso cosmético; papel secante facial [cosméticos]; papel secante facial para uso cosmético; papel secante para uso cosmético;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pastas cosméticas matificantes para la cara; pastas perfumadas para uso cosmético; pañitos cosméticos prehumedecidos; pañitos para bebés para uso cosmético; paños húmedos para bebés de uso cosmético; paños impregnados con sustancias cosméticas; perfumería para cosméticos; perlas de baño para uso cosmético; perlitas de baño para uso cosmético; peróxido de hidrógeno para uso cosmético; piedras astringentes para después del afeitado para uso cosmético; piedras para el afeitado en cuanto astringentes para uso cosmético; pintura corporal de látex líquido para uso cosmético; pintura corporal para uso cosmético; polvos compactos para polveras [cosméticos]; polvos compactos para polveras cosméticas; polvos cosméticos; polvos de baño para uso cosmético; polvos de brillo para uso cosmético; polvos dentales para uso cosmético; polvos faciales [cosméticos]; polvos faciales blancos para uso cosmético; polvos faciales cosméticos; polvos faciales cosméticos de color blanco; polvos faciales para uso cosmético; polvos para el cuerpo de uso cosmético; polvos perfumados para uso cosmético; pomadas en barra para uso cosmético; pomadas para el cabello de uso cosmético; pomadas para uso cosmético; preparaciones autobronceadoras [cosméticos]; preparaciones blanqueadoras para la piel [productos cosméticos]; preparaciones colorantes de uso cosmético; preparaciones cosméticas; preparaciones cosméticas adelgazantes; preparaciones cosméticas antienvejecimiento; preparaciones cosméticas colorantes; preparaciones cosméticas contra la sequedad de la piel durante el embarazo; preparaciones cosméticas contra las quemaduras solares; preparaciones cosméticas de cuidado facial; preparaciones cosméticas de peluquería; preparaciones cosméticas de protección solar; preparaciones cosméticas de uso tópico para atenuar las arrugas faciales; preparaciones cosméticas no espumantes; preparaciones cosméticas no medicadas; preparaciones cosméticas no medicamentosas para tratamientos capilares; preparaciones cosméticas no medicinales para tratamientos capilares; preparaciones cosméticas para el baño; preparaciones cosméticas para el baño y la ducha; preparaciones cosméticas para el bronceado de la piel; preparaciones cosméticas para el cabello y el cuero cabelludo; preparaciones cosméticas para el cuidado bucal; preparaciones cosméticas para el cuidado de la piel; preparaciones cosméticas para el cuidado de la piel en forma de geles; preparaciones cosméticas para el cuidado del cabello; preparaciones cosméticas para el cuidado del cuerpo; preparaciones cosméticas para el cuidado y el tratamiento de la piel; preparaciones cosméticas para el rostro; preparaciones cosméticas para el rostro y el cuerpo; preparaciones cosméticas para el tratamiento de la piel; preparaciones cosméticas para impedir el crecimiento del cabello; preparaciones cosméticas para la cara; preparaciones cosméticas para la ducha; preparaciones cosméticas para la regeneración de la piel; preparaciones cosméticas para pestañas; preparaciones cosméticas para proteger la piel de los rayos del sol; preparaciones cosméticas para reafirmar el busto; preparaciones cosméticas que contienen colágeno; preparaciones cosméticas termoactivas para el cuidado de la piel; preparaciones de aloe vera para uso cosmético; preparaciones de bloqueadores solares para uso cosmético; preparaciones de colágeno para uso cosmético; preparaciones de cuidado corporal y de belleza para uso cosmético; preparaciones de cuidado facial [cosméticos]; preparaciones de protección solar [productos cosméticos]; preparaciones de protección solar para uso cosmético; preparaciones exfoliantes faciales para uso cosmético; preparaciones faciales [cosméticos]; preparaciones fito-cosméticas; preparaciones hidratantes [cosméticos]; preparaciones para aclarar la piel [cosméticos]; preparaciones para baños de espuma para uso cosmético; preparaciones para blanquear la piel [cosméticos]; preparaciones para el cuidado de la piel [productos cosméticos]; preparaciones para quitar las cutículas de uso cosmético; preparados cosméticos para el cuidado del cuerpo; preparados cosméticos para el tratamiento de la piel; productos con filtro solar para uso cosmético;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y preparaciones cosméticos para el cuidado de la piel; protectores solares para los labios [productos cosméticos]; reafirmantes en gel para el cuerpo para uso cosmético; revitalizantes cutáneos para uso cosmético; revitalizantes para el cabello de uso cosmético; sales de baño cosméticas; sales de baño para uso cosmético; serum para calmar la piel [cosmético]; sprays de agua mineral para uso cosmético; sprays para el cuerpo de uso cosmético; suavizantes para el cabello de uso cosmético; sueros faciales para uso cosmético; sueros para uso cosmético; talco para uso cosmético; talco perfumado para uso cosmético; tatuajes temporales con fines cosméticos; tatuajes temporales para uso cosmético; tintas para uso cosmético; tintes cosméticos; tintes de labios [cosméticos]; tintes de labios para uso cosmético; tintes labiales [cosméticos]; tintes labiales [productos cosméticos]; tintes labiales para uso cosmético; tintes para los labios [productos cosméticos]; tiras blanqueadoras de dientes impregnadas con preparaciones blanqueadoras [cosméticos]; tiza para uso cosmético; toallas de papel para las manos impregnadas de cosméticos; toallas de papel para las manos impregnadas de productos cosméticos; toallitas cosméticas impregnadas; toallitas cosméticas prehumedecidas; toallitas desechables impregnadas con preparados cosméticos para bebés; toallitas húmedas para uso higiénico y cosmético; toallitas impregnadas con preparados cosméticos; toallitas impregnadas con sustancias cosméticas; toallitas impregnadas de aceites esenciales, para uso cosmético; toallitas impregnadas de lociones cosméticas; toallitas impregnadas de productos cosméticos; tonificantes para el cabello para uso cosmético; tónicos cosméticos; tónicos cosméticos para el rostro; tónicos cosméticos para la cara; tónicos faciales [cosméticos]; tónicos para la piel para uso cosmético; tónicos para uso cosmético; velas de masaje para uso cosmético; veneno de abeja con fines cosméticos; brillantina corporal; brillos corporales; brillos faciales y corporales; champús corporales; crema corporal; cremas corporales; cremas reafirmantes corporales; desodorantes corporales; desodorantes corporales [perfumería]; desodorantes corporales [productos de perfumería]; desodorantes corporales en comprimidos; escarcha corporal; espráis utilizados como desodorantes y perfumes corporales; exfoliante corporal; exfoliantes corporales; exfoliantes faciales y corporales no medicamentosos; exfoliantes faciales y corporales no medicinales; fragancias corporales; hidratantes corporales a base de cáñamo; jabones corporales no medicados; leches corporales para bebés; leches hidratantes corporales; lociones corporales; lociones y cremas corporales perfumadas; manteca corporal; mascarillas corporales; mascarillas corporales en forma de cremas; mascarillas corporales en forma de lociones; mascarillas corporales en polvo; mascarillas limpiadoras para corporales; niebla corporal; niebla corporal en espray; niebla corporal pefumado a rosa en espray; pegatinas de arte corporal; piedras pómez para uso corporal; pintura corporal; pintura corporal de látex líquido; preparaciones de cuidado corporal no medicamentosas; preparaciones de cuidado corporal no medicinales; preparaciones para cuidados corporales y de belleza; purpurina corporal; souflés corporal [preparaciones perfumadas para el cuidado del cuerpo]; souflés corporal en cuanto preparaciones perfumadas para el cuidado del cuerpo; aceites faciales; brillos faciales; corrector facial; correctores de líneas y arrugas faciales; cremas faciales; cremas no medicadas para exfoliantes faciales; cremas orgánicas de estiramiento facial; emulsiones faciales; emulsiones faciales de vitalidad; exfoliantes faciales; granulados de limpieza facial; hidratantes faciales; jabones faciales; leches de limpieza facial; limpiadores faciales; lociones faciales; lociones faciales no medicadas; maquillajes faciales; mascarillas faciales;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limpiadoras para faciales; paños desechables impregnados de compuestos limpiadores para uso facial; pintura facial; polvos faciales; polvos faciales compactos; polvos faciales en crema; polvos faciales en papel; polvos faciales sueltos; polvos faciales, a saber, papel revestido con polvo facial; preparaciones de cuidado facial; preparaciones faciales; sueros faciales; sueros para el lifting facial; tónicos clarificadores faciales; tónicos faciales; tónicos faciales clarificantes; tónicos faciales revitalizantes; tónicos revitalizantes faciales; champúes para el cabello; champúes para el cabello a base de cáñamo; champús 3 en 1; champús acondicionadores; champús anticaspa; champús capilares;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para bebés; champús para el cabello; champús para el cabello humano; champús para el cabello y el cuerpo; champús para el cuerpo; champús y acondicionadores; champús y acondicionadores para animales de compañía [preparaciones de peluquería no medicinales ni veterinarias]; champús y acondicionadores para el cabello; champús*; productos de enjuague para el cabello [champús acondicionadores]; productos para lavar perros [champús]; aceites y lociones bronceadoras; aceites y lociones con filtro solar; aceites y lociones de masaje; aceites y lociones de protección solar; cremas y lociones bronceadoras; cremas, aceites, lociones y preparaciones limpiadoras e hidratantes; cremas, lociones y geles hidratantes; emulsiones, geles y lociones para el cuidado de la piel; leches y lociones para el rostro; leches, geles, lociones y cremas desmaquillantes; lociones antienvejecimiento; lociones brillantes para el cuerpo; lociones bronceadoras; lociones capilares no medicinales; lociones capilares reparadoras no medicamentosas; lociones capilares reparadoras no medicinales; lociones capilares*; lociones colorantes para el cabello; lociones con filtro solar; lociones con pantalla solar; lociones de aromaterapia; lociones de baño; lociones de belleza; lociones de protección para el cabello; lociones de protección solar; lociones depilatorias; lociones desmaquillantes; lociones estimulantes no medicinales para la piel; lociones fijadoras para ondular el cabello; lociones hidratantes; lociones hidratantes para el cuerpo; lociones hidratantes para la piel; lociones lechosas; lociones lechosas para el cuidado de la piel; lociones limpiadoras no medicadas; lociones limpiadoras para la piel; lociones lácteas; lociones lácteas para el cuidado de la piel; lociones no medicadas para el rostro; lociones no medicinales para aclarar la piel; lociones no medicinales para la piel; lociones no medicinales para los pies; lociones para bebés; lociones para bebés [productos de tocador]; lociones para después de afeitar; lociones para después del afeitado; lociones para después del sol; lociones para el afeitado; lociones para el bronceado de la piel; lociones para el cabello; lociones para el cuerpo; lociones para el cuidado de la piel; lociones para el cuidado del rostro y del cuerpo; lociones para el peinado; lociones para el rostro y el cuerpo; lociones para fortalecer el cabello; lociones para la barba; lociones para la piel; lociones para la piel no medicadas; lociones para las manos; lociones para los ojos; lociones para ondular el cabello; lociones tónicas para el cuerpo; pomadas y lociones no medicinales contra la dermatitis del pañal.
5. Aceites para el tratamiento las micosis de las uñas; aceites para el tratamiento los hongos de las uñas; aceites para tratar las micosis de las uñas; aceites para tratar los hongos de las uñas; preparaciones de uso médico para el cuidado de las uñas; preparaciones farmacéuticas para el tratamiento y profilaxis de enfermedades de la piel y las uñas; preparaciones medicinales para el cuidado de las uñas; preparaciones para desinfectar las uñas; preparaciones para el tratamiento de los hongos de las uñas; preparaciones para evitar morderse las uñas; preparaciones para la prevención de la costumbre de comerse las uñas; preparaciones para prevenir de morderse las uñas; preparaciones para prevenir el mordisco de las uñas; geles corporales para uso farmacéutico; limpiadores faciales antibacterianos medicinales; lociones faciales medicinales; champú para el crecimiento del cabello; champús en seco medicinales; champús medicinales; champús medicinales anticaspa; champús medicinales para animales de compañía; champús pediculicidas; antibióticos en forma de lociones; gasas impregnadas de lociones antibacterianas; lociones antibacterianas para las manos; lociones capilares medicinales; lociones dermatológicas; lociones farmacéuticas para la piel; lociones y cremas medicamentosas para el cuerpo, piel, cara y manos; lociones y cremas medicamentosas para el cuerpo, piel, rostro y manos; lociones y cremas medicinales para el cuerpo, piel, cara y manos.
</x:t>
        </x:is>
      </x:c>
      <x:c r="L809" s="3" t="inlineStr">
        <x:is>
          <x:t>No</x:t>
        </x:is>
      </x:c>
      <x:c r="M809" s="3" t="inlineStr">
        <x:is>
          <x:t/>
        </x:is>
      </x:c>
      <x:c r="N809" s="3" t="inlineStr">
        <x:is>
          <x:t/>
        </x:is>
      </x:c>
      <x:c r="O809" s="3" t="inlineStr">
        <x:is>
          <x:t>05 abr. 2023</x:t>
        </x:is>
      </x:c>
      <x:c r="P809" s="3" t="inlineStr">
        <x:is>
          <x:t/>
        </x:is>
      </x:c>
      <x:c r="Q809" s="3" t="inlineStr">
        <x:is>
          <x:t/>
        </x:is>
      </x:c>
    </x:row>
    <x:row r="810">
      <x:c r="A810" s="10" t="inlineStr">
        <x:f xml:space="preserve">HYPERLINK("http://sipi.sic.gov.co/sipi/View.ashx?4543368","SD2022/0142546")</x:f>
      </x:c>
      <x:c r="B810" s="3" t="inlineStr">
        <x:is>
          <x:t>MIMOSSA BEAUTY BAR GRUPO EMPRESARIAL</x:t>
        </x:is>
      </x:c>
      <x:c r="C810" s="9" t="inlineStr">
        <x:is>
          <x:t/>
        </x:is>
      </x:c>
      <x:c r="D810" s="3" t="inlineStr">
        <x:is>
          <x:t>30 dic. 2022</x:t>
        </x:is>
      </x:c>
      <x:c r="E810" s="3" t="inlineStr">
        <x:is>
          <x:t/>
        </x:is>
      </x:c>
      <x:c r="F810" s="3" t="inlineStr">
        <x:is>
          <x:t>Negada</x:t>
        </x:is>
      </x:c>
      <x:c r="G810" s="3" t="inlineStr">
        <x:is>
          <x:t/>
        </x:is>
      </x:c>
      <x:c r="H810" s="3" t="inlineStr">
        <x:is>
          <x:t>DANIELA ANDREA RAMIREZ JIMENEZ, CARRERA 89 B # 89 - 101 , MEDELLIN, ANTIOQUIA 050036, CO</x:t>
        </x:is>
      </x:c>
      <x:c r="I810" s="3" t="inlineStr">
        <x:is>
          <x:t>3</x:t>
        </x:is>
      </x:c>
      <x:c r="J810" s="3" t="inlineStr">
        <x:is>
          <x:t>11</x:t>
        </x:is>
      </x:c>
      <x:c r="K810" s="3" t="inlineStr">
        <x:is>
          <x:t>3. Cremas y lociones cosméticas para el cuidado de la cara y el cuerpo; cremas y lociones cosméticas para el cuidado del rostro y el cuerpo; cremas, leches, lociones, geles y polvos cosméticos para la cara, el cuerpo y las manos; enjuagues para el cabello de uso cosmético; exfoliantes corporales para uso cosmético; filtro solar [cosméticos]; geles antienvejecimiento para uso cosmético; geles bronceadores [cosméticos]; geles corporales y faciales [cosméticos]; geles de aloe vera para uso cosmético; geles de lavanda para uso cosmético; jabones cosméticos; leches para después de tomar el sol para uso cosmético; leches para después del sol [productos cosméticos]; limpiadores cosméticos para la piel; lociones capilares cosméticas; lociones con filtro solar para uso cosmético; lociones con pantalla solar para uso cosmético; lociones para el cabello de uso cosmético; mascarillas corporales en forma de cremas para uso cosmético; mascarillas envasadas para uso cosmético; maquillaje [cosméticos]; perfumería para cosméticos; preparaciones cosméticas no medicamentosas para tratamientos capilares; preparaciones cosméticas no medicinales para tratamientos capilares; preparaciones cosméticas para el baño y la ducha; preparaciones cosméticas para el cabello y el cuero cabelludo; preparaciones cosméticas para el cuidado de la piel en forma de geles; preparaciones cosméticas para el cuidado del cabello; preparaciones cosméticas para el cuidado y el tratamiento de la piel; preparaciones cosméticas para el rostro y el cuerpo; preparaciones cosméticas para el tratamiento de la piel; preparaciones de cuidado corporal y de belleza para uso cosmético; productos con filtro solar para uso cosmético; productos cosméticos a base de hierbas; productos cosméticos de baño y ducha; productos cosméticos para el baño y la ducha; productos cosméticos para el cabello y el cuero cabelludo; productos cosméticos para proteger la piel contra los rayos del sol; productos cosméticos y de belleza; productos cosméticos y preparaciones de tocador no medicinales; productos de perfumería, aceites esenciales, cosméticos no medicinales, lociones capilares no medicinales; productos de perfumería, aceites esenciales, cosméticos, lociones capilares; serum para calmar la piel [cosmético]; sprays para el cuerpo de uso cosmético; suavizantes para el cabello de uso cosmético; sueros faciales para uso cosmético.
</x:t>
        </x:is>
      </x:c>
      <x:c r="L810" s="3" t="inlineStr">
        <x:is>
          <x:t>No</x:t>
        </x:is>
      </x:c>
      <x:c r="M810" s="3" t="inlineStr">
        <x:is>
          <x:t/>
        </x:is>
      </x:c>
      <x:c r="N810" s="3" t="inlineStr">
        <x:is>
          <x:t/>
        </x:is>
      </x:c>
      <x:c r="O810" s="3" t="inlineStr">
        <x:is>
          <x:t>28 ago. 2023</x:t>
        </x:is>
      </x:c>
      <x:c r="P810" s="3" t="inlineStr">
        <x:is>
          <x:t/>
        </x:is>
      </x:c>
      <x:c r="Q810" s="3" t="inlineStr">
        <x:is>
          <x:t/>
        </x:is>
      </x:c>
    </x:row>
    <x:row r="811">
      <x:c r="A811" s="10" t="inlineStr">
        <x:f xml:space="preserve">HYPERLINK("http://sipi.sic.gov.co/sipi/View.ashx?4543490","SD2022/0142633")</x:f>
      </x:c>
      <x:c r="B811" s="3" t="inlineStr">
        <x:is>
          <x:t>LINDA L&amp;D</x:t>
        </x:is>
      </x:c>
      <x:c r="C811" s="9" t="inlineStr">
        <x:is>
          <x:t/>
        </x:is>
      </x:c>
      <x:c r="D811" s="3" t="inlineStr">
        <x:is>
          <x:t>30 dic. 2022</x:t>
        </x:is>
      </x:c>
      <x:c r="E811" s="3" t="inlineStr">
        <x:is>
          <x:t/>
        </x:is>
      </x:c>
      <x:c r="F811" s="3" t="inlineStr">
        <x:is>
          <x:t>Negada</x:t>
        </x:is>
      </x:c>
      <x:c r="G811" s="3" t="inlineStr">
        <x:is>
          <x:t/>
        </x:is>
      </x:c>
      <x:c r="H811" s="3" t="inlineStr">
        <x:is>
          <x:t>Isabella Suarez Lievano, Cr 79 N°99 Cll06, MEDELLIN, ANTIOQUIA, CO</x:t>
        </x:is>
      </x:c>
      <x:c r="I811" s="3" t="inlineStr">
        <x:is>
          <x:t>3, 11, 35</x:t>
        </x:is>
      </x:c>
      <x:c r="J811" s="3" t="inlineStr">
        <x:is>
          <x:t>11</x:t>
        </x:is>
      </x:c>
      <x:c r="K811" s="3" t="inlineStr">
        <x:is>
          <x:t>3. Productos cosméticos y de belleza.
11. Máquinas de secado de uñas para salones de belleza.
35. Servicios de venta mayorista de instrumentos de belleza para personas; servicios de venta minorista de instrumentos de belleza para personas.
</x:t>
        </x:is>
      </x:c>
      <x:c r="L811" s="3" t="inlineStr">
        <x:is>
          <x:t>No</x:t>
        </x:is>
      </x:c>
      <x:c r="M811" s="3" t="inlineStr">
        <x:is>
          <x:t/>
        </x:is>
      </x:c>
      <x:c r="N811" s="3" t="inlineStr">
        <x:is>
          <x:t/>
        </x:is>
      </x:c>
      <x:c r="O811" s="3" t="inlineStr">
        <x:is>
          <x:t>18 ago. 2023</x:t>
        </x:is>
      </x:c>
      <x:c r="P811" s="3" t="inlineStr">
        <x:is>
          <x:t/>
        </x:is>
      </x:c>
      <x:c r="Q811" s="3" t="inlineStr">
        <x:is>
          <x:t/>
        </x:is>
      </x:c>
    </x:row>
    <x:row r="812">
      <x:c r="A812" s="10" t="inlineStr">
        <x:f xml:space="preserve">HYPERLINK("http://sipi.sic.gov.co/sipi/View.ashx?4543553","SD2022/0142613")</x:f>
      </x:c>
      <x:c r="B812" s="3" t="inlineStr">
        <x:is>
          <x:t>ÁTOMO</x:t>
        </x:is>
      </x:c>
      <x:c r="C812" s="9" t="inlineStr">
        <x:is>
          <x:t/>
        </x:is>
      </x:c>
      <x:c r="D812" s="3" t="inlineStr">
        <x:is>
          <x:t>30 dic. 2022</x:t>
        </x:is>
      </x:c>
      <x:c r="E812" s="3" t="inlineStr">
        <x:is>
          <x:t/>
        </x:is>
      </x:c>
      <x:c r="F812" s="3" t="inlineStr">
        <x:is>
          <x:t>Negada</x:t>
        </x:is>
      </x:c>
      <x:c r="G812" s="3" t="inlineStr">
        <x:is>
          <x:t>REGISTRO 2</x:t>
        </x:is>
      </x:c>
      <x:c r="H812" s="3" t="inlineStr">
        <x:is>
          <x:t>Carlos Mario  Calle Romero, manzana D casa 7 Barrio los Almendros, ICONONZO, TOLIMA 00000000000000000, CO</x:t>
        </x:is>
      </x:c>
      <x:c r="I812" s="3" t="inlineStr">
        <x:is>
          <x:t>3</x:t>
        </x:is>
      </x:c>
      <x:c r="J812" s="3" t="inlineStr">
        <x:is>
          <x:t>11</x:t>
        </x:is>
      </x:c>
      <x:c r="K812" s="3" t="inlineStr">
        <x:is>
          <x:t>3. Aceites para el cabello; acondicionadores de cabello; acondicionadores en barritas sólidas para el cabello; acondicionadores para el cabello; acondicionadores para el cabello para bebés; acondicionadores para uso en el cabello; bálsamos para el cabello; champúes para el cabello; champús para el cabello; champús para el cabello humano; champús para el cabello y el cuerpo; champús y acondicionadores para el cabello; cosméticos para el cabello; crema para peinar el cabello; cremas de protección para el cabello; cremas de protección para el cabello, no medicinales; cremas para el cuidado del cabello; enjuagues para el cabello de uso cosmético; espumas para el cabello; espumas y geles para peinar el cabello; fijadores para el cabello; hidratantes para el cabello; jabones líquidos para el cabello y el cuerpo; lacas para el cabello; lacas y geles fijadores para el cabello; lociones de protección para el cabello; lociones para el cabello de uso cosmético; lociones para ondular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mechas y reflejos [preparaciones para iluminar el cabello]; polvo para el cabello; polvos para lavar el cabello; pomadas para el cabello; preparaciones no medicadas para el cabello; preparaciones para el cuidado y la limpieza del cabello; preparaciones para el peinado del cabello; preparaciones para lavar el cabello; preparaciones para limpiar, cuidar y arreglar el cabello; preparaciónes nutritiva para el cabello; productos de enjuague para el cabello [champús acondicionadores]; aceites cosméticos para la piel; aceites para el bronceado de la piel; aceites perfumados para el cuidado de la piel; acondicionadores para la piel; aerosoles cosméticos de uso tópico para la piel; bases de maquillaje para la piel; bronceadores para la piel; bálsamos [cremas] para disimular las imperfecciones de la piel; bálsamos para disimular las imperfecciones de la piel; composiciones para aclarar la piel [cosméticos]; correctores para disimular manchas e imperfecciones de la piel; cremas acondicionadoras para la piel, de uso cosmético; cremas cosméticas para la piel; cremas cosméticas para pieles secas; cremas cosméticas para reafirmar la piel; cremas no medicadas para la piel; cremas no medicadas para la protección de la piel; cremas para la piel; emolientes para la piel; emulsiones, geles y lociones para el cuidado de la piel; espumas para el cuidado de la piel; exfoliantes para la piel; hidratantes para la piel; jabones para la piel; limpiadores cosméticos para la piel; limpiadores de la piel; lociones cosméticas para la piel; lociones no medicinales para la piel; lociones para la piel; lociones, cremas y aceites de aplicación tópica para la piel y el cuerpo, de uso cosmético; maquillaje para la piel; mascarillas faciales para tonificar la piel; mascarillas hidratantes para la piel; mascarillas para el cuidado de la piel de las manos; mascarillas para la piel; paños o toallitas impregnados de productos limpiadores para la piel; preparaciones cosméticas para el cuidado y el tratamiento de la piel.
</x:t>
        </x:is>
      </x:c>
      <x:c r="L812" s="3" t="inlineStr">
        <x:is>
          <x:t>No</x:t>
        </x:is>
      </x:c>
      <x:c r="M812" s="3" t="inlineStr">
        <x:is>
          <x:t/>
        </x:is>
      </x:c>
      <x:c r="N812" s="3" t="inlineStr">
        <x:is>
          <x:t/>
        </x:is>
      </x:c>
      <x:c r="O812" s="3" t="inlineStr">
        <x:is>
          <x:t>05 abr. 2023</x:t>
        </x:is>
      </x:c>
      <x:c r="P812" s="3" t="inlineStr">
        <x:is>
          <x:t/>
        </x:is>
      </x:c>
      <x:c r="Q812" s="3" t="inlineStr">
        <x:is>
          <x:t/>
        </x:is>
      </x:c>
    </x:row>
    <x:row r="813">
      <x:c r="A813" s="10" t="inlineStr">
        <x:f xml:space="preserve">HYPERLINK("http://sipi.sic.gov.co/sipi/View.ashx?4543678","SD2022/0142922")</x:f>
      </x:c>
      <x:c r="B813" s="3" t="inlineStr">
        <x:is>
          <x:t>Fátima </x:t>
        </x:is>
      </x:c>
      <x:c r="C813" s="9" t="inlineStr">
        <x:is>
          <x:t/>
        </x:is>
      </x:c>
      <x:c r="D813" s="3" t="inlineStr">
        <x:is>
          <x:t>30 dic. 2022</x:t>
        </x:is>
      </x:c>
      <x:c r="E813" s="3" t="inlineStr">
        <x:is>
          <x:t/>
        </x:is>
      </x:c>
      <x:c r="F813" s="3" t="inlineStr">
        <x:is>
          <x:t>Negada</x:t>
        </x:is>
      </x:c>
      <x:c r="G813" s="3" t="inlineStr">
        <x:is>
          <x:t>Fátima </x:t>
        </x:is>
      </x:c>
      <x:c r="H813" s="3" t="inlineStr">
        <x:is>
          <x:t>Kimberlly Zaray Mosquera Palacios, Calle 32B #2F-115 Apartamento 405 Bloque A CR6, MANIZALES, CALDAS 170001, CO</x:t>
        </x:is>
      </x:c>
      <x:c r="I813" s="3" t="inlineStr">
        <x:is>
          <x:t>3</x:t>
        </x:is>
      </x:c>
      <x:c r="J813" s="3" t="inlineStr">
        <x:is>
          <x:t>11</x:t>
        </x:is>
      </x:c>
      <x:c r="K813" s="3" t="inlineStr">
        <x:is>
          <x:t>3. Champús y acondicionadores.
</x:t>
        </x:is>
      </x:c>
      <x:c r="L813" s="3" t="inlineStr">
        <x:is>
          <x:t>No</x:t>
        </x:is>
      </x:c>
      <x:c r="M813" s="3" t="inlineStr">
        <x:is>
          <x:t/>
        </x:is>
      </x:c>
      <x:c r="N813" s="3" t="inlineStr">
        <x:is>
          <x:t/>
        </x:is>
      </x:c>
      <x:c r="O813" s="3" t="inlineStr">
        <x:is>
          <x:t>21 jul. 2023</x:t>
        </x:is>
      </x:c>
      <x:c r="P813" s="3" t="inlineStr">
        <x:is>
          <x:t/>
        </x:is>
      </x:c>
      <x:c r="Q813" s="3" t="inlineStr">
        <x:is>
          <x:t/>
        </x:is>
      </x:c>
    </x:row>
    <x:row r="814">
      <x:c r="A814" s="10" t="inlineStr">
        <x:f xml:space="preserve">HYPERLINK("http://sipi.sic.gov.co/sipi/View.ashx?4543723","SD2022/0142617")</x:f>
      </x:c>
      <x:c r="B814" s="3" t="inlineStr">
        <x:is>
          <x:t>NEUTRO ACNE</x:t>
        </x:is>
      </x:c>
      <x:c r="C814" s="3" t="inlineStr">
        <x:is>
          <x:t/>
        </x:is>
      </x:c>
      <x:c r="D814" s="3" t="inlineStr">
        <x:is>
          <x:t>30 dic. 2022</x:t>
        </x:is>
      </x:c>
      <x:c r="E814" s="3" t="inlineStr">
        <x:is>
          <x:t/>
        </x:is>
      </x:c>
      <x:c r="F814" s="3" t="inlineStr">
        <x:is>
          <x:t>Negada</x:t>
        </x:is>
      </x:c>
      <x:c r="G814" s="3" t="inlineStr">
        <x:is>
          <x:t>NEUTRO ACNE</x:t>
        </x:is>
      </x:c>
      <x:c r="H814" s="3" t="inlineStr">
        <x:is>
          <x:t>ALISSON ROMERO MADRIGAL, Diagonal 16b- No. 108-25, BOGOTÁ, D.C., CO</x:t>
        </x:is>
      </x:c>
      <x:c r="I814" s="3" t="inlineStr">
        <x:is>
          <x:t>3</x:t>
        </x:is>
      </x:c>
      <x:c r="J814" s="3" t="inlineStr">
        <x:is>
          <x:t>11</x:t>
        </x:is>
      </x:c>
      <x:c r="K814" s="3" t="inlineStr">
        <x:is>
          <x:t>3. Cosméticos y productos de aseo personal.
</x:t>
        </x:is>
      </x:c>
      <x:c r="L814" s="3" t="inlineStr">
        <x:is>
          <x:t>No</x:t>
        </x:is>
      </x:c>
      <x:c r="M814" s="3" t="inlineStr">
        <x:is>
          <x:t/>
        </x:is>
      </x:c>
      <x:c r="N814" s="3" t="inlineStr">
        <x:is>
          <x:t/>
        </x:is>
      </x:c>
      <x:c r="O814" s="3" t="inlineStr">
        <x:is>
          <x:t>19 may. 2023</x:t>
        </x:is>
      </x:c>
      <x:c r="P814" s="3" t="inlineStr">
        <x:is>
          <x:t/>
        </x:is>
      </x:c>
      <x:c r="Q814" s="3" t="inlineStr">
        <x:is>
          <x:t/>
        </x:is>
      </x:c>
    </x:row>
    <x:row r="815">
      <x:c r="A815" s="10" t="inlineStr">
        <x:f xml:space="preserve">HYPERLINK("http://sipi.sic.gov.co/sipi/View.ashx?4544571","SD2022/0142934")</x:f>
      </x:c>
      <x:c r="B815" s="3" t="inlineStr">
        <x:is>
          <x:t>AMBROSSIA</x:t>
        </x:is>
      </x:c>
      <x:c r="C815" s="9" t="inlineStr">
        <x:is>
          <x:t/>
        </x:is>
      </x:c>
      <x:c r="D815" s="3" t="inlineStr">
        <x:is>
          <x:t>30 dic. 2022</x:t>
        </x:is>
      </x:c>
      <x:c r="E815" s="3" t="inlineStr">
        <x:is>
          <x:t/>
        </x:is>
      </x:c>
      <x:c r="F815" s="3" t="inlineStr">
        <x:is>
          <x:t>Negada</x:t>
        </x:is>
      </x:c>
      <x:c r="G815" s="3" t="inlineStr">
        <x:is>
          <x:t/>
        </x:is>
      </x:c>
      <x:c r="H815" s="3" t="inlineStr">
        <x:is>
          <x:t>Isabella Ulloa Escobar, Calle 31 #15-356, TURBACO, BOLIVAR, CO</x:t>
        </x:is>
      </x:c>
      <x:c r="I815" s="3" t="inlineStr">
        <x:is>
          <x:t>3</x:t>
        </x:is>
      </x:c>
      <x:c r="J815" s="3" t="inlineStr">
        <x:is>
          <x:t>11</x:t>
        </x:is>
      </x:c>
      <x:c r="K815" s="3" t="inlineStr">
        <x:is>
          <x:t>3. Fragancias; fragancias de ambiente; fragancias para el hogar; fragancias para perfumar el ambiente; fragancias para uso doméstico; fragancias y productos de perfumería; perfumería y fragancias; productos de perfumería, fragancias e incienso.
</x:t>
        </x:is>
      </x:c>
      <x:c r="L815" s="3" t="inlineStr">
        <x:is>
          <x:t>No</x:t>
        </x:is>
      </x:c>
      <x:c r="M815" s="3" t="inlineStr">
        <x:is>
          <x:t/>
        </x:is>
      </x:c>
      <x:c r="N815" s="3" t="inlineStr">
        <x:is>
          <x:t/>
        </x:is>
      </x:c>
      <x:c r="O815" s="3" t="inlineStr">
        <x:is>
          <x:t>09 oct. 2023</x:t>
        </x:is>
      </x:c>
      <x:c r="P815" s="3" t="inlineStr">
        <x:is>
          <x:t/>
        </x:is>
      </x:c>
      <x:c r="Q815" s="3" t="inlineStr">
        <x:is>
          <x:t/>
        </x:is>
      </x:c>
    </x:row>
    <x:row r="816">
      <x:c r="A816" s="10" t="inlineStr">
        <x:f xml:space="preserve">HYPERLINK("http://sipi.sic.gov.co/sipi/View.ashx?4544692","SD2022/0142998")</x:f>
      </x:c>
      <x:c r="B816" s="3" t="inlineStr">
        <x:is>
          <x:t>NAM´S NS</x:t>
        </x:is>
      </x:c>
      <x:c r="C816" s="9" t="inlineStr">
        <x:is>
          <x:t/>
        </x:is>
      </x:c>
      <x:c r="D816" s="3" t="inlineStr">
        <x:is>
          <x:t>30 dic. 2022</x:t>
        </x:is>
      </x:c>
      <x:c r="E816" s="3" t="inlineStr">
        <x:is>
          <x:t/>
        </x:is>
      </x:c>
      <x:c r="F816" s="3" t="inlineStr">
        <x:is>
          <x:t>Negada</x:t>
        </x:is>
      </x:c>
      <x:c r="G816" s="3" t="inlineStr">
        <x:is>
          <x:t>SOLICITUD REGISTRO DE MARCA NAM´S NS</x:t>
        </x:is>
      </x:c>
      <x:c r="H816" s="3" t="inlineStr">
        <x:is>
          <x:t>LUISA FERNANDA BOLAÑOS RAMIREZ, CARRERA 96 # 5-09 BARRIO LA PLAYA, CALI, VALLE DEL CAUCA, CO; SARA ISABEL BOLAÑOS RAMIREZ, CARRERA 96 # 5-09 BARRIO LA PLAYA, CALI, VALLE DEL CAUCA, CO</x:t>
        </x:is>
      </x:c>
      <x:c r="I816" s="3" t="inlineStr">
        <x:is>
          <x:t>3</x:t>
        </x:is>
      </x:c>
      <x:c r="J816" s="3" t="inlineStr">
        <x:is>
          <x:t>11</x:t>
        </x:is>
      </x:c>
      <x:c r="K816" s="3" t="inlineStr">
        <x:is>
          <x:t>3. Aceites de aromaterapia; aceites esenciales de aromaterapia; aceites esenciales para uso en aromaterapia; bolsitas aromáticas para almohadas de aromaterapia; cremas de aromaterapia; cremas para la piel no medicinales a base de aceites esenciales para uso en aromaterapia; lociones de aromaterapia; productos de aromaterapia; jabón líquido para el cuerpo; aceites y sales de baño; sales de baño; sales de baño perfumadas.
</x:t>
        </x:is>
      </x:c>
      <x:c r="L816" s="3" t="inlineStr">
        <x:is>
          <x:t>No</x:t>
        </x:is>
      </x:c>
      <x:c r="M816" s="3" t="inlineStr">
        <x:is>
          <x:t>DAVID ALEJANDRO  ESCOBAR GARCIA, CARRERA 38 #5E-28 ED. CONQUISTADORES TORRE B OF. 503, CALI, VALLE DEL CAUCA, CO</x:t>
        </x:is>
      </x:c>
      <x:c r="N816" s="3" t="inlineStr">
        <x:is>
          <x:t/>
        </x:is>
      </x:c>
      <x:c r="O816" s="3" t="inlineStr">
        <x:is>
          <x:t>29 may. 2023</x:t>
        </x:is>
      </x:c>
      <x:c r="P816" s="3" t="inlineStr">
        <x:is>
          <x:t/>
        </x:is>
      </x:c>
      <x:c r="Q816" s="3" t="inlineStr">
        <x:is>
          <x:t/>
        </x:is>
      </x:c>
    </x:row>
    <x:row r="817">
      <x:c r="A817" s="10" t="inlineStr">
        <x:f xml:space="preserve">HYPERLINK("http://sipi.sic.gov.co/sipi/View.ashx?4545358","SD2022/0143240")</x:f>
      </x:c>
      <x:c r="B817" s="3" t="inlineStr">
        <x:is>
          <x:t>Sunshine &amp; Care </x:t>
        </x:is>
      </x:c>
      <x:c r="C817" s="9" t="inlineStr">
        <x:is>
          <x:t/>
        </x:is>
      </x:c>
      <x:c r="D817" s="3" t="inlineStr">
        <x:is>
          <x:t>30 dic. 2022</x:t>
        </x:is>
      </x:c>
      <x:c r="E817" s="3" t="inlineStr">
        <x:is>
          <x:t/>
        </x:is>
      </x:c>
      <x:c r="F817" s="3" t="inlineStr">
        <x:is>
          <x:t>Negada</x:t>
        </x:is>
      </x:c>
      <x:c r="G817" s="3" t="inlineStr">
        <x:is>
          <x:t>Sunshine &amp; Care </x:t>
        </x:is>
      </x:c>
      <x:c r="H817" s="3" t="inlineStr">
        <x:is>
          <x:t>Daniela Aristizábal Zuluaga, Carrera 31 #40a 08, MEDELLIN, ANTIOQUIA, CO; Sorany Aristizábal Zuluaga , Carrera 31 40a 08, MEDELLIN, ANTIOQUIA, CO</x:t>
        </x:is>
      </x:c>
      <x:c r="I817" s="3" t="inlineStr">
        <x:is>
          <x:t>3</x:t>
        </x:is>
      </x:c>
      <x:c r="J817" s="3" t="inlineStr">
        <x:is>
          <x:t>11</x:t>
        </x:is>
      </x:c>
      <x:c r="K817" s="3" t="inlineStr">
        <x:is>
          <x:t>3. Aceites bronceadores [cosméticos]; aceites cosméticos; aceites cosméticos para la piel; aceites de protección solar [cosméticos]; aceites minerales [cosméticos]; aceites para bronceado [cosméticos]; aceites para después del sol [productos cosméticos]; aceites perfumados para la fabricación de preparados cosméticos; aceites perfumados para la fabricación de productos cosméticos; aerosoles cosméticos de uso tópico para la piel; almohadillas de limpieza impregnadas con cosméticos; almohadillas de limpieza impregnadas con productos cosméticos; almohadillas de limpieza impregnadas de cosméticos; almohadillas limpiadoras impregnadas de productos cosméticos; apitoxina [veneno de abeja melífera] con fines cosméticos; autobronceadores [cosméticos]; barras de labios con protección solar [cosméticos]; barras de labios en stick con protección solar [cosméticos]; bloqueador solar [cosméticos]; colonias, perfumes y productos cosméticos; colorantes de labios [cosméticos]; colorantes labiales [cosméticos]; colorantes labiales [productos cosméticos]; colorantes para los labios [productos cosméticos]; composiciones para aclarar la piel [cosméticos]; correctores de imperfecciones [productos cosméticos]; cosméticos; cosméticos a base de hierbas; cosméticos biológicos; cosméticos de belleza; cosméticos ecológicos; cosméticos en forma de cremas; cosméticos en forma de polvos; cosméticos funcionales en cuanto preparaciones para blanquear la piel; cosméticos naturales; cosméticos orgánicos;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tratamiento de belleza cosméticos para el cuidado de belleza; cosméticos y preparaciones cosméticas; cosméticos y preparaciones de cuidado personal; cremas corporales [cosméticos]; cremas de limpieza [cosméticos]; cremas de limpieza [productos cosméticos]; cremas hidratantes para la piel [cosméticos]; cremas limpiadoras [cosméticos]; cremas limpiadoras [productos cosméticos]; cremas para el cuerpo [cosméticos]; cremas para la cara [cosméticos]; cremas reparadoras para la piel [cosméticos]; cremas tonificantes [cosméticos]; cremas y geles cosméticos para cara, manos y cuerpo; cremas y geles cosméticos para rostro, manos y cuerpo; cremas, leches, lociones, geles y polvos cosméticos para la cara, el cuerpo y las manos; esmaltes de base para las uñas [productos cosméticos]; exfoliantes corporales cosméticos; filtro solar [cosméticos]; geles bronceadores [cosméticos]; geles cosméticos; geles hidratantes [cosméticos]; geles para después del sol [productos cosméticos]; geles para el cuerpo [cosméticos]; geles para el cuerpo y la cara [cosméticos]; geles para la cara [cosméticos]; hidratantes [cosméticos]; hidratantes faciales [cosméticos]; hidratantes para la piel utilizados como cosméticos; jabones cosméticos;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faciales [cosméticos]; lociones hidratantes [cosméticos]; lociones hidratantes para el cuerpo [cosméticos]; lociones hidratantes para la piel [cosméticos]; lociones no medicinales para el cuidado de la piel [cosméticos]; lociones para el cuidado de la piel [cosméticos]; lociones para la piel [productos cosméticos]; maquillaje [cosméticos]; mascarillas faciales [productos cosméticos]; mascarillas para el cutis [cosméticos]; mascarillas para la piel [cosméticos]; perfumería para cosméticos; polvos cosméticos; polvos faciales [cosméticos]; preparaciones blanqueadoras para la piel [productos cosméticos]; preparaciones de cuidado facial [cosméticos]; preparaciones de protección solar [productos cosméticos]; productos cosméticos a base de hierbas; productos cosméticos en forma de cremas; productos cosméticos para el baño y la ducha; productos cosméticos para el cabello y el cuero cabelludo; productos cosméticos para el cuidado corporal; productos cosméticos para el cuidado de la piel; productos cosméticos para la piel; productos cosméticos para las pestañas; productos cosméticos para proteger la piel contra los rayos del sol; productos cosméticos para uso personal; productos cosméticos y de belleza; productos cosméticos y de maquillaje; productos cosméticos, a saber, lociones; productos de perfumería, aceites esenciales, cosméticos no medicinales, lociones capilares no medicinales; productos de perfumería, aceites esenciales, cosméticos, lociones capilares; productos y preparaciones cosméticos para el cuidado de la piel; tintes labiales [cosméticos]; tónicos cosméticos; tónicos cosméticos para el rostro; tónicos cosméticos para la cara.
</x:t>
        </x:is>
      </x:c>
      <x:c r="L817" s="3" t="inlineStr">
        <x:is>
          <x:t>No</x:t>
        </x:is>
      </x:c>
      <x:c r="M817" s="3" t="inlineStr">
        <x:is>
          <x:t/>
        </x:is>
      </x:c>
      <x:c r="N817" s="3" t="inlineStr">
        <x:is>
          <x:t/>
        </x:is>
      </x:c>
      <x:c r="O817" s="3" t="inlineStr">
        <x:is>
          <x:t>08 may. 2023</x:t>
        </x:is>
      </x:c>
      <x:c r="P817" s="3" t="inlineStr">
        <x:is>
          <x:t/>
        </x:is>
      </x:c>
      <x:c r="Q817" s="3" t="inlineStr">
        <x:is>
          <x:t/>
        </x:is>
      </x:c>
    </x:row>
    <x:row r="818">
      <x:c r="A818" s="10" t="inlineStr">
        <x:f xml:space="preserve">HYPERLINK("http://sipi.sic.gov.co/sipi/View.ashx?4545804","SD2022/0143391")</x:f>
      </x:c>
      <x:c r="B818" s="3" t="inlineStr">
        <x:is>
          <x:t>m MOON CAPILAR BY ANA MARIA MEDINA</x:t>
        </x:is>
      </x:c>
      <x:c r="C818" s="9" t="inlineStr">
        <x:is>
          <x:t/>
        </x:is>
      </x:c>
      <x:c r="D818" s="3" t="inlineStr">
        <x:is>
          <x:t>30 dic. 2022</x:t>
        </x:is>
      </x:c>
      <x:c r="E818" s="3" t="inlineStr">
        <x:is>
          <x:t/>
        </x:is>
      </x:c>
      <x:c r="F818" s="3" t="inlineStr">
        <x:is>
          <x:t>Negada</x:t>
        </x:is>
      </x:c>
      <x:c r="G818" s="3" t="inlineStr">
        <x:is>
          <x:t/>
        </x:is>
      </x:c>
      <x:c r="H818" s="3" t="inlineStr">
        <x:is>
          <x:t>IVON BRIGITTE RODRIGUEZ BOCANEGRA, CARRERA 72 BIS #147-60 APT 2001, BOGOTÁ, D.C., CO</x:t>
        </x:is>
      </x:c>
      <x:c r="I818" s="3" t="inlineStr">
        <x:is>
          <x:t>3, 35, 44</x:t>
        </x:is>
      </x:c>
      <x:c r="J818" s="3" t="inlineStr">
        <x:is>
          <x:t>11</x:t>
        </x:is>
      </x:c>
      <x:c r="K818" s="3" t="inlineStr">
        <x:is>
          <x:t>3. Cosméticos; cosméticos biológicos; cosméticos de belleza; cosméticos en forma de cremas; cosméticos en forma de polvos; cosméticos naturales; cosméticos para broncear la piel; cosméticos para cuidados corporales y estéticos; cosméticos para las cejas; cosméticos para los labios; cosméticos para pestañas; cosméticos para polveras; cosméticos para tratamiento de belleza cosméticos para el cuidado de belleza; cosméticos y preparaciones cosméticas; cosméticos y preparaciones de cuidado personal; cremas de limpieza [cosméticos]; cremas de limpieza [productos cosméticos]; cremas hidratantes para la piel [cosméticos]; cremas para la cara [cosméticos]; cremas reparadoras para la piel [cosméticos]; cremas bálsamos de belleza; cremas de belleza; cremas de belleza para el cuerpo; cremas de belleza para el rostro y el cuerpo; geles de belleza; leches de belleza; lociones de belleza; mascarillas de belleza; mascarillas faciales de belleza; preparaciones para el cuidado y la belleza personal; productos cosméticos y de belleza; sueros de belleza; acondicionadores labiales; bálsamos labiales; lápices labiales; lápices labiales hidratantes; paletas de brillos labiales.
35. Comercialización de productos; comercialización de productos para terceros; preparación de material de promoción y de comercialización para terceros; servicios de tiendas mayoristas de instrumentos de belleza para personas; servicios de tiendas mayoristas en línea de instrumentos de belleza para personas; servicios de tiendas minoristas de instrumentos de belleza para personas; servicios de tiendas minoristas en línea de instrumentos de belleza para personas; servicios de venta de tienda al por menor en línea de productos cosméticos y de belleza; servicios de venta de tienda al por menor en línea que incluyen productos cosméticos y de belleza; servicios de venta de tienda minorista en línea de productos cosméticos y de belleza; servicios de venta de tienda minorista en línea en relación con productos cosméticos y de belleza; servicios de venta mayorista de instrumentos de belleza para personas; servicios de venta mayorista en relación con instrumentos de belleza para personas; servicios de venta minorista de instrumentos de belleza para personas; servicios de venta minorista en línea de productos cosméticos y de belleza, así como de prendas de vestir y complementos; servicios de venta minorista en relación con instrumentos de belleza para personas.
44. Alquiler de equipos para cuidados de higiene y de belleza para personas; asesoramiento en belleza; asesoramiento en materia de cuidados de belleza; asesoría en belleza; consultas en materia de la belleza; consultoría en belleza; consultoría en tratamientos corporales y de belleza; consultoría suministrada por internet en materia de tratamientos corporales y de belleza; cuidados de higiene y de belleza; servicios de asistencia sanitaria y belleza; servicios de asistencia sanitaria y de cuidado de belleza; servicios de atención sanitaria y de cuidado de belleza; servicios de consultoría en belleza; servicios de cuidados de belleza; servicios de tratamientos de belleza; servicios de tratamientos de belleza, en particular para pestañas; servicios de tratamientos de salud y de belleza; servicios de tratamientos de salud y de belleza prestados por saunas, salones de belleza, sanatorios, peluquerías y salones de masajes; suministro de información en materia de belleza; terapias de belleza; tratamientos de belleza.
</x:t>
        </x:is>
      </x:c>
      <x:c r="L818" s="3" t="inlineStr">
        <x:is>
          <x:t>No</x:t>
        </x:is>
      </x:c>
      <x:c r="M818" s="3" t="inlineStr">
        <x:is>
          <x:t/>
        </x:is>
      </x:c>
      <x:c r="N818" s="3" t="inlineStr">
        <x:is>
          <x:t/>
        </x:is>
      </x:c>
      <x:c r="O818" s="3" t="inlineStr">
        <x:is>
          <x:t>08 may. 2023</x:t>
        </x:is>
      </x:c>
      <x:c r="P818" s="3" t="inlineStr">
        <x:is>
          <x:t/>
        </x:is>
      </x:c>
      <x:c r="Q818" s="3" t="inlineStr">
        <x:is>
          <x:t/>
        </x:is>
      </x:c>
    </x:row>
    <x:row r="819">
      <x:c r="A819" s="10" t="inlineStr">
        <x:f xml:space="preserve">HYPERLINK("http://sipi.sic.gov.co/sipi/View.ashx?4545881","SD2022/0143433")</x:f>
      </x:c>
      <x:c r="B819" s="3" t="inlineStr">
        <x:is>
          <x:t>HIU TATTOO AFTERCARE</x:t>
        </x:is>
      </x:c>
      <x:c r="C819" s="9" t="inlineStr">
        <x:is>
          <x:t/>
        </x:is>
      </x:c>
      <x:c r="D819" s="3" t="inlineStr">
        <x:is>
          <x:t>30 dic. 2022</x:t>
        </x:is>
      </x:c>
      <x:c r="E819" s="3" t="inlineStr">
        <x:is>
          <x:t/>
        </x:is>
      </x:c>
      <x:c r="F819" s="3" t="inlineStr">
        <x:is>
          <x:t>Negada</x:t>
        </x:is>
      </x:c>
      <x:c r="G819" s="3" t="inlineStr">
        <x:is>
          <x:t>Hiu</x:t>
        </x:is>
      </x:c>
      <x:c r="H819" s="3" t="inlineStr">
        <x:is>
          <x:t>Yoseany Fernanda Rodríguez Sánchez, CARRERA 79 #137D-11, BOGOTÁ, D.C. 110111, CO</x:t>
        </x:is>
      </x:c>
      <x:c r="I819" s="3" t="inlineStr">
        <x:is>
          <x:t>3</x:t>
        </x:is>
      </x:c>
      <x:c r="J819" s="3" t="inlineStr">
        <x:is>
          <x:t>11</x:t>
        </x:is>
      </x:c>
      <x:c r="K819" s="3" t="inlineStr">
        <x:is>
          <x:t>3. Productos cosméticos para el cuidado de la piel.
</x:t>
        </x:is>
      </x:c>
      <x:c r="L819" s="3" t="inlineStr">
        <x:is>
          <x:t>No</x:t>
        </x:is>
      </x:c>
      <x:c r="M819" s="3" t="inlineStr">
        <x:is>
          <x:t>ANDRES FELIPE LOPEZ GUTIERREZ, Calle 98 No. 22-64 Of. 716, BOGOTÁ, D.C., CO</x:t>
        </x:is>
      </x:c>
      <x:c r="N819" s="3" t="inlineStr">
        <x:is>
          <x:t/>
        </x:is>
      </x:c>
      <x:c r="O819" s="3" t="inlineStr">
        <x:is>
          <x:t>09 dic. 2024</x:t>
        </x:is>
      </x:c>
      <x:c r="P819" s="3" t="inlineStr">
        <x:is>
          <x:t/>
        </x:is>
      </x:c>
      <x:c r="Q819" s="3" t="inlineStr">
        <x:is>
          <x:t/>
        </x:is>
      </x:c>
    </x:row>
    <x:row r="820">
      <x:c r="A820" s="10" t="inlineStr">
        <x:f xml:space="preserve">HYPERLINK("http://sipi.sic.gov.co/sipi/View.ashx?4546251","SD2022/0143523")</x:f>
      </x:c>
      <x:c r="B820" s="3" t="inlineStr">
        <x:is>
          <x:t>BAN SAC</x:t>
        </x:is>
      </x:c>
      <x:c r="C820" s="9" t="inlineStr">
        <x:is>
          <x:t/>
        </x:is>
      </x:c>
      <x:c r="D820" s="3" t="inlineStr">
        <x:is>
          <x:t>31 dic. 2022</x:t>
        </x:is>
      </x:c>
      <x:c r="E820" s="3" t="inlineStr">
        <x:is>
          <x:t/>
        </x:is>
      </x:c>
      <x:c r="F820" s="3" t="inlineStr">
        <x:is>
          <x:t>Negada</x:t>
        </x:is>
      </x:c>
      <x:c r="G820" s="3" t="inlineStr">
        <x:is>
          <x:t>BAN SAC</x:t>
        </x:is>
      </x:c>
      <x:c r="H820" s="3" t="inlineStr">
        <x:is>
          <x:t>JUAN SEBASTIAN ESQUIVEL DURAN, Carrera 15 # 170-65, BOGOTÁ, D.C. 110141, CO</x:t>
        </x:is>
      </x:c>
      <x:c r="I820" s="3" t="inlineStr">
        <x:is>
          <x:t>3, 35</x:t>
        </x:is>
      </x:c>
      <x:c r="J820" s="3" t="inlineStr">
        <x:is>
          <x:t>11</x:t>
        </x:is>
      </x:c>
      <x:c r="K820" s="3" t="inlineStr">
        <x:is>
          <x:t>3. Perfumería, aceites esenciales, cosméticos y lociones.
35. Marketing / mercadotecnia; publicidad.
</x:t>
        </x:is>
      </x:c>
      <x:c r="L820" s="3" t="inlineStr">
        <x:is>
          <x:t>No</x:t>
        </x:is>
      </x:c>
      <x:c r="M820" s="3" t="inlineStr">
        <x:is>
          <x:t>CARLOS ALBERTO  GUTIERREZ VALENCIA, Calle 93 A # 13-24, Piso 5, BOGOTÁ, D.C. 110221, CO</x:t>
        </x:is>
      </x:c>
      <x:c r="N820" s="3" t="inlineStr">
        <x:is>
          <x:t/>
        </x:is>
      </x:c>
      <x:c r="O820" s="3" t="inlineStr">
        <x:is>
          <x:t>27 mar. 2023</x:t>
        </x:is>
      </x:c>
      <x:c r="P820" s="3" t="inlineStr">
        <x:is>
          <x:t/>
        </x:is>
      </x:c>
      <x:c r="Q820" s="3" t="inlineStr">
        <x:is>
          <x:t/>
        </x:is>
      </x:c>
    </x:row>
    <x:row r="821">
      <x:c r="A821" s="10" t="inlineStr">
        <x:f xml:space="preserve">HYPERLINK("http://sipi.sic.gov.co/sipi/View.ashx?4546309","SD2022/0143540")</x:f>
      </x:c>
      <x:c r="B821" s="3" t="inlineStr">
        <x:is>
          <x:t>Hanna's</x:t>
        </x:is>
      </x:c>
      <x:c r="C821" s="9" t="inlineStr">
        <x:is>
          <x:t/>
        </x:is>
      </x:c>
      <x:c r="D821" s="3" t="inlineStr">
        <x:is>
          <x:t>31 dic. 2022</x:t>
        </x:is>
      </x:c>
      <x:c r="E821" s="3" t="inlineStr">
        <x:is>
          <x:t/>
        </x:is>
      </x:c>
      <x:c r="F821" s="3" t="inlineStr">
        <x:is>
          <x:t>Negada</x:t>
        </x:is>
      </x:c>
      <x:c r="G821" s="3" t="inlineStr">
        <x:is>
          <x:t>1037633781</x:t>
        </x:is>
      </x:c>
      <x:c r="H821" s="3" t="inlineStr">
        <x:is>
          <x:t>sara rocio duque gracia, CARRERA 45 # 75 B SUR 132, SABANETA, ANTIOQUIA, CO</x:t>
        </x:is>
      </x:c>
      <x:c r="I821" s="3" t="inlineStr">
        <x:is>
          <x:t>3</x:t>
        </x:is>
      </x:c>
      <x:c r="J821" s="3" t="inlineStr">
        <x:is>
          <x:t>11</x:t>
        </x:is>
      </x:c>
      <x:c r="K821" s="3" t="inlineStr">
        <x:is>
          <x:t>3. Aceites perfumados para el cuidado de la piel; cremas cosméticas para el cuidado de la piel; cremas no medicinales para el cuidado de la piel; cremas para el cuidado de la piel que no sean de uso médico; cremas para el cuidado de la piel que no sean para uso médico; cremas para el cuidado de la piel, no medicinales; emulsiones, geles y lociones para el cuidado de la piel; espumas para el cuidado de la piel; leches limpiadoras para el cuidado de la piel; lociones cosméticas para el cuidado de la piel; lociones lechosas para el cuidado de la piel; lociones lácteas para el cuidado de la piel; lociones no medicinales para el cuidado de la piel [cosméticos]; lociones para el cuidado de la piel; lociones para el cuidado de la piel [cosméticos]; mascarillas para el cuidado de la piel de las manos; mascarillas para el cuidado de la piel de los pies; preparaciones antiarrugas para el cuidado de la piel; preparaciones antienvejecimiento para el cuidado de la piel; preparaciones cosméticas para el cuidado de la piel; preparaciones cosméticas para el cuidado de la piel en forma de geles; preparaciones cosméticas termoactivas para el cuidado de la piel; preparaciones no medicinales para el cuidado de la piel; preparaciones no medicinales para el cuidado de la piel, el cabello y el cuero cabelludo; preparaciones para el cuidado de la piel; preparaciones para el cuidado de la piel [productos cosméticos]; preparaciones para el cuidado de la piel a base de cbd; preparaciones para el cuidado de la piel, no medicinales; preparados no medicinales para el cuidado de la piel; preparados para el cuidado de la piel a base de cbd; productos cosméticos en aerosol para el cuidado de la piel; productos cosméticos para el cuidado de la piel; productos cosméticos para el cuidado de la piel de los perros; productos no medicinales para el cuidado de la piel; productos para el cuidado de la piel, no medicinales; productos y preparaciones cosméticos para el cuidado de la piel; productos y preparaciones no medicinales para el cuidado de la piel; toallitas impregnadas con preparados para el cuidado de la piel.
</x:t>
        </x:is>
      </x:c>
      <x:c r="L821" s="3" t="inlineStr">
        <x:is>
          <x:t>No</x:t>
        </x:is>
      </x:c>
      <x:c r="M821" s="3" t="inlineStr">
        <x:is>
          <x:t>sara rocio duque gracia, CARRERA 45 # 75 B SUR 132, SABANETA, ANTIOQUIA, CO</x:t>
        </x:is>
      </x:c>
      <x:c r="N821" s="3" t="inlineStr">
        <x:is>
          <x:t/>
        </x:is>
      </x:c>
      <x:c r="O821" s="3" t="inlineStr">
        <x:is>
          <x:t>19 may. 2023</x:t>
        </x:is>
      </x:c>
      <x:c r="P821" s="3" t="inlineStr">
        <x:is>
          <x:t/>
        </x:is>
      </x:c>
      <x:c r="Q821" s="3" t="inlineStr">
        <x:is>
          <x:t/>
        </x:is>
      </x:c>
    </x:row>
    <x:row r="822">
      <x:c r="A822" s="10" t="inlineStr">
        <x:f xml:space="preserve">HYPERLINK("http://sipi.sic.gov.co/sipi/View.ashx?4546432","SD2022/0143584")</x:f>
      </x:c>
      <x:c r="B822" s="3" t="inlineStr">
        <x:is>
          <x:t>SUPER FAST </x:t>
        </x:is>
      </x:c>
      <x:c r="C822" s="3" t="inlineStr">
        <x:is>
          <x:t/>
        </x:is>
      </x:c>
      <x:c r="D822" s="3" t="inlineStr">
        <x:is>
          <x:t>31 dic. 2022</x:t>
        </x:is>
      </x:c>
      <x:c r="E822" s="3" t="inlineStr">
        <x:is>
          <x:t/>
        </x:is>
      </x:c>
      <x:c r="F822" s="3" t="inlineStr">
        <x:is>
          <x:t>Negada</x:t>
        </x:is>
      </x:c>
      <x:c r="G822" s="3" t="inlineStr">
        <x:is>
          <x:t/>
        </x:is>
      </x:c>
      <x:c r="H822" s="3" t="inlineStr">
        <x:is>
          <x:t>INDIRA MARCELA RANGEL SUAREZ, calle 18A # 8-65 LA LIBERTAD, CUCUTA, NORTE DE SANTANDER 540001, CO</x:t>
        </x:is>
      </x:c>
      <x:c r="I822" s="3" t="inlineStr">
        <x:is>
          <x:t>3</x:t>
        </x:is>
      </x:c>
      <x:c r="J822" s="3" t="inlineStr">
        <x:is>
          <x:t>11</x:t>
        </x:is>
      </x:c>
      <x:c r="K822"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822" s="3" t="inlineStr">
        <x:is>
          <x:t>No</x:t>
        </x:is>
      </x:c>
      <x:c r="M822" s="3" t="inlineStr">
        <x:is>
          <x:t/>
        </x:is>
      </x:c>
      <x:c r="N822" s="3" t="inlineStr">
        <x:is>
          <x:t/>
        </x:is>
      </x:c>
      <x:c r="O822" s="3" t="inlineStr">
        <x:is>
          <x:t>27 feb. 2023</x:t>
        </x:is>
      </x:c>
      <x:c r="P822" s="3" t="inlineStr">
        <x:is>
          <x:t/>
        </x:is>
      </x:c>
      <x:c r="Q822" s="3" t="inlineStr">
        <x:is>
          <x:t/>
        </x:is>
      </x:c>
    </x:row>
    <x:row r="823">
      <x:c r="A823" s="10" t="inlineStr">
        <x:f xml:space="preserve">HYPERLINK("http://sipi.sic.gov.co/sipi/View.ashx?4546458","SD2022/0143605")</x:f>
      </x:c>
      <x:c r="B823" s="3" t="inlineStr">
        <x:is>
          <x:t>NN MANNIA BEAUTY BY LOLA EN BARCELONA</x:t>
        </x:is>
      </x:c>
      <x:c r="C823" s="9" t="inlineStr">
        <x:is>
          <x:t/>
        </x:is>
      </x:c>
      <x:c r="D823" s="3" t="inlineStr">
        <x:is>
          <x:t>31 dic. 2022</x:t>
        </x:is>
      </x:c>
      <x:c r="E823" s="3" t="inlineStr">
        <x:is>
          <x:t/>
        </x:is>
      </x:c>
      <x:c r="F823" s="3" t="inlineStr">
        <x:is>
          <x:t>Negada</x:t>
        </x:is>
      </x:c>
      <x:c r="G823" s="3" t="inlineStr">
        <x:is>
          <x:t/>
        </x:is>
      </x:c>
      <x:c r="H823" s="3" t="inlineStr">
        <x:is>
          <x:t>GIANCARLO  ROSSETTES ANTOLINEZ, Cra 59b No. 96.26, BARRANQUILLA, ATLÁNTICO, CO</x:t>
        </x:is>
      </x:c>
      <x:c r="I823" s="3" t="inlineStr">
        <x:is>
          <x:t>3</x:t>
        </x:is>
      </x:c>
      <x:c r="J823" s="3" t="inlineStr">
        <x:is>
          <x:t>11</x:t>
        </x:is>
      </x:c>
      <x:c r="K823" s="3" t="inlineStr">
        <x:is>
          <x:t>3. Shampoos, acondicionadores, tratamientos para el cabello y serúms faciales, a base de componentes naturales.
</x:t>
        </x:is>
      </x:c>
      <x:c r="L823" s="3" t="inlineStr">
        <x:is>
          <x:t>No</x:t>
        </x:is>
      </x:c>
      <x:c r="M823" s="3" t="inlineStr">
        <x:is>
          <x:t>MARIA JOSE GARCIA SUAREZ, Km 8 Via El Caimo, Conjunto Pontevedra Casa 28, ARMENIA, QUINDIO 630008, CO</x:t>
        </x:is>
      </x:c>
      <x:c r="N823" s="3" t="inlineStr">
        <x:is>
          <x:t/>
        </x:is>
      </x:c>
      <x:c r="O823" s="3" t="inlineStr">
        <x:is>
          <x:t>05 feb. 2024</x:t>
        </x:is>
      </x:c>
      <x:c r="P823" s="3" t="inlineStr">
        <x:is>
          <x:t/>
        </x:is>
      </x:c>
      <x:c r="Q823" s="3" t="inlineStr">
        <x:is>
          <x:t/>
        </x:is>
      </x:c>
    </x:row>
    <x:row r="824">
      <x:c r="A824" s="10" t="inlineStr">
        <x:f xml:space="preserve">HYPERLINK("http://sipi.sic.gov.co/sipi/View.ashx?4546805","SD2022/0143705")</x:f>
      </x:c>
      <x:c r="B824" s="3" t="inlineStr">
        <x:is>
          <x:t>ECLII CARE</x:t>
        </x:is>
      </x:c>
      <x:c r="C824" s="9" t="inlineStr">
        <x:is>
          <x:t/>
        </x:is>
      </x:c>
      <x:c r="D824" s="3" t="inlineStr">
        <x:is>
          <x:t>31 dic. 2022</x:t>
        </x:is>
      </x:c>
      <x:c r="E824" s="3" t="inlineStr">
        <x:is>
          <x:t/>
        </x:is>
      </x:c>
      <x:c r="F824" s="3" t="inlineStr">
        <x:is>
          <x:t>Negada</x:t>
        </x:is>
      </x:c>
      <x:c r="G824" s="3" t="inlineStr">
        <x:is>
          <x:t>Solicitud ECLII CARE</x:t>
        </x:is>
      </x:c>
      <x:c r="H824" s="3" t="inlineStr">
        <x:is>
          <x:t>maria paulina duque navarro, cra 2 este # 70a-63, BOGOTA, CUNDINAMARCA, CO; MARIA CAMILA BOTERO SERNA, CARRERA 121 B 5 80, CALI, VALLE DEL CAUCA, CO</x:t>
        </x:is>
      </x:c>
      <x:c r="I824" s="3" t="inlineStr">
        <x:is>
          <x:t>3, 5</x:t>
        </x:is>
      </x:c>
      <x:c r="J824" s="3" t="inlineStr">
        <x:is>
          <x:t>11</x:t>
        </x:is>
      </x:c>
      <x:c r="K824" s="3" t="inlineStr">
        <x:is>
          <x:t>3. Aceites para el cabello; aceites suavizantes para el cabello; acondicionadores de cabello; champúes para el cabello; champús para el cabello; champús para el cabello y el cuerpo; champús y acondicionadores para el cabello; cremas para el cabello; cremas para el cabello de uso cosmético; enjuagues para el cabello; enjuagues para el cabello de uso cosmético; espuma de protección para el cabello; espumas para el cabello; espumas y geles para peinar el cabello; hidratantes para el cabello; mascarillas de belleza para el cabello; mascarillas para el cabello; mascarillas para el cuidado del cabello; máscaras para el cabello; preparaciones no medicinales para el cuidado de la piel, el cabello y el cuero cabelludo; preparaciones no medicinales para el cuidado del cabello; productos cosméticos para el cabello y el cuero cabelludo; productos hidratantes para el cabello; champús 3 en 1; champús acondicionadores; champús en seco*.
5. Estimulantes para el crecimiento del cabello; preparaciones medicinales para el crecimiento del cabello; champús medicinales.
</x:t>
        </x:is>
      </x:c>
      <x:c r="L824" s="3" t="inlineStr">
        <x:is>
          <x:t>No</x:t>
        </x:is>
      </x:c>
      <x:c r="M824" s="3" t="inlineStr">
        <x:is>
          <x:t>Estefania Hoyos Osorio , carrera 121 b # 5-80, CALI, VALLE DEL CAUCA 760008, CO</x:t>
        </x:is>
      </x:c>
      <x:c r="N824" s="3" t="inlineStr">
        <x:is>
          <x:t/>
        </x:is>
      </x:c>
      <x:c r="O824" s="3" t="inlineStr">
        <x:is>
          <x:t>27 mar. 2023</x:t>
        </x:is>
      </x:c>
      <x:c r="P824" s="3" t="inlineStr">
        <x:is>
          <x:t/>
        </x:is>
      </x:c>
      <x:c r="Q824" s="3" t="inlineStr">
        <x:is>
          <x:t/>
        </x:is>
      </x:c>
    </x:row>
    <x:row r="825">
      <x:c r="A825" s="10" t="inlineStr">
        <x:f xml:space="preserve">HYPERLINK("http://sipi.sic.gov.co/sipi/View.ashx?4546824","SD2022/0143717")</x:f>
      </x:c>
      <x:c r="B825" s="3" t="inlineStr">
        <x:is>
          <x:t>ZERO SCAR</x:t>
        </x:is>
      </x:c>
      <x:c r="C825" s="3" t="inlineStr">
        <x:is>
          <x:t/>
        </x:is>
      </x:c>
      <x:c r="D825" s="3" t="inlineStr">
        <x:is>
          <x:t>31 dic. 2022</x:t>
        </x:is>
      </x:c>
      <x:c r="E825" s="3" t="inlineStr">
        <x:is>
          <x:t/>
        </x:is>
      </x:c>
      <x:c r="F825" s="3" t="inlineStr">
        <x:is>
          <x:t>Negada</x:t>
        </x:is>
      </x:c>
      <x:c r="G825" s="3" t="inlineStr">
        <x:is>
          <x:t/>
        </x:is>
      </x:c>
      <x:c r="H825" s="3" t="inlineStr">
        <x:is>
          <x:t>Luis Eduardo Higuera Calderon, Carrera 113A # 78C 94, BOGOTÁ, D.C. 111031|, CO</x:t>
        </x:is>
      </x:c>
      <x:c r="I825" s="3" t="inlineStr">
        <x:is>
          <x:t>3</x:t>
        </x:is>
      </x:c>
      <x:c r="J825" s="3" t="inlineStr">
        <x:is>
          <x:t>11</x:t>
        </x:is>
      </x:c>
      <x:c r="K825"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x:t>
        </x:is>
      </x:c>
      <x:c r="L825" s="3" t="inlineStr">
        <x:is>
          <x:t>No</x:t>
        </x:is>
      </x:c>
      <x:c r="M825" s="3" t="inlineStr">
        <x:is>
          <x:t/>
        </x:is>
      </x:c>
      <x:c r="N825" s="3" t="inlineStr">
        <x:is>
          <x:t/>
        </x:is>
      </x:c>
      <x:c r="O825" s="3" t="inlineStr">
        <x:is>
          <x:t>17 abr. 2023</x:t>
        </x:is>
      </x:c>
      <x:c r="P825" s="3" t="inlineStr">
        <x:is>
          <x:t/>
        </x:is>
      </x:c>
      <x:c r="Q825" s="3" t="inlineStr">
        <x:is>
          <x:t/>
        </x:is>
      </x:c>
    </x:row>
    <x:row r="826">
      <x:c r="A826" s="10" t="inlineStr">
        <x:f xml:space="preserve">HYPERLINK("http://sipi.sic.gov.co/sipi/View.ashx?4546861","SD2022/0143728")</x:f>
      </x:c>
      <x:c r="B826" s="3" t="inlineStr">
        <x:is>
          <x:t>ECLII SOULS</x:t>
        </x:is>
      </x:c>
      <x:c r="C826" s="9" t="inlineStr">
        <x:is>
          <x:t/>
        </x:is>
      </x:c>
      <x:c r="D826" s="3" t="inlineStr">
        <x:is>
          <x:t>31 dic. 2022</x:t>
        </x:is>
      </x:c>
      <x:c r="E826" s="3" t="inlineStr">
        <x:is>
          <x:t/>
        </x:is>
      </x:c>
      <x:c r="F826" s="3" t="inlineStr">
        <x:is>
          <x:t>Negada</x:t>
        </x:is>
      </x:c>
      <x:c r="G826" s="3" t="inlineStr">
        <x:is>
          <x:t>Solicitud ECLII SOULS</x:t>
        </x:is>
      </x:c>
      <x:c r="H826" s="3" t="inlineStr">
        <x:is>
          <x:t>maria paulina duque navarro, cra 2 este # 70a-63, BOGOTA, CUNDINAMARCA, CO; MARIA CAMILA BOTERO SERNA, CARRERA 121 B 5 80, CALI, VALLE DEL CAUCA, CO</x:t>
        </x:is>
      </x:c>
      <x:c r="I826" s="3" t="inlineStr">
        <x:is>
          <x:t>3, 5</x:t>
        </x:is>
      </x:c>
      <x:c r="J826" s="3" t="inlineStr">
        <x:is>
          <x:t>11</x:t>
        </x:is>
      </x:c>
      <x:c r="K826" s="3" t="inlineStr">
        <x:is>
          <x:t>3. Champúes para el cabello; champús 3 en 1; champús acondicionadores; champús anticaspa; champús capilares; champús corporales; champús no medicinales; champús no medicinales contra la caspa; champús para el cabello y el cuerpo; champús y acondicionadores; aceites para el cabello; aceites suavizantes para el cabello; acondicionadores de cabello; acondicionadores para el cabello; bálsamos para el cabello; champús para el cabello; champús para el cabello humano; champús y acondicionadores para el cabello; cremas para el cabello; cremas para el cuidado del cabello; hidratantes para el cabello; productos hidratantes para el cabello; suavizantes para el cabello.
5. Champú para el crecimiento del cabello; champús medicinales; champús medicinales anticaspa; estimulantes para el crecimiento del cabello; preparaciones medicinales para el crecimiento del cabello.
</x:t>
        </x:is>
      </x:c>
      <x:c r="L826" s="3" t="inlineStr">
        <x:is>
          <x:t>No</x:t>
        </x:is>
      </x:c>
      <x:c r="M826" s="3" t="inlineStr">
        <x:is>
          <x:t>Estefania Hoyos Osorio , carrera 121 b # 5-80, CALI, VALLE DEL CAUCA 760008, CO</x:t>
        </x:is>
      </x:c>
      <x:c r="N826" s="3" t="inlineStr">
        <x:is>
          <x:t/>
        </x:is>
      </x:c>
      <x:c r="O826" s="3" t="inlineStr">
        <x:is>
          <x:t>17 abr. 2023</x:t>
        </x:is>
      </x:c>
      <x:c r="P826" s="3" t="inlineStr">
        <x:is>
          <x:t/>
        </x:is>
      </x:c>
      <x:c r="Q826" s="3" t="inlineStr">
        <x:is>
          <x:t/>
        </x:is>
      </x:c>
    </x:row>
    <x:row r="827">
      <x:c r="A827" s="10" t="inlineStr">
        <x:f xml:space="preserve">HYPERLINK("http://sipi.sic.gov.co/sipi/View.ashx?4546903","SD2022/0143743")</x:f>
      </x:c>
      <x:c r="B827" s="3" t="inlineStr">
        <x:is>
          <x:t>Doncella Cosmetics</x:t>
        </x:is>
      </x:c>
      <x:c r="C827" s="9" t="inlineStr">
        <x:is>
          <x:t/>
        </x:is>
      </x:c>
      <x:c r="D827" s="3" t="inlineStr">
        <x:is>
          <x:t>31 dic. 2022</x:t>
        </x:is>
      </x:c>
      <x:c r="E827" s="3" t="inlineStr">
        <x:is>
          <x:t/>
        </x:is>
      </x:c>
      <x:c r="F827" s="3" t="inlineStr">
        <x:is>
          <x:t>Negada</x:t>
        </x:is>
      </x:c>
      <x:c r="G827" s="3" t="inlineStr">
        <x:is>
          <x:t>Doncella</x:t>
        </x:is>
      </x:c>
      <x:c r="H827" s="3" t="inlineStr">
        <x:is>
          <x:t>CAMILA LOPERA DUQUE, cra 76 a 53 N. 35, MEDELLIN, ANTIOQUIA, CO</x:t>
        </x:is>
      </x:c>
      <x:c r="I827" s="3" t="inlineStr">
        <x:is>
          <x:t>3</x:t>
        </x:is>
      </x:c>
      <x:c r="J827" s="3" t="inlineStr">
        <x:is>
          <x:t>11</x:t>
        </x:is>
      </x:c>
      <x:c r="K827" s="3" t="inlineStr">
        <x:is>
          <x:t>3. Mascarillas de belleza para el cabello; cremas bálsamos de belleza; cosméticos de belleza; cremas de belleza para el rostro y el cuerpo; cosméticos para tratamiento de belleza cosméticos para el cuidado de belleza; preparaciones de cuidado corporal y de belleza para uso cosmético; productos cosméticos y de belleza; abrillantadores capilares; bálsamos capilares; bálsamos capilares no medicinales; champús capilares; cremas capilares; cremas de protección capilar, no medicinales; geles capilares; lociones capilares cosméticas; lociones capilares no medicinales; productos de perfumería, aceites esenciales, cosméticos no medicinales, lociones capilares no medicinales; mascarillas para el cuidado capilar; preparaciones capilares a base de aceite de coco virgen ecológico y de aceite de coco virgen; preparaciones capilares de protección solar; preparaciones capilares no medicamentosas; preparaciones capilares no medicinales; preparaciones cosméticas no medicamentosas para tratamientos capilares; preparaciones cosméticas no medicinales para tratamientos capilares; aceites esenciales; cosméticos no medicinales; productos cosméticos no medicinales; lociones capilares reparadoras no medicinales; lociones capilares*; preparaciones cosméticas para el cuidado y el tratamiento de la piel; tratamientos de alisado para el cabello; tratamientos de cera para el cabello; tratamientos de queratina para el cabello.
</x:t>
        </x:is>
      </x:c>
      <x:c r="L827" s="3" t="inlineStr">
        <x:is>
          <x:t>No</x:t>
        </x:is>
      </x:c>
      <x:c r="M827" s="3" t="inlineStr">
        <x:is>
          <x:t/>
        </x:is>
      </x:c>
      <x:c r="N827" s="3" t="inlineStr">
        <x:is>
          <x:t/>
        </x:is>
      </x:c>
      <x:c r="O827" s="3" t="inlineStr">
        <x:is>
          <x:t>29 may. 2023</x:t>
        </x:is>
      </x:c>
      <x:c r="P827" s="3" t="inlineStr">
        <x:is>
          <x:t/>
        </x:is>
      </x:c>
      <x:c r="Q827" s="3" t="inlineStr">
        <x:is>
          <x:t/>
        </x:is>
      </x:c>
    </x:row>
    <x:row r="828">
      <x:c r="A828" s="10" t="inlineStr">
        <x:f xml:space="preserve">HYPERLINK("http://sipi.sic.gov.co/sipi/View.ashx?4546932","SD2022/0143812")</x:f>
      </x:c>
      <x:c r="B828" s="3" t="inlineStr">
        <x:is>
          <x:t>glam hair by brenda</x:t>
        </x:is>
      </x:c>
      <x:c r="C828" s="9" t="inlineStr">
        <x:is>
          <x:t/>
        </x:is>
      </x:c>
      <x:c r="D828" s="3" t="inlineStr">
        <x:is>
          <x:t>31 dic. 2022</x:t>
        </x:is>
      </x:c>
      <x:c r="E828" s="3" t="inlineStr">
        <x:is>
          <x:t/>
        </x:is>
      </x:c>
      <x:c r="F828" s="3" t="inlineStr">
        <x:is>
          <x:t>Negada</x:t>
        </x:is>
      </x:c>
      <x:c r="G828" s="3" t="inlineStr">
        <x:is>
          <x:t>0000</x:t>
        </x:is>
      </x:c>
      <x:c r="H828" s="3" t="inlineStr">
        <x:is>
          <x:t>Brenda Dayanna Huertas Gaviria, calle 41 SUR # 3C -82 ESTE, BOGOTÁ, D.C. 57, CO</x:t>
        </x:is>
      </x:c>
      <x:c r="I828" s="3" t="inlineStr">
        <x:is>
          <x:t>3</x:t>
        </x:is>
      </x:c>
      <x:c r="J828" s="3" t="inlineStr">
        <x:is>
          <x:t>11</x:t>
        </x:is>
      </x:c>
      <x:c r="K828" s="3" t="inlineStr">
        <x:is>
          <x:t>3. Champús capilares; mascarillas para el cuidado capilar.
</x:t>
        </x:is>
      </x:c>
      <x:c r="L828" s="3" t="inlineStr">
        <x:is>
          <x:t>No</x:t>
        </x:is>
      </x:c>
      <x:c r="M828" s="3" t="inlineStr">
        <x:is>
          <x:t/>
        </x:is>
      </x:c>
      <x:c r="N828" s="3" t="inlineStr">
        <x:is>
          <x:t/>
        </x:is>
      </x:c>
      <x:c r="O828" s="3" t="inlineStr">
        <x:is>
          <x:t>29 may. 2023</x:t>
        </x:is>
      </x:c>
      <x:c r="P828" s="3" t="inlineStr">
        <x:is>
          <x:t/>
        </x:is>
      </x:c>
      <x:c r="Q828" s="3" t="inlineStr">
        <x:is>
          <x:t/>
        </x:is>
      </x:c>
    </x:row>
    <x:row r="829">
      <x:c r="A829" s="10" t="inlineStr">
        <x:f xml:space="preserve">HYPERLINK("http://sipi.sic.gov.co/sipi/View.ashx?4547005","SD2022/0143797")</x:f>
      </x:c>
      <x:c r="B829" s="3" t="inlineStr">
        <x:is>
          <x:t>DERMALIZ - Estética y cosmetología</x:t>
        </x:is>
      </x:c>
      <x:c r="C829" s="3" t="inlineStr">
        <x:is>
          <x:t/>
        </x:is>
      </x:c>
      <x:c r="D829" s="3" t="inlineStr">
        <x:is>
          <x:t>31 dic. 2022</x:t>
        </x:is>
      </x:c>
      <x:c r="E829" s="3" t="inlineStr">
        <x:is>
          <x:t/>
        </x:is>
      </x:c>
      <x:c r="F829" s="3" t="inlineStr">
        <x:is>
          <x:t>Negada</x:t>
        </x:is>
      </x:c>
      <x:c r="G829" s="3" t="inlineStr">
        <x:is>
          <x:t>Solicitud - Dermaliz</x:t>
        </x:is>
      </x:c>
      <x:c r="H829" s="3" t="inlineStr">
        <x:is>
          <x:t>VICTOR ANDRÉS VARGAS PULIDO, Calle 14A #11A-04, TUNJA, BOYACA, CO</x:t>
        </x:is>
      </x:c>
      <x:c r="I829" s="3" t="inlineStr">
        <x:is>
          <x:t>3</x:t>
        </x:is>
      </x:c>
      <x:c r="J829" s="3" t="inlineStr">
        <x:is>
          <x:t>11</x:t>
        </x:is>
      </x:c>
      <x:c r="K829" s="3" t="inlineStr">
        <x:is>
          <x:t>3. Cosméticos; cosméticos de belleza; cosméticos naturales; aceites esenciales; cremas de limpieza para uso cosmético; cremas de masaje cosméticas; cremas de noche; cremas faciales; cosméticos en forma de cremas; crema corporal; crema limpiadora.
</x:t>
        </x:is>
      </x:c>
      <x:c r="L829" s="3" t="inlineStr">
        <x:is>
          <x:t>No</x:t>
        </x:is>
      </x:c>
      <x:c r="M829" s="3" t="inlineStr">
        <x:is>
          <x:t>María Fernanda Duarte Correa, cra 72A no. 30A - 13, MEDELLIN, ANTIOQUIA, CO</x:t>
        </x:is>
      </x:c>
      <x:c r="N829" s="3" t="inlineStr">
        <x:is>
          <x:t/>
        </x:is>
      </x:c>
      <x:c r="O829" s="3" t="inlineStr">
        <x:is>
          <x:t>08 may. 2023</x:t>
        </x:is>
      </x:c>
      <x:c r="P829" s="3" t="inlineStr">
        <x:is>
          <x:t/>
        </x:is>
      </x:c>
      <x:c r="Q829" s="3" t="inlineStr">
        <x:is>
          <x:t/>
        </x:is>
      </x:c>
    </x:row>
    <x:row r="830">
      <x:c r="A830" s="10" t="inlineStr">
        <x:f xml:space="preserve">HYPERLINK("http://sipi.sic.gov.co/sipi/View.ashx?4547034","SD2022/0143807")</x:f>
      </x:c>
      <x:c r="B830" s="3" t="inlineStr">
        <x:is>
          <x:t>Hg Hair</x:t>
        </x:is>
      </x:c>
      <x:c r="C830" s="9" t="inlineStr">
        <x:is>
          <x:t/>
        </x:is>
      </x:c>
      <x:c r="D830" s="3" t="inlineStr">
        <x:is>
          <x:t>31 dic. 2022</x:t>
        </x:is>
      </x:c>
      <x:c r="E830" s="3" t="inlineStr">
        <x:is>
          <x:t/>
        </x:is>
      </x:c>
      <x:c r="F830" s="3" t="inlineStr">
        <x:is>
          <x:t>Negada</x:t>
        </x:is>
      </x:c>
      <x:c r="G830" s="3" t="inlineStr">
        <x:is>
          <x:t>registro de marca </x:t>
        </x:is>
      </x:c>
      <x:c r="H830" s="3" t="inlineStr">
        <x:is>
          <x:t>HEIDY ANDREA  PEREZ TORRENEGRA , CRA 26B # 68B-94, BARRANQUILLA, ATLÁNTICO 08, CO</x:t>
        </x:is>
      </x:c>
      <x:c r="I830" s="3" t="inlineStr">
        <x:is>
          <x:t>3</x:t>
        </x:is>
      </x:c>
      <x:c r="J830" s="3" t="inlineStr">
        <x:is>
          <x:t>11</x:t>
        </x:is>
      </x:c>
      <x:c r="K830" s="3" t="inlineStr">
        <x:is>
          <x:t>3. Aceites destilados para el cuidado de belleza; cosméticos de belleza; cosméticos para tratamiento de belleza cosméticos para el cuidado de belleza; cremas bálsamos de belleza; cremas de belleza; cremas de belleza para el cuerpo; cremas de belleza para el rostro y el cuerpo; geles de belleza; leches de belleza; lociones de belleza; mascarillas de belleza; mascarillas de belleza para el cabello; mascarillas de belleza para las manos; preparaciones para cuidados corporales y de belleza; preparaciones para el cuidado del cuerpo y la belleza; preparaciones para el cuidado y la belleza personal.
</x:t>
        </x:is>
      </x:c>
      <x:c r="L830" s="3" t="inlineStr">
        <x:is>
          <x:t>No</x:t>
        </x:is>
      </x:c>
      <x:c r="M830" s="3" t="inlineStr">
        <x:is>
          <x:t/>
        </x:is>
      </x:c>
      <x:c r="N830" s="3" t="inlineStr">
        <x:is>
          <x:t/>
        </x:is>
      </x:c>
      <x:c r="O830" s="3" t="inlineStr">
        <x:is>
          <x:t>28 ago. 2023</x:t>
        </x:is>
      </x:c>
      <x:c r="P830" s="3" t="inlineStr">
        <x:is>
          <x:t/>
        </x:is>
      </x:c>
      <x:c r="Q830" s="3" t="inlineStr">
        <x:is>
          <x:t/>
        </x:is>
      </x:c>
    </x:row>
    <x:row r="831">
      <x:c r="A831" s="10" t="inlineStr">
        <x:f xml:space="preserve">HYPERLINK("http://sipi.sic.gov.co/sipi/View.ashx?4547353","SD2022/0143893")</x:f>
      </x:c>
      <x:c r="B831" s="3" t="inlineStr">
        <x:is>
          <x:t>MUSSA SPA</x:t>
        </x:is>
      </x:c>
      <x:c r="C831" s="3" t="inlineStr">
        <x:is>
          <x:t/>
        </x:is>
      </x:c>
      <x:c r="D831" s="3" t="inlineStr">
        <x:is>
          <x:t>31 dic. 2022</x:t>
        </x:is>
      </x:c>
      <x:c r="E831" s="3" t="inlineStr">
        <x:is>
          <x:t/>
        </x:is>
      </x:c>
      <x:c r="F831" s="3" t="inlineStr">
        <x:is>
          <x:t>Negada</x:t>
        </x:is>
      </x:c>
      <x:c r="G831" s="3" t="inlineStr">
        <x:is>
          <x:t/>
        </x:is>
      </x:c>
      <x:c r="H831" s="3" t="inlineStr">
        <x:is>
          <x:t>LUISA FERNANDA GIRALDO CASTAÑO, CRA 56 # 8 A 11, MEDELLIN, ANTIOQUIA, CO</x:t>
        </x:is>
      </x:c>
      <x:c r="I831" s="3" t="inlineStr">
        <x:is>
          <x:t>3</x:t>
        </x:is>
      </x:c>
      <x:c r="J831" s="3" t="inlineStr">
        <x:is>
          <x:t>11</x:t>
        </x:is>
      </x:c>
      <x:c r="K831" s="3" t="inlineStr">
        <x:is>
          <x:t>3. Brillos de uñas para aplicar sobre el esmalte; esmaltes de base para las uñas [productos cosméticos]; esmaltes de uñas en gel; kits para el cuidado de las uñas que comprenden principalmente esmaltes de uñas, quitaesmaltes y uñas postizas.
</x:t>
        </x:is>
      </x:c>
      <x:c r="L831" s="3" t="inlineStr">
        <x:is>
          <x:t>No</x:t>
        </x:is>
      </x:c>
      <x:c r="M831" s="3" t="inlineStr">
        <x:is>
          <x:t>paula andrea velasquez alarcon, carrera56 # 8 a 13, MEDELLIN, ANTIOQUIA, CO</x:t>
        </x:is>
      </x:c>
      <x:c r="N831" s="3" t="inlineStr">
        <x:is>
          <x:t/>
        </x:is>
      </x:c>
      <x:c r="O831" s="3" t="inlineStr">
        <x:is>
          <x:t>05 abr. 2023</x:t>
        </x:is>
      </x:c>
      <x:c r="P831" s="3" t="inlineStr">
        <x:is>
          <x:t/>
        </x:is>
      </x:c>
      <x:c r="Q831" s="3" t="inlineStr">
        <x:is>
          <x:t/>
        </x:is>
      </x:c>
    </x:row>
    <x:row r="832">
      <x:c r="A832" s="10" t="inlineStr">
        <x:f xml:space="preserve">HYPERLINK("http://sipi.sic.gov.co/sipi/View.ashx?4547449","SD2022/0143936")</x:f>
      </x:c>
      <x:c r="B832" s="3" t="inlineStr">
        <x:is>
          <x:t>smells like edén </x:t>
        </x:is>
      </x:c>
      <x:c r="C832" s="9" t="inlineStr">
        <x:is>
          <x:t/>
        </x:is>
      </x:c>
      <x:c r="D832" s="3" t="inlineStr">
        <x:is>
          <x:t>31 dic. 2022</x:t>
        </x:is>
      </x:c>
      <x:c r="E832" s="3" t="inlineStr">
        <x:is>
          <x:t/>
        </x:is>
      </x:c>
      <x:c r="F832" s="3" t="inlineStr">
        <x:is>
          <x:t>Negada</x:t>
        </x:is>
      </x:c>
      <x:c r="G832" s="3" t="inlineStr">
        <x:is>
          <x:t/>
        </x:is>
      </x:c>
      <x:c r="H832" s="3" t="inlineStr">
        <x:is>
          <x:t>Manuel José Restrepo Arboleda , Calle 70 Sur #38-358, SABANETA, ANTIOQUIA 055457, CO</x:t>
        </x:is>
      </x:c>
      <x:c r="I832" s="3" t="inlineStr">
        <x:is>
          <x:t>3, 4</x:t>
        </x:is>
      </x:c>
      <x:c r="J832" s="3" t="inlineStr">
        <x:is>
          <x:t>11</x:t>
        </x:is>
      </x:c>
      <x:c r="K832" s="3" t="inlineStr">
        <x:is>
          <x:t>3. Colonias, perfumes y productos cosméticos; perfumes; perfumes líquidos; perfumes y aguas de colonia; perfumes y aguas de tocador.
4. Velas [iluminación]; velas aromáticas; velas de fragancia para aromaterapia; velas perfumadas.
</x:t>
        </x:is>
      </x:c>
      <x:c r="L832" s="3" t="inlineStr">
        <x:is>
          <x:t>No</x:t>
        </x:is>
      </x:c>
      <x:c r="M832" s="3" t="inlineStr">
        <x:is>
          <x:t/>
        </x:is>
      </x:c>
      <x:c r="N832" s="3" t="inlineStr">
        <x:is>
          <x:t/>
        </x:is>
      </x:c>
      <x:c r="O832" s="3" t="inlineStr">
        <x:is>
          <x:t>27 mar. 2023</x:t>
        </x:is>
      </x:c>
      <x:c r="P832" s="3" t="inlineStr">
        <x:is>
          <x:t/>
        </x:is>
      </x:c>
      <x:c r="Q832" s="3" t="inlineStr">
        <x:is>
          <x:t/>
        </x:is>
      </x:c>
    </x:row>
    <x:row r="833">
      <x:c r="A833" s="10" t="inlineStr">
        <x:f xml:space="preserve">HYPERLINK("http://sipi.sic.gov.co/sipi/View.ashx?4547903","SD2022/0144109")</x:f>
      </x:c>
      <x:c r="B833" s="3" t="inlineStr">
        <x:is>
          <x:t>GRETCHEM POMPONNETTE</x:t>
        </x:is>
      </x:c>
      <x:c r="C833" s="9" t="inlineStr">
        <x:is>
          <x:t/>
        </x:is>
      </x:c>
      <x:c r="D833" s="3" t="inlineStr">
        <x:is>
          <x:t>31 dic. 2022</x:t>
        </x:is>
      </x:c>
      <x:c r="E833" s="3" t="inlineStr">
        <x:is>
          <x:t/>
        </x:is>
      </x:c>
      <x:c r="F833" s="3" t="inlineStr">
        <x:is>
          <x:t>Negada</x:t>
        </x:is>
      </x:c>
      <x:c r="G833" s="3" t="inlineStr">
        <x:is>
          <x:t>GRETCHEM POMPONNETE</x:t>
        </x:is>
      </x:c>
      <x:c r="H833" s="3" t="inlineStr">
        <x:is>
          <x:t>GRETCHEM ADARA ZURIQUE PEDROZA, SOCORRO PLAN 500 B MZ 81  LT 2, CARTAGENA, BOLIVAR 130001, CO</x:t>
        </x:is>
      </x:c>
      <x:c r="I833" s="3" t="inlineStr">
        <x:is>
          <x:t>3</x:t>
        </x:is>
      </x:c>
      <x:c r="J833" s="3" t="inlineStr">
        <x:is>
          <x:t>11</x:t>
        </x:is>
      </x:c>
      <x:c r="K833" s="3" t="inlineStr">
        <x:is>
          <x:t>3. Jabones corporales no medicados; jabones cosméticos; jabones de baño; jabones de tocador; jabones de tocador perfumados; jabones desodorantes; jabones faciales; jabones industriales; jabones líquidos; jabones para lavar la ropa; jabones para uso doméstico; jabones para uso personal; aceites perfumados para fabricar preparaciones cosméticas; agentes y preparaciones de limpieza; almohadillas, toallitas o pañitos húmedos o impregnados de preparaciones limpiadoras; cosméticos funcionales en cuanto preparaciones para blanquear la piel; cosméticos y preparaciones cosméticas; cosméticos y preparaciones de cuidado personal; lociones, cremas y preparaciones para el cuidado de la cara, cuerpo, cuero cabelludo, uñas y cabello; lociones, cremas y preparaciones para el cuidado del rostro, cuerpo, cuero cabelludo, uñas y cabello; preparaciones cosméticas; preparaciones cosméticas de cuidado facial; preparaciones cosméticas no espumantes; preparaciones cosméticas no medicinales para tratamientos capilares; preparaciones cosméticas para el baño; preparaciones cosméticas para el cuidado y el tratamiento de la piel; preparaciones cosméticas para el rostro y el cuerpo; preparaciones cosméticas para el tratamiento de la piel; bálsamos [cremas] para disimular las imperfecciones de la piel; cremas acondicionadoras; cremas antiarrugas; cremas antienvejecimiento para uso cosmético; cremas bronceadoras; cremas bálsamos de belleza; cremas capilares; cremas corporales; cremas cosméticas para el cuidado de la piel; cremas cosméticas para el rostro; cremas de belleza; cremas de limpieza; tónicos cosméticos; tónicos cosméticos para la cara; tónicos no medicinales para la piel; aceites cosméticos para la piel; acondicionadores para la piel; correctores para disimular manchas e imperfecciones de la piel; cremas cosméticas para la piel; bases de maquillaje; kits de cosméticos que comprenden principalmente máscara de pestañas, lápices de labios, lápices de cejas, maquillaje, fundación de maquillaje y brillos de labios; maquillaje; maquillaje para el cuerpo; maquillaje para el rostro; maquillaje para el rostro y el cuerpo; maquillaje para la cara y el cuerpo; maquillajes de ojos; maquillajes faciales; acondicionadores de cabello; acondicionadores para el cabello; adhesivos para pestañas, cabello y uñas postizos; agua oxigenada para el cabello; champús para el cabello; champús para el cabello y el cuerpo; colorantes para el cabello; cosméticos para el cabello; cremas para el cuidado del cabello; enjuagues para el cabello; cremas, lociones y geles hidratantes; leches, geles, lociones y cremas desmaquillantes; lociones corporales; lociones cosméticas para la cara; cosméticos de belleza; bases para esmaltes de uñas; brillos de uñas para aplicar sobre el esmalte; escarcha para las uñas; esmaltes de uñas; esmaltes de uñas en gel; esmaltes de uñas y quitaesmaltes; kits para el cuidado de las uñas que comprenden lacas de uñas y quitaesmaltes; kits para el cuidado de las uñas que comprenden principalmente esmaltes de uñas, quitaesmaltes y uñas postizas; preparaciones cosméticas para las uñas; preparaciones cosméticas para secar esmaltes de uñas; quitaesmaltes de uñas [cosméticos]; uñas postizas; preparaciones para limpiar, teñir, colorear, decolorar, marcar y peinar el cabello.
</x:t>
        </x:is>
      </x:c>
      <x:c r="L833" s="3" t="inlineStr">
        <x:is>
          <x:t>No</x:t>
        </x:is>
      </x:c>
      <x:c r="M833" s="3" t="inlineStr">
        <x:is>
          <x:t>Heidy Vega Guerrero, Condominio el Portillo torre 2 apto 105, TURBACO, BOLIVAR 001, CO</x:t>
        </x:is>
      </x:c>
      <x:c r="N833" s="3" t="inlineStr">
        <x:is>
          <x:t/>
        </x:is>
      </x:c>
      <x:c r="O833" s="3" t="inlineStr">
        <x:is>
          <x:t>08 may. 2023</x:t>
        </x:is>
      </x:c>
      <x:c r="P833" s="3" t="inlineStr">
        <x:is>
          <x:t/>
        </x:is>
      </x:c>
      <x:c r="Q833" s="3" t="inlineStr">
        <x:is>
          <x:t/>
        </x:is>
      </x:c>
    </x:row>
    <x:row r="834">
      <x:c r="A834" s="10" t="inlineStr">
        <x:f xml:space="preserve">HYPERLINK("http://sipi.sic.gov.co/sipi/View.ashx?4548271","SD2022/0144249")</x:f>
      </x:c>
      <x:c r="B834" s="3" t="inlineStr">
        <x:is>
          <x:t>Angelus Makeup </x:t>
        </x:is>
      </x:c>
      <x:c r="C834" s="9" t="inlineStr">
        <x:is>
          <x:t/>
        </x:is>
      </x:c>
      <x:c r="D834" s="3" t="inlineStr">
        <x:is>
          <x:t>31 dic. 2022</x:t>
        </x:is>
      </x:c>
      <x:c r="E834" s="3" t="inlineStr">
        <x:is>
          <x:t/>
        </x:is>
      </x:c>
      <x:c r="F834" s="3" t="inlineStr">
        <x:is>
          <x:t>Negada</x:t>
        </x:is>
      </x:c>
      <x:c r="G834" s="3" t="inlineStr">
        <x:is>
          <x:t>001</x:t>
        </x:is>
      </x:c>
      <x:c r="H834" s="3" t="inlineStr">
        <x:is>
          <x:t>ANGELA  DELGADO AYALA , Calle 57 N#3B 20, CALI, VALLE DEL CAUCA 760002, CO</x:t>
        </x:is>
      </x:c>
      <x:c r="I834" s="3" t="inlineStr">
        <x:is>
          <x:t>3, 41</x:t>
        </x:is>
      </x:c>
      <x:c r="J834" s="3" t="inlineStr">
        <x:is>
          <x:t>11</x:t>
        </x:is>
      </x:c>
      <x:c r="K834" s="3" t="inlineStr">
        <x:is>
          <x: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41. 410230 - servicios de pintura facial; 410017 - educación / enseñanza / instrucción [enseñanza] / servicios educativos.
</x:t>
        </x:is>
      </x:c>
      <x:c r="L834" s="3" t="inlineStr">
        <x:is>
          <x:t>Sí</x:t>
        </x:is>
      </x:c>
      <x:c r="M834" s="3" t="inlineStr">
        <x:is>
          <x:t/>
        </x:is>
      </x:c>
      <x:c r="N834" s="3" t="inlineStr">
        <x:is>
          <x:t/>
        </x:is>
      </x:c>
      <x:c r="O834" s="3" t="inlineStr">
        <x:is>
          <x:t>15 ene. 2024</x:t>
        </x:is>
      </x:c>
      <x:c r="P834" s="3" t="inlineStr">
        <x:is>
          <x:t/>
        </x:is>
      </x:c>
      <x:c r="Q834" s="3" t="inlineStr">
        <x:is>
          <x:t/>
        </x:is>
      </x:c>
    </x:row>
    <x:row r="835">
      <x:c r="A835" s="10" t="inlineStr">
        <x:f xml:space="preserve">HYPERLINK("http://sipi.sic.gov.co/sipi/View.ashx?4548309","SD2022/0144228")</x:f>
      </x:c>
      <x:c r="B835" s="3" t="inlineStr">
        <x:is>
          <x:t>BIOCAPIL</x:t>
        </x:is>
      </x:c>
      <x:c r="C835" s="3" t="inlineStr">
        <x:is>
          <x:t/>
        </x:is>
      </x:c>
      <x:c r="D835" s="3" t="inlineStr">
        <x:is>
          <x:t>31 dic. 2022</x:t>
        </x:is>
      </x:c>
      <x:c r="E835" s="3" t="inlineStr">
        <x:is>
          <x:t/>
        </x:is>
      </x:c>
      <x:c r="F835" s="3" t="inlineStr">
        <x:is>
          <x:t>Negada</x:t>
        </x:is>
      </x:c>
      <x:c r="G835" s="3" t="inlineStr">
        <x:is>
          <x:t/>
        </x:is>
      </x:c>
      <x:c r="H835" s="3" t="inlineStr">
        <x:is>
          <x:t>ALISSON ROMERO MADRIGAL, Diagonal 16b- No. 108-25, BOGOTÁ, D.C., CO</x:t>
        </x:is>
      </x:c>
      <x:c r="I835" s="3" t="inlineStr">
        <x:is>
          <x:t>3</x:t>
        </x:is>
      </x:c>
      <x:c r="J835" s="3" t="inlineStr">
        <x:is>
          <x:t>11</x:t>
        </x:is>
      </x:c>
      <x:c r="K835" s="3" t="inlineStr">
        <x:is>
          <x:t>3. Cosméticos y productos de aseo personal.
</x:t>
        </x:is>
      </x:c>
      <x:c r="L835" s="3" t="inlineStr">
        <x:is>
          <x:t>Sí</x:t>
        </x:is>
      </x:c>
      <x:c r="M835" s="3" t="inlineStr">
        <x:is>
          <x:t/>
        </x:is>
      </x:c>
      <x:c r="N835" s="3" t="inlineStr">
        <x:is>
          <x:t/>
        </x:is>
      </x:c>
      <x:c r="O835" s="3" t="inlineStr">
        <x:is>
          <x:t>08 may. 2023</x:t>
        </x:is>
      </x:c>
      <x:c r="P835" s="3" t="inlineStr">
        <x:is>
          <x:t/>
        </x:is>
      </x:c>
      <x:c r="Q835" s="3" t="inlineStr">
        <x:is>
          <x:t/>
        </x:is>
      </x:c>
    </x:row>
    <x:row r="836">
      <x:c r="A836" s="10" t="inlineStr">
        <x:f xml:space="preserve">HYPERLINK("http://sipi.sic.gov.co/sipi/View.ashx?4548422","SD2022/0144478")</x:f>
      </x:c>
      <x:c r="B836" s="3" t="inlineStr">
        <x:is>
          <x:t>KAMME.CO</x:t>
        </x:is>
      </x:c>
      <x:c r="C836" s="3" t="inlineStr">
        <x:is>
          <x:t/>
        </x:is>
      </x:c>
      <x:c r="D836" s="3" t="inlineStr">
        <x:is>
          <x:t>31 dic. 2022</x:t>
        </x:is>
      </x:c>
      <x:c r="E836" s="3" t="inlineStr">
        <x:is>
          <x:t/>
        </x:is>
      </x:c>
      <x:c r="F836" s="3" t="inlineStr">
        <x:is>
          <x:t>Negada</x:t>
        </x:is>
      </x:c>
      <x:c r="G836" s="3" t="inlineStr">
        <x:is>
          <x:t>KAMME.co</x:t>
        </x:is>
      </x:c>
      <x:c r="H836" s="3" t="inlineStr">
        <x:is>
          <x:t>KATHERINE  OSPINA DUQUE, CALLE 33 AA 80 C 47, MEDELLIN, ANTIOQUIA, CO</x:t>
        </x:is>
      </x:c>
      <x:c r="I836" s="3" t="inlineStr">
        <x:is>
          <x:t>3, 5</x:t>
        </x:is>
      </x:c>
      <x:c r="J836" s="3" t="inlineStr">
        <x:is>
          <x:t>11</x:t>
        </x:is>
      </x:c>
      <x:c r="K836" s="3" t="inlineStr">
        <x:is>
          <x:t>3. Champús capilares; champús para el cabello; champús y acondicionadores para el cabello; champús anticaspa; champús no medicinales contra la caspa; cremas capilares; lociones capilares cosméticas; mascarillas para el cuidado capilar; preparaciones capilares no medicinales; preparaciones cosméticas no medicinales para tratamientos capilares; bálsamos capilares; tónicos capilares para uso no médico; Aceites capilares; preparaciones de colágeno para uso capilar; preparaciones de biotina para uso capilar.
5. Preparaciones vitamínicas para la alimentación humana; complementos vitamínicos, complementos; dietéticos de vitaminas, preparaciones que contienen vitamina b, complementos nutricionales y alimenticios; champús medicinales.
</x:t>
        </x:is>
      </x:c>
      <x:c r="L836" s="3" t="inlineStr">
        <x:is>
          <x:t>No</x:t>
        </x:is>
      </x:c>
      <x:c r="M836" s="3" t="inlineStr">
        <x:is>
          <x:t/>
        </x:is>
      </x:c>
      <x:c r="N836" s="3" t="inlineStr">
        <x:is>
          <x:t/>
        </x:is>
      </x:c>
      <x:c r="O836" s="3" t="inlineStr">
        <x:is>
          <x:t>08 may. 2023</x:t>
        </x:is>
      </x:c>
      <x:c r="P836" s="3" t="inlineStr">
        <x:is>
          <x:t/>
        </x:is>
      </x:c>
      <x:c r="Q836" s="3" t="inlineStr">
        <x:is>
          <x:t/>
        </x:is>
      </x:c>
    </x:row>
    <x:row r="837">
      <x:c r="A837" s="10" t="inlineStr">
        <x:f xml:space="preserve">HYPERLINK("http://sipi.sic.gov.co/sipi/View.ashx?4548548","SD2022/0144349")</x:f>
      </x:c>
      <x:c r="B837" s="3" t="inlineStr">
        <x:is>
          <x:t>Yasss</x:t>
        </x:is>
      </x:c>
      <x:c r="C837" s="9" t="inlineStr">
        <x:is>
          <x:t/>
        </x:is>
      </x:c>
      <x:c r="D837" s="3" t="inlineStr">
        <x:is>
          <x:t>31 dic. 2022</x:t>
        </x:is>
      </x:c>
      <x:c r="E837" s="3" t="inlineStr">
        <x:is>
          <x:t/>
        </x:is>
      </x:c>
      <x:c r="F837" s="3" t="inlineStr">
        <x:is>
          <x:t>Negada</x:t>
        </x:is>
      </x:c>
      <x:c r="G837" s="3" t="inlineStr">
        <x:is>
          <x:t>Yasss</x:t>
        </x:is>
      </x:c>
      <x:c r="H837" s="3" t="inlineStr">
        <x:is>
          <x:t>Juan Pablo Velasquez Garrido, Cll 127C #78A-47, BOGOTÁ, D.C. 111121, CO</x:t>
        </x:is>
      </x:c>
      <x:c r="I837" s="3" t="inlineStr">
        <x:is>
          <x:t>3</x:t>
        </x:is>
      </x:c>
      <x:c r="J837" s="3" t="inlineStr">
        <x:is>
          <x:t>11</x:t>
        </x:is>
      </x:c>
      <x:c r="K837" s="3" t="inlineStr">
        <x:is>
          <x:t>3. Aceites para después del sol [productos cosméticos]; correctores de imperfecciones [productos cosméticos]; geles para después del sol [productos cosméticos]; leches para después del sol [productos cosméticos]; mascarillas faciales [productos cosméticos]; preparaciones de protección solar [productos cosméticos]; protectores solares para los labios [productos cosméticos]; colonias, perfumes y productos cosméticos; pañitos de limpieza impregnados con preparaciones de tocador; productos cosméticos para el cuidado de la piel; productos cosméticos decorativos; productos cosméticos para la piel; productos cosméticos para uso personal; productos cosméticos y de belleza; productos cosméticos y de maquillaje; productos cosméticos y de tocador; productos cosméticos, a saber, leches, lociones y emulsiones; productos cosméticos, a saber, lociones; toallitas impregnadas de productos cosméticos; productos de afeitar; bálsamos labiales; desmaquilladores; lociones capilares*; acondicionadores de cabello; champús capilares; aguas de tocador; bálsamos labiales no medicinales; sombras de ojos; rubores para las mejillas; polvos de maquillaje; coloretes; desodorantes corporales; mascarillas de belleza; mascarillas de belleza para el cabello; mascarillas de belleza para el contorno de los ojos; cremas corporales [cosméticos]; jabones de baño; jabones de ducha; jabones líquidos; jabones vegetales; exfoliante corporal.
</x:t>
        </x:is>
      </x:c>
      <x:c r="L837" s="3" t="inlineStr">
        <x:is>
          <x:t>No</x:t>
        </x:is>
      </x:c>
      <x:c r="M837" s="3" t="inlineStr">
        <x:is>
          <x:t/>
        </x:is>
      </x:c>
      <x:c r="N837" s="3" t="inlineStr">
        <x:is>
          <x:t/>
        </x:is>
      </x:c>
      <x:c r="O837" s="3" t="inlineStr">
        <x:is>
          <x:t>31 jul. 2023</x:t>
        </x:is>
      </x:c>
      <x:c r="P837" s="3" t="inlineStr">
        <x:is>
          <x:t/>
        </x:is>
      </x:c>
      <x:c r="Q837" s="3" t="inlineStr">
        <x:is>
          <x:t/>
        </x:is>
      </x:c>
    </x:row>
  </x:sheetData>
  <x:drawing xmlns:r="http://schemas.openxmlformats.org/officeDocument/2006/relationships" r:id="R542173bd6cc64b4e"/>
</x:worksheet>
</file>