
<file path=[Content_Types].xml><?xml version="1.0" encoding="utf-8"?>
<Types xmlns="http://schemas.openxmlformats.org/package/2006/content-types">
  <Default Extension="bin"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UARIO\Desktop\Proyecto negación marcas\"/>
    </mc:Choice>
  </mc:AlternateContent>
  <xr:revisionPtr revIDLastSave="0" documentId="8_{83E7D3B7-65B5-4A0B-A03D-A264692CF76A}"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98" i="1" l="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alcChain>
</file>

<file path=xl/sharedStrings.xml><?xml version="1.0" encoding="utf-8"?>
<sst xmlns="http://schemas.openxmlformats.org/spreadsheetml/2006/main" count="15826" uniqueCount="3366">
  <si>
    <t>Superintendencia de Industria y Comercio de Colombia (SIC) - Reporte detallado de solicitudes</t>
  </si>
  <si>
    <t>Fecha y hora: 05 ene. 2025 08:40:33 a.m.</t>
  </si>
  <si>
    <t>Criterio de búsqueda:</t>
  </si>
  <si>
    <t>los criterios de búsqueda seleccionados coinciden con los criterios de búsqueda que el usuario entra en el campo de búsqueda en la pantalla de búsqueda, por ejemplo.</t>
  </si>
  <si>
    <t>Tipo de caso:</t>
  </si>
  <si>
    <t>SD Solicitud de Signos Distintivos</t>
  </si>
  <si>
    <t>Fecha de presentación:</t>
  </si>
  <si>
    <t>De</t>
  </si>
  <si>
    <t>01 ene. 2022</t>
  </si>
  <si>
    <t>Para</t>
  </si>
  <si>
    <t>30 jun. 2023</t>
  </si>
  <si>
    <t>Good and Services Class(es)_ES:</t>
  </si>
  <si>
    <t>5</t>
  </si>
  <si>
    <t>Estado:</t>
  </si>
  <si>
    <t>Negada; Negada;</t>
  </si>
  <si>
    <t>Naturaleza:</t>
  </si>
  <si>
    <t>Marca</t>
  </si>
  <si>
    <t>Número de caso</t>
  </si>
  <si>
    <t>Caso Título</t>
  </si>
  <si>
    <t>Imagen</t>
  </si>
  <si>
    <t>Fecha de radicación</t>
  </si>
  <si>
    <t>Vigencia</t>
  </si>
  <si>
    <t>Estado del Caso</t>
  </si>
  <si>
    <t>Referencia del solicitante</t>
  </si>
  <si>
    <t>Titular</t>
  </si>
  <si>
    <t>Descripción de Productos y Servicios</t>
  </si>
  <si>
    <t>Calendario Clasificación de Niza</t>
  </si>
  <si>
    <t>Productos y Servicios Descripción</t>
  </si>
  <si>
    <t>Bajo Oposición</t>
  </si>
  <si>
    <t>Apoderado</t>
  </si>
  <si>
    <t>Fecha de Registro</t>
  </si>
  <si>
    <t>Fecha de la publicación</t>
  </si>
  <si>
    <t>Fecha de prioridad</t>
  </si>
  <si>
    <t>Otra Información</t>
  </si>
  <si>
    <t>MALTAVITAN</t>
  </si>
  <si>
    <t/>
  </si>
  <si>
    <t>02 ene. 2022</t>
  </si>
  <si>
    <t>Negada</t>
  </si>
  <si>
    <t>MALTA05</t>
  </si>
  <si>
    <t>Pieter Carl Alexander Heshusius Florez, Carrera 15 # 79-36 of 301, BOGOTÁ, D.C. 00001, CO</t>
  </si>
  <si>
    <t>11</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</si>
  <si>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</si>
  <si>
    <t>No</t>
  </si>
  <si>
    <t>28 feb. 2022</t>
  </si>
  <si>
    <t>Nucleomax</t>
  </si>
  <si>
    <t>03 ene. 2022</t>
  </si>
  <si>
    <t>Ferrer Internacional, S.A., Av. Diagonal 549, BARCELONA, BARCELONA E-08029, ES</t>
  </si>
  <si>
    <t>5. Preparaciones farmacéuticas excluidas las veterinarias; preparaciones sanitarias para uso médico; sustancias dietéticas adaptadas para uso médico, alimento para bebés; desinfectantes.</t>
  </si>
  <si>
    <t>JUAN PABLO CONCHA DELGADO, AVENIDA 82 No. 10-62 PISO 5, BOGOTÁ, D.C., CO</t>
  </si>
  <si>
    <t>08 abr. 2022</t>
  </si>
  <si>
    <t>05 ago. 2021</t>
  </si>
  <si>
    <t>idime</t>
  </si>
  <si>
    <t>07 ene. 2022</t>
  </si>
  <si>
    <t>MC-01843</t>
  </si>
  <si>
    <t>INSTITUTO DE DIAGNÓSTICO MÉDICO S.A. IDIME S.A., CALLE 76 No. 13-46, BOGOTÁ, D.C., CO</t>
  </si>
  <si>
    <t>Sí</t>
  </si>
  <si>
    <t>PABLO ANDRES VELASCO ORDOÑEZ, CALLE 99 No. 7A-51, OF. 305 ED. SOO100, BOGOTÁ, D.C., CO</t>
  </si>
  <si>
    <t>08 mar. 2022</t>
  </si>
  <si>
    <t>La Marque</t>
  </si>
  <si>
    <t>06 ene. 2022</t>
  </si>
  <si>
    <t>Juan Jose Botero Duque, Calle 31 # 41 80, MEDELLIN, ANTIOQUIA, CO</t>
  </si>
  <si>
    <t>3, 5</t>
  </si>
  <si>
    <t>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bronceadoras.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t>
  </si>
  <si>
    <t>Esteban  Berrio Lopez, calle 8 # 84f - 155 casa 1090 , MEDELLIN, ANTIOQUIA, CO</t>
  </si>
  <si>
    <t>KRATOS</t>
  </si>
  <si>
    <t>AGRO VALLEY S.A.S., Carrera 9° N° 60- 69 Of. 608, BOGOTÁ, D.C., CO</t>
  </si>
  <si>
    <t>5. Acaricidas, fungicidas, herbicidas, insecticidas.</t>
  </si>
  <si>
    <t>FERNAN  RAMIREZ CRIOLLO, Cll 7 10-60, FUNZA, CUNDINAMARCA, CO</t>
  </si>
  <si>
    <t>WABI</t>
  </si>
  <si>
    <t>12 ene. 2022</t>
  </si>
  <si>
    <t>THE TRACE CO. SAS, Cra. 18 C No. 109-19, BOGOTÁ, D.C., CO</t>
  </si>
  <si>
    <t>3, 5, 44</t>
  </si>
  <si>
    <t>3. Champús no medicinales para animales de compañía [preparaciones de aseo, que no sean para uso veterinario].
5. Aditivos alimentarios medicinales para uso veterinario; alimentos complementarios para uso veterinario; alimentos dietéticos para uso veterinario; ungüentos para uso farmacéutico; productos farmacéuticos; preparaciones farmacéuticas para uso humano; preparaciones farmacéuticas para el cuidado de la salud; preparaciones farmacéuticas para el tratamiento de afecciones cutáneas.
44. Servicios de información y consultoría en productos biofarmacéuticos; servicios de información y consultas por internet sobre productos farmacéuticos; servicios de cuidado de mascotas [servicios médicos, veterinarios y de aseo]; servicios médicos y veterinarios; servicios de asesoramiento sobre productos farmacéuticos.</t>
  </si>
  <si>
    <t>Jorge Díaz Vargas, Cra 18 CNo 109-19, BOGOTÁ, D.C. 110131, CO</t>
  </si>
  <si>
    <t>29 mar. 2022</t>
  </si>
  <si>
    <t>CENTAURO ULTRA</t>
  </si>
  <si>
    <t>LUZ MARINA CASTAÑO VARGAS, Carrera 83 No. 6 A - 32, CALI, VALLE DEL CAUCA, CO</t>
  </si>
  <si>
    <t>5. Suplementos alimenticios para personas.</t>
  </si>
  <si>
    <t>ESTEPHANY ROMERO LATORRE, Transversal 1#57-09, BOGOTÁ, D.C., CO</t>
  </si>
  <si>
    <t>28 ene. 2022</t>
  </si>
  <si>
    <t>AFRODITA BY VANESA MATIZ</t>
  </si>
  <si>
    <t>18 ene. 2022</t>
  </si>
  <si>
    <t>MARCA MATIZ</t>
  </si>
  <si>
    <t>MATIZ MSC SAS, CALLE 30 1C-67 , FLORENCIA, CAQUETA, CO</t>
  </si>
  <si>
    <t>5. Cápsulas a base de hierbas para potenciar la sexualidad masculina; geles de estimulación sexual; lubricantes sexuales; lubricantes sexuales a base de aloe vera; preparaciones de diagnóstico o tratamiento de trastornos relacionados con la fertilidad y reproducción sexual; preparaciones para aumentar el deseo sexual; preparaciones para aumentar la excitación sexual; preparaciones para mejorar la prestación sexual; preparaciones para reducir la actividad sexual; preparados inyectables para el tratamiento de la impotencia sexual; preparados para aumentar el deseo sexual; preparados para aumentar la excitación sexual; preparados para mejorar la prestación sexual; preparados para mejorar la prestación sexual.</t>
  </si>
  <si>
    <t>DIANA MARCELA PENA CUELLAR, Cra 11 No. 15-42, FLORENCIA, CAQUETA, CO</t>
  </si>
  <si>
    <t>EYVUE</t>
  </si>
  <si>
    <t>14 ene. 2022</t>
  </si>
  <si>
    <t>Allergan Sales, LLC , 5 Giralda Farms, Madison, New Jersey 07940, MADISON, NEW JERSEY, US</t>
  </si>
  <si>
    <t>5. Gotas oftálmicas; preparaciones oftálmicas; preparaciones farmacéuticas para el tratamiento de enfermedades y afecciones oftálmicas; preparaciones farmacéuticas para el tratamiento de afecciones oftálmicas; preparaciones farmacéuticas para el tratamiento de la presbicia.</t>
  </si>
  <si>
    <t>Marigold HEALT &amp; CARE</t>
  </si>
  <si>
    <t>20 ene. 2022</t>
  </si>
  <si>
    <t>MARIGOLD</t>
  </si>
  <si>
    <t>Yuly alexandra Upegui Durango, cr 91 36 50 apto 301, MEDELLIN, ANTIOQUIA 050032, CO</t>
  </si>
  <si>
    <t>3. Abrillantadores capilares; aceite de almendras; aceite de amla para uso cosmético; aceite de coco para uso cosmético; aceite de gaulteria; aceite de jazmín; aceite de lavanda; aceite de lavanda para uso cosmético; aceite de masaje, no medicinal; aceite de menta; aceite de menta [perfumería]; aceite de neem para uso cosmético; aceite de ricino para uso cosmético; aceite de rosas; aceite de rosas para uso cosmético; aceite de veppennai para uso cosmético; aceite de árbol de té; aceite esencial de citronela de aromaterapia; aceite esencial de coco; aceite esencial de eucalipto de aromaterapia; aceite esencial de eucalipto en forma de bola; aceite esencial de eucalipto en forma de roll-on; aceite esencial de hierba limón de aromaterapia; aceite esencial de hierbabuena en forma de bola; aceite esencial de hierbabuena en forma de roll-on; aceite esencial de lavanda de aromaterapia; aceite esencial de lavanda en forma de bola; aceite esencial de lavanda en forma de roll-on; aceite esencial de limoncillo de aromaterapia; aceite esencial de menta en forma de bola; aceite esencial de menta en forma de roll-on; aceite esencial de neem; aceite esencial de romero de aromaterapia; aceite esencial de veppennai; aceite esencial de yerbabuena en forma de bola; aceite esencial de yerbabuena en forma de roll-on; aceite esencial de árbol de té de aromaterapia; aceite esencial de árbol de té en forma de roll-on; aceite esencial del árbol del té en forma de bola; aceite fijador para el cabello; aceite japonés para fijar el cabello; aceite para el peinado del cabello; aceites aromáticos; aceites aromáticos para el baño; aceites brillantes para el cuerpo; aceites bronceadores; aceites bronceadores [cosméticos]; aceites bronceadores de uso cosmético; aceites cosméticos; aceites cosméticos para la piel; aceites de aromaterapia; aceites de baño; aceites de baño no medicados; aceites de baño no medicinales; aceites de baño para uso cosmético; aceites de baño que no sean medicinales; aceites de baño, que no sean para uso médico; aceites de cáñamo a base de cbd para uso cosmético; aceites de ducha a base de cáñamo; aceites de limpieza; aceites de masaje, no medicinales; aceites de perfumería; aceites de pino para la limpieza de suelos; aceites de protección solar; aceites de protección solar [cosméticos]; aceites de tocador; aceites destilados para el cuidado de belleza; aceites esenciales; aceites esenciales a base de cáñamo; aceites esenciales aromáticos; aceites esenciales de aromaterapia; aceites esenciales de cedro; aceites esenciales de cidra; aceites esenciales de limón; aceites esenciales de origen vegetal; aceites esenciales de pino; aceites esenciales naturales; aceites esenciales para la fabricación de productos perfumados; aceites esenciales para uso cosmético; aceites esenciales para uso en aromaterapia; aceites esenciales para uso industrial; aceites esenciales para uso personal; aceites esenciales que no sean para uso médico o terapéutico; aceites faciales; aceites hidratantes intensivos; aceites minerales [cosméticos]; aceites no medicados; aceites no medicinales para masajes; aceites para bebés; aceites para bebés [productos de tocador]; aceites para bronceado [cosméticos]; aceites para cutículas; aceites para después del sol; aceites para después del sol [productos cosméticos]; aceites para después del sol de uso cosmético; aceites para el bronceado de la piel; aceites para el cabello; aceites para el cuerpo; aceites para el cuerpo de uso cosmético; aceites para perfumes y fragancias; aceites para uso cosmético; aceites perfumados; aceites perfumados para el cuidado de la piel; aceites perfumados para fabricar preparaciones cosméticas; aceites perfumados para la fabricación de preparaciones cosméticas; aceites perfumados para la fabricación de preparados cosméticos; aceites perfumados para la fabricación de productos cosméticos; aceites perfumados que difunden aromas al ser calentados; aceites puros para uso cosmético; aceites solares de uso cosmético; aceites suavizantes para el cabello; aceites vegetales esenciales; aceites y lociones bronceadoras; aceites y lociones con filtro solar; aceites y lociones de masaje; aceites y lociones de protección solar; aceites y sales de baño; aceites y sales de baño que no sean para uso médico; aclaradores de uñas; acondicionadores de cabello; acondicionadores de cabello a base de cáñamo; acondicionadores de cutícula; acondicionadores en barritas sólidas para el cabello; acondicionadores labiales; acondicionadores para el cabello; acondicionadores para el cabello para bebés; acondicionadores para la piel; acondicionadores para uso en el cabello; adhesivos [pegamentos] para uso cosmético; adhesivos para falsas pestañas; adhesivos para fijar cejas postizas; adhesivos para fijar postizos; adhesivos para fijar uñas postizas; adhesivos para fijar uñas y pestañas postizas; adhesivos para la fijación de cejas postizas; adhesivos para pegar las pestañas postizas; adhesivos para pegar las uñas postizas; adhesivos para pestañas postizas; adhesivos para pestañas, cabello y uñas postizos; adhesivos para postizos capilares; adhesivos para uñas postizas; aerosoles bucales no medicinales; aerosoles bucales, que no sean no para uso médico; aerosoles cosméticos de uso tópico para la piel; aerosoles depilatorios; aerosoles para afeitar; aerosoles perfumados para el cuerpo; aerosoles perfumados para interiores; aerosoles perfumados para la ropa; agua de colonia; agua de azahar para uso cosmético; agua de flor de azahar [destilados herbales]; agua de lavanda; agua de perfume; agua de rosas [destilados de hierbas]; agua de tocador que contiene aceite de serpiente; agua micelar; agua micelar de limpieza; agua mineral para el cuerpo y la cara en forma de pulverizadores de niebla; agua mineral para uso cosmético en forma de pulverizadores de niebla; agua oxigenada para el cabello; aguas de colonia para después del afeitado; aguas de tocador; aguas de tocador perfumadas; aguas de tocador y aguas de colonia; aguas de tocador y colonias; aguas perfumadas; algas para cosmetología; algodón e hisopos de algodón para uso cosmético; algodón impregnado de preparaciones desmaquillantes; algodón para uso cosmético; algodón y bastoncillos de algodón para uso cosmético; alheña [tinte cosmético]; alheña para uso cosmético; alheña para uso cosmético [henna]; almizcle [producto de perfumería]; almizcle natural; almohadillas de algodón para desmaquillar; almohadillas de algodón para uso cosmético; almohadillas de limpieza impregnadas con cosméticos; almohadillas de limpieza impregnadas con productos cosméticos; almohadillas de limpieza impregnadas de cosméticos; almohadillas de limpieza prehumedecidas; almohadillas de limpieza preimpregnadas; almohadillas desmaquillantes de algodón hidrófilo; almohadillas limpiadoras impregnadas de preparaciones de tocador; almohadillas limpiadoras impregnadas de productos cosméticos; almohadillas para uso cosmético; almohadillas, toallitas o pañitos de limpieza prehumedecidos o impregnados; ambientadores perfumados en aerosol; antifaces de gel; antitranspirantes de uso personal; antitranspirantes no medicinales; apitoxina [veneno de abeja melífera] con fines cosméticos; aromas [aceites esenciales]; aromas para fragancias; aromas para uso doméstico; aromatizantes para fragancias; astringentes para uso cosmético; autobronceadores; autobronceadores [cosméticos]; barras de labios; barras de labios con protección solar [cosméticos]; barras de labios en stick con protección solar [cosméticos]; barras de labios hidratantes; barros corporales para uso cosmético; bases de maquillaje; bases de maquillaje cremosas; bases de maquillaje en crema; bases de maquillaje líquidas; bases de maquillaje para la piel; bases neutralizantes para labios; bases para esmaltes de uñas; basma en cuanto tinte para uso cosmético; basma para uso cosmético; bastoncillos de algodón impregnados de preparaciones desmaquillantes; bastoncillos de algodón impregnados de preparados desmaquilladores; bastoncillos de algodón multiuso para utilización personal; bastoncillos de algodón multiusos para uso personal; bastoncillos de algodón para uso cosmético; bastoncillos de incienso; baños de aceite para el cuidado del cabello; baños de aceite para el cuidado del cabello de uso cosmético; baños de espuma; baños de espuma para bebés; baños no medicinales para el cuerpo; baños no medicinales para los pies; blanqueadores para las uñas; bloqueador solar [cosméticos]; bolas de algodón impregnadas de preparaciones desmaquillantes; bolas de algodón impregnadas de preparados desmaquilladores; bolas de algodón para uso cosmético; bolsitas aromáticas para almohadas de aromaterapia; bolsitas perfumadas; bolsitas perfumadas para almohadillas oculares; bombas de baño; bombas de ducha; botellas tipo roll-on llenas de aceites esenciales; botellas tipo rollo llenas de aceites esenciales; brillantina; brillantina corporal; brillantina para el cabello; brillantina para las uñas; brillos corporales; brillos de labios; brillos de uñas para aplicar sobre el esmalte; brillos faciales; brillos faciales y corporales; brillos para uso cosmético; bronceadores para la piel; bálsamo acondicionador; bálsamo de guritania en cuanto aceites esenciales para uso en la fabricación de barnices; bálsamos [cremas] para disimular las imperfecciones de la piel; bálsamos capilares; bálsamos capilares no medicinales; bálsamos labiales; bálsamos labiales a base de cáñamo; bálsamos labiales no medicinales; bálsamos no medicinales para después de afeitar; bálsamos no medicinales para después del afeitado; bálsamos para después del afeitado; bálsamos para disimular las imperfecciones de la piel; bálsamos para el afeitado; bálsamos para el cabello; bálsamos que no sean para uso médico; calcetines impregnados con crema hidratante cosmética; calcetines impregnados con preparaciones hidratantes para los pies; calcetines pre-humedecidos con preparaciones cosméticas para uso cosmético; calcomanías decorativas para uso cosmético; calcomanías decorativas para uñas; calcomanías para las uñas; cejas postizas; cejas postizas autoadhesivas; cera depilatoria; cera para el bigote; cera para el cabello; cera para el calzado; cera para el pelo; ceras de masaje, que no sean para uso médico; ceras para el cabello; ceras para el cuidado del cabello; ceras para el cuidado del pelo; ceras para el peinado del cabello; ceras para el pelo; champúes para el cabello; champúes para el cabello a base de cáñamo; champús 3 en 1; champús acondicionadores; champús anticaspa; champús capilares; champús corporales; champús de ph neutro; champús en barritas sólidas; champús en seco*; champús equilibrados de ph; champús no medicinales; champús no medicinales contra la caspa;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basma [tinte para uso cosmético]; champús para bebés; champús para el cabello; champús para el cabello humano; champús para el cabello y el cuerpo; champús para el cuerpo; champús y acondicionadores; champús y acondicionadores para animales de compañía [preparaciones de peluquería no medicinales ni veterinarias]; champús y acondicionadores para el cabello; champús*; cintas adhesivas de doble párpado; cintas de doble párpado; cintas de estiramiento facial para uso cosmético; cintas de lifting facial para uso cosmético; cola de maquillaje para uso cosmético; cold creams; cold creams para uso cosmético; colonia; colonias para después del afeitado; colonias, perfumes y productos cosméticos; colorantes de labios; colorantes de labios [cosméticos]; colorantes de tocador; colorantes labiales; colorantes labiales [cosméticos]; colorantes labiales [productos cosméticos]; colorantes para el cabello; colorantes para los labios; colorantes para los labios [productos cosméticos]; colorete; colorete en lápiz; colorete líquido; coloretes; coloretes en crema; composiciones para aclarar la piel [cosméticos]; compresas oculares para uso cosmético; copos de baño; corrector facial; correctores antiojeras; correctores de imperfecciones [productos cosméticos]; correctores de líneas y arrugas faciales; correctores de ojeras; correctores de ojos; correctores para disimular manchas e imperfecciones de la piel; corteza de quillay para lavar;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crema corporal para uso cosmético; crema en gel para matificar la piel; crema para aclarar la piel; crema para las manos; crema para lavarse las manos; crema para peinar el cabello; almohadillas, toallitas o pañitos húmedos o impregnados de preparaciones limpiadoras; ambientadores de interior [preparaciones perfumadas]; aromatizantes para bebidas [aceites esenciales]; aromatizantes para bebidas en cuanto aceites esenciales; bintsuke-abura [aceite japonés para fijar el cabello]; champús para animales de compañía [preparaciones higiénicas no medicinales]; composiciones para la eliminación de lacas; crema no medicinal contra la dermatitis del pañal;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afeitar;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masaje, que no sean para uso médico; cremas de noche; cremas de protección capilar, no medicinales; cremas de protección para el cabello; cremas de protección para el cabello, no medicinales; cremas de protección solar; cremas de protección solar para uso cosmético; cremas de pureza; cremas depilatorias; cremas desmaquillantes; cremas emolientes reparadoras para el cuidado diario de la piel; cremas evanescentes; cremas exfoliantes; cremas exfoliantes para uso cosmético; cremas faciales; cremas faciales para uso cosmético; cremas hidratantes; cremas hidratantes para después del afeitado; cremas hidratantes para después del sol;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orgánicas de estiramiento facial; cremas para aclarar la piel; cremas para antes del afeitado; cremas para atenuar las manchas de la vejez; cremas para atenuar las manchas de la vejez de uso cosmético; cremas para botas; cremas para broncear la piel; cremas para cutículas; cremas para dar firmeza al cuerpo; cremas para después de afeitar (no medicinales); cremas para después del afeitado; cremas para después del afeitado (no medicinales); cremas para después del sol; cremas para después del sol de uso cosmético; cremas para el cabello; cremas para el cabello de uso cosmético; cremas para el cabello para uso cosmético; cremas para el cuerpo [cosméticos]; cremas para el cuerpo cosméticas; cremas para el cuidado de la piel que no sean de uso médico; cremas para el cuidado de la piel que no sean para uso médico; cremas para el cuidado de la piel, no medicinales;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 piel de uso cosmético; cremas para la piel no medicinales a base de aceites esenciales para uso en aromaterapia; cremas para las manos; cremas para las manos de uso cosmético; cremas para las uñas; cremas para las uñas de uso cosmético; cremas para limpiar la piel [no medicinales]; cremas para los labios; cremas para los labios de uso cosmético; cremas para los ojos; cremas para los ojos de uso cosmético; cremas para manos a base de cáñamo; cremas para pulir; cremas para reducir la celulitis; cremas para reducir la celulitis de uso cosmético; cremas para tez clara; cremas para tez clara de uso cosmético; cremas perfumadas; cremas perfumadas para el cuerpo; cremas perfumadas para uso cosmético; cremas reafirmantes corporales; cremas reafirmantes para el cuerpo; cremas regeneradoras; cremas regenerantes; cremas reparadoras para contornos de ojos; cremas reparadoras para la piel [cosméticos]; cremas reparadoras para la piel de uso cosmético; cremas revitalizantes para la piel; cremas solares para bebés; cremas tonificantes [cosméticos]; cremas tópicas a base de hierbas para reafirmar y realzar el busto; cremas y geles cosméticos para cara, manos y cuerpo; cremas y geles cosméticos para rostro, manos y cuerpo; cremas y lociones bronceadoras; cremas y lociones cosméticas; cremas y lociones cosméticas para el cuidado de la cara y el cuerpo; cremas y lociones cosméticas para el cuidado del rostro y el cuerpo; cremas y preparaciones para después del sol;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cristales de baño para uso cosmético; cristales de baño que no sean para uso médico; cristales de baño, que no sean para uso médico; decolorantes capilares; decolorantes para uso cosmético; dentífricos y enjuagues bucales; dentífricos y enjuagues bucales no medicinales; dentífricos*; depilatorios; desmaquilladores; desmaquilladores de ojos; desmaquillantes de ojos; desodorantes a base de cáñamo para seres humanos; desodorantes antitranspirantes; desodorantes corporales; desodorantes corporales [perfumería]; desodorantes corporales [productos de perfumería]; desodorantes corporales en comprimidos; desodorantes de alumbre; desodorantes de bola [artículos de aseo]; desodorantes para animales; desodorantes para animales de compañía; desodorantes para el cuerpo; desodorantes para los pies; desodorantes para mascotas; desodorantes para personas o animales; desodorantes para personas o animales [productos de perfumería]; desodorantes para seres humanos; desodorantes para uso personal; desodorantes para uso personal [perfumería]; desodorantes para uso personal y animal; desodorantes para uso personal y para animales; desodorantes roll-on [artículos de aseo]; desodorantes y antitranspirantes para uso personal; desodorizantes para animales de compañía; desodorizantes para mascotas; destilados de hierbas; destilados de plantas; esencias y aceites etéreos; esmaltes de base para las uñas [productos cosméticos]; esmaltes de uñas; esmaltes de uñas en gel; esmaltes de uñas para uso cosmético; esmaltes de uñas y quitaesmaltes; esponjas impregnadas con artículos de tocador; esponjas impregnadas con jabones; esponjas impregnadas con productos de tocador no medicinales; esprays bucales no medicinales; esprays bucales, que no sean no para uso médico; espráis desodorantes para los pies; espráis desodorantes para mujeres; espráis utilizados como desodorantes y perfumes corporales; espuma de baño; espuma de protección para el cabello; espuma limpiadora; espuma moldeadora; espuma moldeadora para el cabello; espumas [cosméticas]; espumas cosméticas con filtro solar; espumas de afeitar; espumas de baño; espumas de baño, no medicadas; espumas de ducha; espumas de ducha y de baño; espumas de limpieza; espumas depilatorias; espumas en cuanto productos par el peinado; espumas limpiadoras; espumas limpiadoras para la piel; espumas limpiadoras para uso personal; espumas para el baño; espumas para el cabello; espumas para el cabello [productos de tocador]; espumas para el cuidado de la piel; espumas para el peinado; espumas para el peinado del cabello [productos de tocador]; espumas para la ducha; espumas y geles para peinar el cabello; exfoliante corporal; exfoliantes; exfoliantes [preparaciones cosméticas]; exfoliantes corporales cosméticos; exfoliantes corporales para uso cosmético; exfoliantes faciales; exfoliantes faciales y corporales no medicamentosos; exfoliantes faciales y corporales no medicinales; exfoliantes iluminadores; exfoliantes para el cuerpo; exfoliantes para el cuerpo de uso cosmético; exfoliantes para la cara; exfoliantes para la piel; exfoliantes para labios; exfoliantes para las manos; exfoliantes para uso cosmético; extensiones de pestañas; extractos de flores [productos de perfumería]; extractos de flores en cuanto perfumes; extractos de flores en cuanto productos de perfumería; extractos de plantas para uso cosmético; fangos corporales para uso cosmético; fijadores capilares; fijadores para el cabello; filtro solar [cosméticos]; fondo de maquillaje; fortalecedores de uñas; fragancias; fragancias corporales; fragancias de ambiente; fragancias para automóviles; fragancias y productos de perfumería; fundación de maquillaje; gargarismos que no sean de uso médico; gel crema matificante; gel de baño; gel de lavanda; gel exfoliante, no medicinal; gel para baño y ducha; gel para ducha y baño; gelatina de algas marinas para la colada; geles antienvejecimiento; geles antienvejecimiento para uso cosmético; geles blanqueadores para uso dental; geles bronceadores; geles bronceadores [cosméticos]; geles capilares; geles corporales y faciales [cosméticos]; geles cosméticos; geles de aloe vera para uso cosmético; geles de baño; geles de baño no medicinales; geles de baño y de ducha; geles de baño y de ducha no medicinales; geles de belleza; geles de ducha; geles de ducha a base de cáñamo; geles de ducha no para uso médico; geles de ducha y de baño; geles de lavanda; geles de lavanda para uso cosmético; geles de limpieza de inodoros; geles de limpieza para los dientes; geles de masaje que no sean para uso médico; geles de protección para el cabello; geles dentífricos; geles depilatorios; geles desmaquillantes; geles exfoliantes, no medicinales; geles hidratantes; geles hidratantes [cosméticos]; geles no medicinales; geles no medicinales para después de afeitar; geles no medicinales para después del afeitado; geles para acelerar, realzar y prolongar el bronceado de la piel; geles para antes del afeitado; geles para dar forma al cabello; geles para después del afeitado; geles para después del sol; geles para después del sol [productos cosméticos]; geles para después del sol de uso cosmético; geles para el afeitado; geles para el baño [no medicinales]; geles para el bronceado de la piel; geles para el cabello; geles para el cuerpo [cosméticos]; geles para el peinado; geles para el peinado de las cejas; geles para el peinado del cabello; geles para el teñido de las cejas; geles para la cara [cosméticos]; geles para la ducha; geles para la ducha no para uso médico; geles para la limpieza de los dientes; geles para los ojos; geles para los ojos de uso cosmético; geles para uso cosmético; geles para uso en el cabello; geles y espumas para el cabello; geles y sales de baño y de ducha no medicinales; geles, aerosoles, espumas y bálsamos para peinar y cuidar el cabello; geles, cremas y aceites de ducha; geles, espráis, espumas y bálsamos para peinar y cuidar el cabello; goma de mascar para blanquear los dientes; granulados de limpieza facial; grasas para uso cosmético; guantes pre-humedecidos con preparaciones cosméticas para uso cosmético; guata para uso cosmético; guata y bastoncillos de algodón para uso cosmético; hamamelis [destilados de hierbas]; henna [tinte cosmético]; henna para uso cosmético; henna para uso cosmético [alheña]; hidratante para la piel; hidratantes; hidratantes [cosméticos]; hidratantes a base de cáñamo; hidratantes corporales a base de cáñamo; hidratantes cosméticas para el rostro; hidratantes cosméticas para la cara; hidratantes faciales; hidratantes faciales [cosméticos]; hidratantes faciales de uso cosmético; hidratantes para el cabello; hidratantes para la piel; hidratantes para la piel utilizados como cosméticos; hidrocremas intensiva; hidrolatos; hierbas para el baño que no sean para uso médico; hilas para uso cosmético; hisopos de algodón impregnados de preparaciones desmaquillantes; hisopos de algodón impregnados de preparados desmaquilladores; hisopos de algodón para uso cosmético; hisopos impregnados de preparaciones desmaquillantes; hisopos impregnados de preparados desmaquilladores; hisopos para uso cosmético; esponjas impregnadas con productos de tocador; fragancias para uso personal; geles para el cuerpo y la cara [cosméticos]; iononas [productos de perfumería]; jabones antitranspirantes para los pies; jabones corporales no medicados; jabones cosméticos; jabones de baño; jabones de baño en forma líquida, sólida o de gel; jabones de ducha; jabones de tocador no medicinales; jabones de tocador perfumados; jabones desodorantes; jabones desodorantes a base de cáñamo; jabones desodorizantes; jabones en crema; jabones en crema para el cuerpo; jabones faciales; jabones industriales; jabones líquidos; jabones líquidos no medicinales; jabones líquidos para baños de pies; jabones líquidos para el baño; jabones líquidos para el cabello y el cuerpo; jabones líquidos para las manos y el rostro; jabones líquidos para las manos, el rostro y el cuerpo; jabones no medicados para el cuerpo; jabones no medicados para la cara; jabones no medicados para las manos; jabones no medicinales; jabones para el cuerpo; jabones para el cuidado del cuerpo; jabones para la piel; jabones para las manos; jabones para uso personal; jabones perfumados; jabones vegetales; jabón de afeitar; jabón de almendras; jabón de aloe vera; jabón de baño; jabón líquido para baños de pies; jalea de petróleo para uso cosmético; joyas de piel para uso cosmético; joyas de tatuaje para uso cosmético; joyería de piel en cuanto motivos decorativos para uso cosmético; joyería de piel en cuanto transferencias decorativas para uso cosmético; joyería de piel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kits para el cuidado de las uñas que comprenden esmaltes de uñas y quitaesmaltes; kits para el cuidado de las uñas que comprenden esmaltes de uñas, quitaesmaltes y uñas postizas; kits para el cuidado de las uñas que comprenden lacas de uñas y quitaesmaltes; lacas para el cabello; lacas para las uñas; lacas y geles fijadores para el cabello; lavados no medicinales; lavados vaginales no medicinales; leche bronceadora; leche de almendras para uso cosmético; leche hidratante para después de afeitar; leche hidratante para después del afeitado; leche para después del afeitado; leches bronceadoras; leches bronceadoras [cosméticos]; leches corporales para bebés; leches de baño; leches de belleza; leches de limpieza facial; leches desmaquillantes; leches hidratantes; leches hidratantes corporales; leches limpiadoras; leches limpiadoras de tocador; leches limpiadoras para el cuidado de la piel; leches para después de tomar el sol para uso cosmético; leches para después del sol; leches para después del sol [productos cosméticos]; leches para después del sol de uso cosmético; leches para el cuerpo; leches para el cuerpo de uso cosmético; leches para el rostro y el cuerpo; leches para el rostro y el cuerpo de uso cosmético; leches y lociones para el rostro; leches y lociones para el rostro de uso cosmético; leches, geles y aceites bronceadores y para después del sol, de uso cosmético; leches, geles, lociones y cremas desmaquillantes; limpiador cutáneo con propiedades suavizantes [cosmético]; limpiadores cosméticos cutáneos; limpiadores cosméticos faciales; limpiadores cosméticos para la piel; limpiadores cutáneos; limpiadores cutáneos [cosméticos]; limpiadores cutáneos [productos cosméticos]; limpiadores cutáneos con propiedades suavizantes [cosméticos]; limpiadores cutáneos no medicinales; limpiadores de la piel; limpiadores de la piel [cosméticos]; limpiadores de la piel [productos cosméticos]; limpiadores de la piel a base de cáñamo; limpiadores de la piel no medicinales; limpiadores faciales; limpiadores faciales [cosméticos]; limpiadores faciales [productos cosméticos]; limpiadores líquidos para la piel; limpiadores no medicinales para la piel; limpiadores para la cara; limpiadores para pinceles cosméticos; lociones antienvejecimiento; lociones antienvejecimiento para uso cosmético; lociones autobronceadoras [cosméticos]; lociones brillantes para el cuerpo; lociones bronceadoras; lociones capilares cosméticas; lociones capilares no medicinales; lociones capilares reparadoras no medicamentosas; lociones capilares reparadoras no medicinales; lociones capilares*; lociones con filtro solar; lociones con filtro solar para uso cosmético; lociones colorantes para el cabello; lociones con pantalla solar; lociones con pantalla solar para uso cosmético; lociones corporales; lociones cosméticas para el bronceado de la piel; lociones cosméticas para el cuidado de la piel; lociones cosméticas para el rostro; lociones cosméticas para la cara; lociones cosm</t>
  </si>
  <si>
    <t>ZELEN TU COPA MENSTRUAL PROFAMILIA</t>
  </si>
  <si>
    <t>19 ene. 2022</t>
  </si>
  <si>
    <t>MARCA ZELEN CLASE 3,5</t>
  </si>
  <si>
    <t>ASOCIACIÓN PRO-BIENESTAR DE LA FAMILIA COLOMBIANA - PROFAMILIA, CALLE 34 No 14 - 52, BOGOTÁ, D.C., CO</t>
  </si>
  <si>
    <t>3. Cosméticos de belleza; cosméticos en forma de cremas; cosméticos para el cuidado del cuerpo; jabón de baño.
5. Medicamentos para ajustar el ciclo menstrual; medicamentos para regular el ciclo menstrual; geles de estimulación sexual; lubricantes sexuales; lubricantes sexuales a base de aloe vera; preparaciones de diagnóstico o tratamiento de trastornos relacionados con la fertilidad y reproducción sexual; preparaciones para aumentar el deseo sexual; lubricantes vaginales [preparaciones higiénicas]; preparaciones farmacéuticas para el tratamiento de las infecciones urovaginales; preparados farmacéuticos para el tratamiento de las infecciones urovaginales; supositorios vaginales para la prevención y el tratamiento de infecciones.</t>
  </si>
  <si>
    <t>CAROLINA MARÍA QUINTERO ARIAS, AV. CALLE 26 #68C - 61, OF. 605, BOGOTÁ, D.C., CO</t>
  </si>
  <si>
    <t>CUTENOX</t>
  </si>
  <si>
    <t>Solicitud de registro marca CUTENOX (nominativa)</t>
  </si>
  <si>
    <t>NEXT PHARMA SOURCING S.A.S., Calle 95 # 14-45 oficina 601, BOGOTÁ, D.C., CO</t>
  </si>
  <si>
    <t>5. Productos farmacéuticos.</t>
  </si>
  <si>
    <t>JORGE MARTIN GARCIA GARCIA, Calle 99 No. 10-57 , BOGOTÁ, D.C. 110111, CO</t>
  </si>
  <si>
    <t>JÚPITER</t>
  </si>
  <si>
    <t>24 ene. 2022</t>
  </si>
  <si>
    <t>JÚPITER COMPANY SOCIEDAD ANÓNIMA , HILARIO CABRERA 7281, MONTEVIDEO, URUGUAY, MONTEVIDEO, MONTEVIDEO, UY</t>
  </si>
  <si>
    <t>3. FRAGANCIAS DE USO PERSONAL Y PARA EL HOGAR, GELES DE DUCHA, CHAMPÚES, ACONDICIONADORES Y ENJUAGUES PARA EL CABELLO, DESODORANTES Y ANTETRANSPIRANTES DE USO PERSONAL; PREPARACIONES PARA LIMPIAR Y AROMATIZAR, JABONES LÍQUIDOS, EN POLVO Y EN BARRA, PRODUCTOS LIMPIADORES, BLANQUEADORES y SUAVIZANTES, LEJÍA, DETERGENTES, CERAS, PULIDORES Y ABRASIVOS.
5. ALCOHOLES MEDICINALES, DESINFECTANTES, DESODORIZANTES DE AMBIENTES; INSECTICIDAS Y PLAGUICIDAS.</t>
  </si>
  <si>
    <t>CLEMENCIA DELGADO VILLEGAS, Avenida Carrera  24 # 37-31 Oficina 202, BOGOTÁ, D.C., CO</t>
  </si>
  <si>
    <t>07 feb. 2022</t>
  </si>
  <si>
    <t>RAINBOW AGROSCIENCES SAS, cra 11a 93a 80, BOGOTÁ, D.C., CO</t>
  </si>
  <si>
    <t>5, 35</t>
  </si>
  <si>
    <t>5. Fungicidas; fungicidas biológicos; fungicidas para uso agrícola; fungicidas, herbicidas; preparaciones herbicidas y plaguicidas; insecticidas para uso agrícola.
35. Administración de ventas; gestión de ventas; negociación de contratos en relación con la compra y la venta de productos; presentación de productos en cualquier medio de comunicación para su venta minorista.</t>
  </si>
  <si>
    <t>BIBIANA CONSTANZA  VANEGAS MONCADA, CRA 11A 93A 80, BOGOTÁ, D.C., CO</t>
  </si>
  <si>
    <t>COLOMBIHARINA</t>
  </si>
  <si>
    <t>26 ene. 2022</t>
  </si>
  <si>
    <t>3-5296</t>
  </si>
  <si>
    <t>Colombina S.A., Corregimiento de la paila,, ZARZAL, VALLE DEL CAUCA, CO</t>
  </si>
  <si>
    <t>5, 30</t>
  </si>
  <si>
    <t>5. Alimentos para bebés.
30. Harinas, productos alimenticios en los que predomina la harina; productos de confitería a base de harinas, preparaciones a base de cereales, harina de quinua; granos integrales, quinua, quinoa.</t>
  </si>
  <si>
    <t>LUZ HELENA ADARVE GOMEZ, CRA 7 No. 71-52 Torre B Piso 9, BOGOTÁ, D.C., CO</t>
  </si>
  <si>
    <t>08 jul. 2022</t>
  </si>
  <si>
    <t>XEBINA</t>
  </si>
  <si>
    <t>163897183REG</t>
  </si>
  <si>
    <t>BIOTOSCANA FARMA S.A., CARRERA 69 B No. 20-46 BODEGA 12, ZONA INDUSTRIAL MONTEVIDEO, BOGOTÁ, COLOMBIA, BOGOTÁ, D.C., CO</t>
  </si>
  <si>
    <t>5. Productos farmacéuticos antineoplásicos.</t>
  </si>
  <si>
    <t>JUAN CARLOS URIBE RESTREPO, CALLE 93B No. 12-48 PISO 4, BOGOTÁ, D.C., CO</t>
  </si>
  <si>
    <t>18 mar. 2022</t>
  </si>
  <si>
    <t>COLAFISH</t>
  </si>
  <si>
    <t>LABORATORIOS BIOPRONAT SAS, CRA 51 3 75, BOGOTÁ, D.C., CO</t>
  </si>
  <si>
    <t>5. Suplementos alimenticios; suplementos alimenticios dietéticos; suplementos alimenticios minerales; suplementos alimenticios para humanos; suplementos alimenticios para seres humanos; suplementos alimenticios probióticos; suplementos dietéticos; suplementos nutricionales; suplementos probióticos; suplementos y preparaciones dietéticas; suplementos y preparaciones nutricionales.</t>
  </si>
  <si>
    <t>DIEGO FELIPE ROBAYO GOMEZ , CALLE 160 N 58 75 INT 25 APTO 404, BOGOTÁ, D.C., CO</t>
  </si>
  <si>
    <t>1A V VIVE UNOA CON ENERGIA VITAL!</t>
  </si>
  <si>
    <t>27 ene. 2022</t>
  </si>
  <si>
    <t>MARIA IRENE MELO GARZON, CARRERA. 7 No. 33 - 42 PISO 11, BOGOTÁ, D.C., CO</t>
  </si>
  <si>
    <t>5, 30, 32</t>
  </si>
  <si>
    <t>5. PRODUCTOS FARMACÉUTICOS, MEDICAMENTOS A BASE DE RECURSOS; NATURALES, COMPLEMENTOS Y SUPLEMENTOS MULTIVITAMÍNICOS; SUPLEMENTOS DIETARIOS, SUSTANCIAS DIETÉTICAS PARA USO MEDICO.
30. PREPARACIONES A BASE DE CAFÉ, TÉ, CACAO Y SUCEDÁNEOS DE ESTOS; ARROZ, HARINAS, CEREALES, FRUTAS HELADOS, PRODUCTOS DE PASTELERÍA, PANADERÍA Y CONFITERÍA; PASTAS ALIMENTICIAS; AZÚCAR, MIEL, JALEA DE MELAZA; LEVADURA Y POLVOS DE HORNEAR; SAL, MOSTAZA, VINAGRES, SALSAS; ESPECIAS, HIELO; HIERBAS AROMÁTICAS PROCESADAS Y PREPARACIONES AROMÁTICAS PARA USO ALIMENTICIO.
32. BEBIDAS SIN ALCOHOL; AGUAS MINERALES SABORIZADAS O NO; AGUAS OXONIZADAS; BEBIDAS A BASE DE FRUTAS; REFRESCOS SIN GAS; BEBIDAS ENERGÉTICAS; BEBIDAS HIPERTÓNICAS E HIPOTÓNICAS (PARA ATLETAS); BEBIDAS ISOTÓNICAS; GASEOSAS.</t>
  </si>
  <si>
    <t>JORGE ARTURO ROMERO PRIETO, Carrera  13 No. 32-51 TORRE 1 OF 501, BOGOTÁ, D.C., CO</t>
  </si>
  <si>
    <t>Nova Pharmaceutical</t>
  </si>
  <si>
    <t>31 ene. 2022</t>
  </si>
  <si>
    <t>COMERCIALIZADORA NATURAL LIGHT S.A.S , Calle 67 #19-22, BOGOTÁ, D.C., CO</t>
  </si>
  <si>
    <t>3. Exfoliantes faciales y corporales no medicamentosos; lociones capilares reparadoras no medicamentosas; preparaciones capilares no medicamentosas; preparaciones cosméticas no medicamentosas para tratamientos capilares; preparaciones de cuidado corporal no medicamentosas; preparaciones limpiadoras no medicamentosas para la piel; productos no medicamentosos para refrescar el aliento; aceites destilados para el cuidado de belleza; cosméticos de belleza; cosméticos para tratamiento de belleza cosméticos para el cuidado de belleza; cremas bálsamos de belleza; cremas de belleza; cremas de belleza para el cuerpo; cremas de belleza para el rostro y el cuerpo; geles de belleza; leches de belleza; lociones de belleza; mascarillas de belleza; mascarillas de belleza para el cabello; mascarillas de belleza para el contorno de los ojos; mascarillas de belleza para las manos; mascarillas faciales de belleza; preparaciones de cuidado corporal y de belleza para uso cosmético; preparaciones para cuidados corporales y de belleza; preparaciones para el cuidado del cuerpo y la belleza; preparaciones para el cuidado y la belleza personal; productos cosméticos y de belleza; sueros de belleza.
5. Cremas labiales medicamentosas; cremas medicamentosas para hidratar la piel; cremas medicamentosas para la hidratación de la piel; medicamentos a base de hierbas; medicamentos antitranspirantes; medicamentos fitoterapéuticos para el consumo humano; alimentos a base de albúmina para uso médico; alimentos para diabéticos; alimentos y bebidas dietéticos para uso médico; aislados de proteína de suero de leche [suplementos dietéticos]; aislados de proteína de suero de leche en cuanto suplementos dietéticos; antioxidantes [suplementos dietéticos]; barras energéticas utilizadas como suplementos dietéticos; batidos a base de suplementos proteínicos para aumentar de peso; batidos de leche en cuanto suplementos proteínicos;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hidrolizados de proteína de suero de leche [suplementos dietéticos]; hidrolizados de proteína de suero de leche en cuanto suplementos dietéticos; preparaciones y suplementos nutricionales para la salud;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suplementos alimenticios; suplementos alimenticios a base de albúmina; suplementos alimenticios a base de aminoácidos; suplementos alimenticios a base de enzimas; suplementos alimenticios a base de germen de trigo; suplementos alimenticios a base de jalea real; suplementos alimenticios a base de lecitina; suplementos alimenticios a base de levadura; suplementos alimenticios a base de minerales; suplementos alimenticios a base de oligoelementos; suplementos alimenticios a base de polen; suplementos alimenticios a base de propóleos; suplementos alimenticios a base de yacón; suplementos alimenticios compuestos de aminoácidos; suplementos alimenticios dietéticos; suplementos alimenticios dietéticos a base de extractos de hierbas deshidratadas en cápsulas; suplementos alimenticios dietéticos en forma de polvo; suplementos alimenticios dietéticos en polvo; suplementos alimenticios en polvo a base de proteinas; suplementos alimenticios en polvo a base de proteínas vegetales; suplementos alimenticios medicinales a base de colágeno; suplementos alimenticios para humanos; suplementos alimenticios proteicos en polvo; suplementos de hierbas líquidos; suplementos de proteína de suero de leche; suplementos dietéticos a base de aminoácidos; suplementos dietéticos a base de calostro; suplementos dietéticos a base de hierbas; suplementos dietéticos compuestos principalmente de calcio; suplementos dietéticos compuestos principalmente de hierro; suplementos dietéticos con efecto cosmético; suplementos dietéticos en forma de polvo; suplementos dietéticos en forma líquida; suplementos dietéticos para el control del peso corporal; suplementos dietéticos y nutricionales; suplementos nutricionales líquidos; suplementos vitamínicos líquidos.</t>
  </si>
  <si>
    <t>GLORIA CECILIA MARQUEZ PAVA, Calle 67 #19-22, BOGOTÁ, D.C., CO</t>
  </si>
  <si>
    <t>APOTHEKANNA</t>
  </si>
  <si>
    <t>30 ene. 2022</t>
  </si>
  <si>
    <t>APOTHEKANNA ALIVIUM</t>
  </si>
  <si>
    <t>APOTHEKANNA S.A.S., CR 3 # 11- 32, CALI, VALLE DEL CAUCA, CO</t>
  </si>
  <si>
    <t>3, 5, 35</t>
  </si>
  <si>
    <t>3. Fragancias; aceites esenciales; aceites esenciales a base de cáñamo; aceites esenciales de aromaterapia; aceites esenciales naturales; aceites esenciales para uso cosmético; cremas cosméticas detoxificantes fitoactivas; preparaciones fito-cosméticas; aceites cosméticos; aceites para uso cosmético; cosméticos; cosméticos naturales; productos cosméticos de cbd; productos de perfumería, aceites esenciales, cosméticos, lociones capilares; cosméticos a base de cannabis; aceites de cáñamo a base de cbd para uso cosmético.
5. Productos farmacéuticos; productos farmacéuticos homeopáticos; productos farmacéuticos para uso humano; cannabis medicinal en forma de aceites para facilitar la administración de fármacos.
35. Servicios de publicidad en relación con productos farmacéuticos; servicio de distribución comercial en el ámbito de los cosméticos; servicios de distribución comercial al por mayor de productos cosméticos; servicios de publicidad en relación con productos cosméticos; servicios de venta minorista o mayorista de productos cosméticos; comercialización; comercialización de productos; comercialización por internet; servicios de presentación de productos de comercialización; creación de redes comerciales; promoción comercial de productos.</t>
  </si>
  <si>
    <t>LUISA FERNANDA  HERRERA SIERRA, Calle 69 No. 04-48, BOGOTÁ, D.C., CO</t>
  </si>
  <si>
    <t>ARTICARE</t>
  </si>
  <si>
    <t>HUMANCARE S.A.S., Calle 162 # 21-68, BOGOTÁ, D.C., CO</t>
  </si>
  <si>
    <t>3. Productos cosméticos no medicinales, jabones no medicinales, cosmecéuticos, productos de higiene doméstica, productos de perfumería, aceites esenciales, lociones capilares no medicinales, dentífricos no medicinales.
5. Productos farmacéuticos, preparaciones para uso médico como medicamentos, fitoterapéuticos y homeopáticos, productos higiénicos y sanitarios para uso médico, alimentos y sustancias dietéticas para uso médico, alimentos y complementos alimenticios para personas, suplementos dietarios, alimentos para propósito médico especial, productos absorbentes y de higiene personal.</t>
  </si>
  <si>
    <t>FRANCISCO ADOLFO ACOSTA DE LA ROSA, CARRERA 12 A No.137-51 Apto.611, BOGOTÁ, D.C., CO</t>
  </si>
  <si>
    <t>19 abr. 2022</t>
  </si>
  <si>
    <t>MAMALINA</t>
  </si>
  <si>
    <t>BOOM SOY</t>
  </si>
  <si>
    <t>BOOMSOY</t>
  </si>
  <si>
    <t>SIEMPRE DISTRIBUCIONES S.A.S, Calle 6D #79a-56 interior 8 apto 269, BOGOTÁ, D.C. 110821, CO</t>
  </si>
  <si>
    <t>5, 29, 30</t>
  </si>
  <si>
    <t>5. Aditivos minerales para productos alimenticios de consumo humano; alimentos y suplementos alimenticios sin gluten, todos adecuados a fines médicos; antioxidantes utilizados como complementos alimenticios; antioxidantes utilizados como suplementos alimenticios; bacterias probióticas [complementos alimenticios]; bacterias probióticas [suplementos alimenticios]; bacterias probióticas en cuanto complementos alimenticios; bacterias probióticas en cuanto suplementos alimenticios; barras energéticas utilizadas como complementos alimenticios;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nutricionales en cuanto complementos alimenticios; bebidas nutricionales en cuanto suplementos alimenticios; complementos alimenticios; complementos alimenticios a base de aceite de linaza; complementos alimenticios a base de aceite de lino; complementos alimenticios a base de albúmina; complementos alimenticios a base de alginatos; complementos alimenticios a base de aminoácidos; complementos alimenticios a base de caseína; complementos alimenticios a base de chlorella; complementos alimenticios a base de cáñamo; complementos alimenticios a base de enzimas; complementos alimenticios a base de germen de trigo; complementos alimenticios a base de glucosa; complementos alimenticios a base de isoflavona de soja; complementos alimenticios a base de jalea real; complementos alimenticios a base de kiwicha; complementos alimenticios a base de lecitina; complementos alimenticios a base de levadura; complementos alimenticios a base de levadura de cerveza; complementos alimenticios a base de linaza; complementos alimenticios a base de maca; complementos alimenticios a base de minerales; complementos alimenticios a base de oligoelementos; complementos alimenticios a base de polen; complementos alimenticios a base de polen de pino; complementos alimenticios a base de propóleos; complementos alimenticios a base de proteínas; complementos alimenticios a base de proteínas de soja; complementos alimenticios a base de proteínas vegetales en forma de polvo; complementos alimenticios a base de quinua; complementos alimenticios a base de semillas de lino; complementos alimenticios a base de yacón; complementos alimenticios antibióticos para animales; complementos alimenticios antioxidantes; complementos alimenticios compuestos de aminoácidos; complementos alimenticios de vitaminas y minerales; complementos alimenticios dietéticos; complementos alimenticios dietéticos a base de extractos de hierbas deshidratadas en cápsulas; complementos alimenticios dietéticos en cápsulas; complementos alimenticios dietéticos en cápsulas, que no sean para uso médico; complementos alimenticios dietéticos en forma de cápsulas para uso médico; complementos alimenticios dietéticos en forma de cápsulas, que no sean para uso médico; complementos alimenticios dietéticos en forma de gránulos; complementos alimenticios dietéticos en forma de gránulos para uso médico; complementos alimenticios dietéticos en forma de gránulos, que no sean para uso médico; complementos alimenticios dietéticos en forma de polvo; complementos alimenticios dietéticos en forma de polvo para uso médico; complementos alimenticios dietéticos en forma de polvo, que no sean para uso médico; complementos alimenticios dietéticos en gránulos; complementos alimenticios dietéticos en gránulos para uso médico; complementos alimenticios dietéticos en gránulos, que no sean para uso médico; complementos alimenticios dietéticos en polvo; complementos alimenticios dietéticos en polvo para uso médico; complementos alimenticios dietéticos en polvo, que no sean para uso médico; complementos alimenticios dietéticos para uso médico; complementos alimenticios dietéticos y sustancias dietéticas para uso médico; complementos alimenticios en polvo a base de cáñamo; complementos alimenticios en polvo a base de proteinas; complementos alimenticios en polvo a base de proteínas vegetales; complementos alimenticios medicinales a base de colágeno; complementos alimenticios medicinales para consumo humano; complementos alimenticios minerales; complementos alimenticios minerales para seres humanos; complementos alimenticios para animales; complementos alimenticios para animales de uso veterinario; complementos alimenticios para humanos; complementos alimenticios para personas; complementos alimenticios para personas o animales; complementos alimenticios para seres humanos; complementos alimenticios para uso farmacéutico; complementos alimenticios para uso farmacéutico y veterinario; complementos alimenticios para uso médico a base de aminoácidos, minerales y oligoelementos; complementos alimenticios para uso veterinario; complementos alimenticios probióticos; complementos alimenticios probióticos en cápsulas; complementos alimenticios proteicos en polvo; complementos alimenticios que no sean para uso médico; complementos alimenticios terapéuticos que contienen gingseng; complementos alimenticios terapéuticos que contienen gingseng rojo; complementos de oligoelementos para productos alimenticios de consumo humano; complementos de vitaminas para productos alimenticios de consumo humano; complementos medicinales para productos alimenticios de consumo humano; complementos nutricionales y alimenticios; complementos vitamínicos para productos alimenticios de consumo humano; estimulantes alimenticios para animales; leche malteada en cuanto complementos alimenticios para bebés; leche malteada en cuanto complementos alimenticios para minusválidos; leche malteada en cuanto complementos alimenticios para personas discapacitadas; leche malteada en cuanto complementos alimenticios para personas minusválidas;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complementos alimenticios; levadura de cerveza para ser utilizada como suplementos alimenticios; preparaciones de proteínas para uso en cuanto aditivos de productos alimenticios para el consumo humano para uso médico; preparaciones de proteínas para uso en cuanto aditivos de productos alimenticios para la alimentación humana para uso médico; preparaciones medicinales para uso en cuanto aditivos alimenticios para consumo humano; preparaciones proteicas para uso en cuanto aditivos de productos alimenticios para el consumo humano para uso médico; preparados alimenticios para bebés y lactantes; preparados alimenticios para bebés y niños pequeños; preparados de proteínas para uso en cuanto aditivos de productos alimenticios para el consumo humano para uso médico; preparados de proteínas para uso en cuanto aditivos de productos alimenticios para la alimentación humana para uso médico; preparados medicinales para uso en cuanto aditivos alimenticios para consumo humano;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proteínas de suero de leche [complementos alimenticios]; proteínas de suero de leche [suplementos alimenticios]; proteínas de suero de leche en cuanto complementos alimenticios; proteínas de suero de leche en cuanto suplementos alimenticios;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oligoelementos para productos alimenticios de consumo humano; suplementos de vitaminas para productos alimenticios de consumo humano; suplementos medicinales para productos alimenticios de consumo humano; suplementos nutricionales y alimenticios; suplementos vitamínicos para productos alimenticios de consumo humano; supplementos alimenticios dietéticos en cápsulas; fermentos lácteos para uso farmacéutico; agentes de acción retardada, a saber, polvos que permiten la liberación controlada de ingredientes activos de una amplia gama de productos farmacéuticos; polvos antipulgas; polvos antipulgas para animales; polvos de pseudoginseng para uso médico; polvos medicinales para bebés; polvos medicinales para el cuerpo; polvos medicinales para los pies; polvos utilizados como sustitutos de las comidas para uso médico; aislados de proteína de suero de leche [complementos dietéticos]; aislados de proteína de suero de leche [suplementos dietéticos]; aislados de proteína de suero de leche en cuanto complementos dietéticos; aislados de proteína de suero de leche en cuanto suplementos dietéticos; alimentos dietéticos medicinales para animales; alimentos dietéticos para uso médico; alimentos dietéticos para uso veterinario; alimentos y bebidas dietéticos para uso médico; alimentos y bebidas dietéticos para uso médico o veterinario; alimentos y bebidas dietéticos para uso veterinario; antioxidantes [complementos dietéticos]; antioxidantes [suplementos dietéticos]; barras de probióticos utilizadas como suplementos dietéticos; barras energéticas utilizadas como suplementos dietéticos; bebidas medicinales en la forma de suplementos dietéticos para la desintoxicación del colon; bebidas medicinales en la forma de suplementos dietéticos para la desintoxicación del hígado; bebidas utilizadas como complementos dietéticos; cereales adaptados para minusválidos con fines dietéticos o médicos; complementos dietéticos; complementos dietéticos a base de acai en polvo; complementos dietéticos a base de aminoácidos; complementos dietéticos a base de minerales; complementos dietéticos a base de oligoelementos; complementos dietéticos a base de trigo; complementos dietéticos a base de zinc; complementos dietéticos con efecto cosmético; complementos dietéticos de carbón activado; complementos dietéticos de clorela; complementos dietéticos de vitaminas; complementos dietéticos de ácido fólico; complementos dietéticos en forma de golosinas para animales de compañía; complementos dietéticos en forma de polvo; complementos dietéticos en forma líquida; complementos dietéticos en polvo con sabor a frutas para elaborar bebidas; complementos dietéticos en polvo de esporas a base de ganoderma lucidum; complementos dietéticos naturales para tratar la claustrofobia; complementos dietéticos para animales de compañía; complementos dietéticos para animales de compañía, a saber, bebidas en polvo; complementos dietéticos para controlar el colesterol; complementos dietéticos para la alimentación humana; complementos dietéticos para niños; complementos dietéticos para personas y animales; complementos dietéticos y nutricionales; complementos nutricionales y dietéticos contra el envejecimiento del sistema inmunitario; complementos nutricionales y dietéticos para el alivio del estrés; complementos nutricionales y dietéticos para el fortalecimiento del sistema inmunitario; complementos nutricionales y dietéticos para la desintoxicación;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fibra alimentaria como ingrediente para la fabricación de suplementos dietéticos; fibras de semillas de lino molidas utilizadas como complementos dietéticos; hidrolizados de proteína de suero de leche [complementos dietéticos]; hidrolizados de proteína de suero de leche [suplementos dietéticos]; hidrolizados de proteína de suero de leche en cuanto complementos dietéticos; hidrolizados de proteína de suero de leche en cuanto suplementos dietéticos; mezclas para bebidas en cuanto complementos dietéticos; mezclas para bebidas utilizadas como sustitutos de las comidas y complementos dietéticos para uso médico; nutracéuticos utilizados como complementos dietéticos; parches transdérmicos que facilitan el suministro de suplementos dietéticos; probióticos en cuanto complementos dietéticos; productos dietéticos para usos médicos especiales [dietas equilibradas]; productos dietéticos y complementos nutricionales para uso médico; productos dietéticos y suplementos nutricionales para uso médico; proteínas de suero [complementos dietéticos]; proteínas de suero de leche [suplementos dietéticos]; proteínas de suero de leche en cuanto suplementos dietéticos; proteínas de suero en cuanto complementos dietéticos; sucedáneos dietéticos del azúcar para uso médico; suplementos de hierbas y dietéticos para facilitar la producción de leche en animales lactantes;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vitaminas, minerales y antioxidantes en cuanto complementos nutricionales y dietéticos; vitaminas, minerales y antioxidantes en cuanto suplementos nutricionales y dietéticos; complementos de proteínas para animales; complementos de proteínas para personas; complementos de proteínas para seres humanos; fracción de proteínas plasmáticas (humana); proteínas de suero de leche [complementos nutricionales]; proteínas de suero de leche [suplementos nutricionales]; proteínas de suero de leche en cuanto complementos nutricionales; proteínas de suero de leche en cuanto suplementos nutricionales; proteínas de suero de leche en polvo [complementos nutricionales]; proteínas de suero de leche en polvo [suplementos nutricionales]; proteínas de suero de leche en polvo en cuanto complementos nutricionales; proteínas de suero de leche en polvo en cuanto suplementos nutricionales; proteínas humanas recombinantes en cuanto preparaciones bioquímicas para uso médico; proteínas humanas recombinantes en cuanto preparados bioquímicos para uso médico; proteínas recombinantes en cuanto preparaciones bioquímicas para uso veterinario; proteínas recombinantes en cuanto preparados bioquímicos para uso veterinario; suplementos de proteínas para animales; suplementos de proteínas para personas; suplementos de proteínas para seres humanos.
29. Conservas de productos alimenticios a base de carne; grasas comestibles para ser utilizadas en la fabricación industrial de productos alimenticios; productos alimenticios a base de pescado; productos alimenticios compuestos esencialmente de carne; productos alimenticios compuestos principalmente de carne; productos alimenticios en los que predominan la carne; sucedáneos de la carne para uso industrial en la fabricación de productos alimenticios; bebidas a base de productos lácteos; crema artificial [sucedáneos de productos lácteos]; dips [salsas cremosas] a base de productos lácteos; dips a base de productos lácteos; fermentos lácteos para uso culinario; huevos, leche y productos lácteos; leche y productos lácteos; leche, queso, mantequilla, yogur y otros productos lácteos; leche, quesos, mantequilla, yogur y otros productos lácteos; nata artificial [sucedáneos de productos lácteos]; pastas a base de productos lácteos para untar; postres a base de productos lácteos; postres lácteos que no sean helados cremosos o yogures helados; postres lácteos refrigerados; preparaciones para la elaboración de helados cremosos [productos lácteos]; productos lácteos; productos lácteos a base de sucedáneos de la leche; productos lácteos cultivados; productos lácteos en forma de pasta para la elaboración de batidos de leche; productos lácteos en forma de pasta para la elaboración de helados cremosos; productos lácteos en forma de pasta para la elaboración de yogures congelados; productos lácteos en polvo para la elaboración de batidos de leche; productos lácteos en polvo para la elaboración de helados cremosos; productos lácteos en polvo para la elaboración de yogures congelados; productos lácteos en polvo para uso como sustitutos de comidas; productos lácteos fermentados; productos lácteos y sucedáneos lácteos; productos lácteos y sustitutos lácteos; requesón [productos lácteos]; salsas para mojar de productos lácteos; sucedáneos de la leche para añadir al café en los que predominan los productos lácteos; sucedáneos de la leche para el café compuestos principalmente de productos lácteos; sucedáneos de la leche que no sean productos lácteos; sucedáneos de la nata [sucedáneos de productos lácteos]; sucedáneos de productos lácteos a base de larvas de insectos; sucedáneos de productos lácteos basados en insectos; yogures no lácteos; polvos para la elaboración de batidos de leche; compuestos de proteínas vegetales texturizadas utilizadas como sucedáneos de la carne; extensores cárnicos en forma de proteínas vegetales texturizadas; extensores cárnicos en forma de proteínas vegetales texturizadas no formadas; leche enriquecida con proteínas; proteínas vegetales no texturizadas utilizadas como extensores cárnicos; proteínas vegetales texturizadas utilizadas como extensores cárnicos; sucedáneos de la carne a base de proteínas; sucedáneos de la carne preparados a partir de granos de soja [proteínas de soja texturizadas]; sucedáneos de la carne preparados a partir de granos de soya [proteínas de soja texturizadas]; sucedáneos de la carne preparados a partir de verduras, hortalizas y legumbres [proteínas vegetales texturizadas].
30. Aderezos alimenticios; aderezos alimenticios [salsas]; aglutinantes para productos alimenticios; aliños alimenticios; aliños alimenticios [salsas]; glaseados para productos alimenticios; helados alimenticios vegetales; productos alimenticios a base de maíz; productos alimenticios elaborados principalmente a partir de cereales; productos alimenticios en los que predomina la harina; productos alimenticios en los que predominan los cereales; productos de glaseado para productos alimenticios; helados cremosos lácteos; helados cremosos no lácteos; helados lácteos; helados no lácteos; monodosis llenos de helados cremosos lácteos; monodosis llenos de helados cremosos no lácteos; leche malteada en polvo utilizada en cuanto polvos de hornear; levadura, polvos de hornear; polvos azucarados con palitos de regaliz; polvos azucarados de limón [productos de confitería]; polvos de hornear; polvos para hacer natillas; polvos para la elaboración de sorbetes; polvos para la elaboración de yogures congelados; polvos para preparar crema inglesa; polvos para preparar helados cremosos; polvos para productos de pastelería y repostería; polvos para salsas; polvos y espesantes para helados; barritas de cereales ricas en proteínas; café enriquecido con proteínas; café enriquecido con proteínas que contiene proteínas de colágeno; café enriquecido con proteínas que contiene proteínas de suero.</t>
  </si>
  <si>
    <t>JOSE GUSTAVO  ACEVEDO HERRERA, Kl 4 VIA TIBACUY CA 10 - 2, SILVANIA, CUNDINAMARCA, CO</t>
  </si>
  <si>
    <t>LIVA</t>
  </si>
  <si>
    <t>WF 20632</t>
  </si>
  <si>
    <t>SOPHIA HOLDINGS S.A. DE C.V., Avenida Paseo del Pacífico 670, Colonia Gualadajara Technology Park, Zapopan, Jalisco, México, C.P. 45010, ZAPOPAN, JALISCO, MX</t>
  </si>
  <si>
    <t>5. Soluciones oftálmicas; productos oftálmicos.</t>
  </si>
  <si>
    <t>MAURICIO JARAMILLO CAMPUZANO, Calle 67 No. 7-35 Of 1204, BOGOTÁ, D.C., CO</t>
  </si>
  <si>
    <t>B BIONNABIS UNA PLANTA CON EL PODER DE CAMBIAR EL MUNDO</t>
  </si>
  <si>
    <t>02 feb. 2022</t>
  </si>
  <si>
    <t>BIONNABIS</t>
  </si>
  <si>
    <t>INDUSTRIA CANNABICA DE COLOMBIA SAS, Calle 23G No. 82-14, BOGOTÁ, D.C., CO</t>
  </si>
  <si>
    <t>5. Aceites medicinales, bálsamos, cremas, infusiones, jabones medicinales, lociones, relajantes musculares, geles, ungüentos, suplementos y en general todo tipo de preparaciones cosméticas, medicinales y alimenticias con CBD y cannabis medicinal.</t>
  </si>
  <si>
    <t>Carlos Andres  Pico Duarte, Calle 76 No. 54-11, BARRANQUILLA, ATLÁNTICO, CO</t>
  </si>
  <si>
    <t>17 feb. 2022</t>
  </si>
  <si>
    <t>SANTA RITA COLOMBIHARINA</t>
  </si>
  <si>
    <t>PAMPA S.A.S, CARRERA 7 E BIS # 68-147, CALI, VALLE DEL CAUCA, CO</t>
  </si>
  <si>
    <t>5. ALIMENTOS DIETÉTICOS PARA USO MÉDICO; ALIMENTOS PARA BEBÉS; AZÚCAR PARA USO MÉDICO; BEBIDAS DIETÉTICAS PARA USO MÉDICO; CARNE LIOFILIZADA PARA USO MÉDICO; COMPLEMENTOS ALIMENTICIOS A BASE DE GERMEN DE TRIGO; COMPLEMENTOS ALIMENTICIOS A BASE DE GLUCOSA, SUPLEMENTOS ALIMENTICIOS A BASE DE GLUCOSA; COMPLEMENTOS ALIMENTICIOS A BASE DE LEVADURA; SUPLEMENTOS ALIMENTICIOS A BASE DE LEVADURA; COMPLEMENTOS ALIMENTICIOS A BASE DE PROTEÍNAS, COMPLEMENTOS ALIMENTICIOS MINERALES; COMPLEMENTOS NUTRICIONALES; SUSTANCIAS DIETÉTICAS PARA USO MÉDICO, HARINAS LACTEADAS PARA BEBÉS; LECHE EN POLVO PARA BEBÉS; PREPARACIONES ALIMENTICIAS PARA BEBÉS, PREPARACIONES DE VITAMINAS.</t>
  </si>
  <si>
    <t>SERGIO ROBERTO CABRERA TORRES, AVENIDA 4N No. 25N-45 BARRIO SAN VICENTE, CALI, VALLE DEL CAUCA, CO</t>
  </si>
  <si>
    <t>WOUND COMPASS</t>
  </si>
  <si>
    <t>03 feb. 2022</t>
  </si>
  <si>
    <t>M2022/000038</t>
  </si>
  <si>
    <t>T.J.Smith and Nephew,Limited, PO Box 81, 101 Hessle Road Hull HU3 2BN, GB</t>
  </si>
  <si>
    <t>5, 9</t>
  </si>
  <si>
    <t>5. Apósitos médicos y quirúrgicos; apósitos para heridas.
9. Software descargable para asistir a los profesionales del cuidado de la salud en el área de asesoramiento sobre heridas y tratamiento de heridas.</t>
  </si>
  <si>
    <t>JAMES IAN RAISBECK LLINAS, Carrera 10 No. 97A– 13, Torre A, Oficina 507, BOGOTÁ, D.C., CO</t>
  </si>
  <si>
    <t>KANGUROO</t>
  </si>
  <si>
    <t>kangaroo</t>
  </si>
  <si>
    <t>daniela patiño blanco, Calle 91 #13a-44, 602, BOGOTÁ, D.C. 110221, CO</t>
  </si>
  <si>
    <t>5. Productos a base de recursos naturales para la disfunción eréctil, energizantes sexuales y vigorizantes sexuales.</t>
  </si>
  <si>
    <t>10 may. 2022</t>
  </si>
  <si>
    <t>TruMune</t>
  </si>
  <si>
    <t>TM45441CO00</t>
  </si>
  <si>
    <t>CAN Technologies, Inc., 15407 McGinty Road West Wayzata, MN 55391 USA, WAYZATA, MINNESOTA, US</t>
  </si>
  <si>
    <t>5, 31</t>
  </si>
  <si>
    <t>5. Aditivos alimentarios para preparaciones veterinarias; suplementos nutricionales para alimentos de animales; complementos alimenticios para animales de uso veterinario; suplementos nutricionales no medicinales para alimentos para animales.
31. Alimentos para animales; alimentos para animales de compañía.</t>
  </si>
  <si>
    <t>JUAN CARLOS CUESTA QUINTERO, CLL 72 # 10 -07 OFC 603, BOGOTÁ, D.C., CO</t>
  </si>
  <si>
    <t>29 jul. 2022</t>
  </si>
  <si>
    <t>Knabico</t>
  </si>
  <si>
    <t>04 feb. 2022</t>
  </si>
  <si>
    <t>CSA-KANABICO-CL3Y5</t>
  </si>
  <si>
    <t>HANNOVERSEAS SAS, Cl 129 A No. 93 51, BOGOTÁ, D.C., CO</t>
  </si>
  <si>
    <t>3. Productos cosméticos a base de cannabis.
5. Productos medicinales y farmacéuticos a base de cannabis.</t>
  </si>
  <si>
    <t>ANDRES CASAS SANTOFIMIO, carrera 7 No. 183 - 59 Oficina 107, BOGOTÁ, D.C., CO</t>
  </si>
  <si>
    <t>29 abr. 2022</t>
  </si>
  <si>
    <t>L-LFT</t>
  </si>
  <si>
    <t>NORMA LILIANA ARIAS GALINDO, TV 15 N 40B - 05 PISO 1, SOACHA, CUNDINAMARCA, CO</t>
  </si>
  <si>
    <t>5. Preparaciones medicinales para adelgazar; gotas vitamínicas; preparaciones medicinales orales para su administración en forma de gotas; suplementos alimenticios dietéticos.</t>
  </si>
  <si>
    <t>MAURICIO ANDRES GARCIA ACERO, calle 95 # 14 - 45 Of 801, BOGOTÁ, D.C., CO</t>
  </si>
  <si>
    <t>Cuettie</t>
  </si>
  <si>
    <t>011-IPEJ22 - TM APP Cuettie</t>
  </si>
  <si>
    <t>Guangzhou Sunda Supply Chain Management Limited , Room 003(office only), room 401, floor 4, building 31(building B), Colorland Center, No. 1, Cuiying Street, Nansha district, GUANGZHOU, GUANGDONG, CN</t>
  </si>
  <si>
    <t>5. Pañales para bebés, pañales para bebés, tampones sanitarios, toallas sanitarias, pantaletas sanitarias, champús medicados para mascotas, desinfectantes, alimentos para bebes, suplementos nutricionales, preparados nutracéuticos con fines terapéuticos o médicos, algodón antiséptico, pañales para mascotas, cambiadores de pañales, desechables, para bebés, pañales de natación, desechables, para bebés.</t>
  </si>
  <si>
    <t>CLAUDETTE VERNOT HERNÁNDEZ, Cra 13 # 90 – 17 (110221), BOGOTÁ, D.C. 110221, CO</t>
  </si>
  <si>
    <t>OSANA LIFE TE CUIDAMOS NATURALMENTE</t>
  </si>
  <si>
    <t>08 feb. 2022</t>
  </si>
  <si>
    <t>JUAN FELIPE  RESTREPO PÉREZ, Calle 71 Sur 43 B 63, SABANETA, ANTIOQUIA, CO</t>
  </si>
  <si>
    <t>5. Bebidas nutricionales enriquecidas con vitaminas para uso dietético; complementos alimenticios de vitaminas y minerales; complementos de vitaminas para productos alimenticios de consumo humano; complementos dietéticos de vitaminas; comprimidos de vitaminas; multivitaminas; preparaciones de vitaminas*; suplementos de vitaminas para productos alimenticios de consumo humano; sustancias dietéticas de vitaminas, minerales, aminoácidos y oligoelementos; sustancias dietéticas de vitaminas, minerales, aminoácidos y oligoelementos, ya sean por separado o combinadas; vitaminas; vitaminas para adultos; vitaminas para embarazadas; vitaminas para niños; preparaciones y suplementos nutricionales para la salud; productos dietéticos y suplementos nutricionales para uso médico; proteínas de suero de leche [suplementos nutricionales]; proteínas de suero de leche en cuanto suplementos nutricionales; proteínas de suero de leche en polvo [suplementos nutricionales]; proteínas de suero de leche en polvo en cuanto suplementos nutricionales; suplementos nutricionales; suplementos nutricionales compuestos principalmente de calcio; suplementos nutricionales líquidos.</t>
  </si>
  <si>
    <t>Santiago Restrepo V, Calle 21 Sur #41-117. Canta Piedra. Torre 3. Apto 917, ENVIGADO, ANTIOQUIA 055420, CO</t>
  </si>
  <si>
    <t>vittamol farmacia orthomolecular</t>
  </si>
  <si>
    <t>Registro vittamol</t>
  </si>
  <si>
    <t>VITTAMOL FARMACEUTICA SAS, calle 14 # 7-16, POPAYAN, CAUCA, CO</t>
  </si>
  <si>
    <t>CLAUDIA MILENA  VALENCIA TORRES , calle 14 # 7-16, POPAYAN, CAUCA 00019, CO</t>
  </si>
  <si>
    <t>19 ago. 2022</t>
  </si>
  <si>
    <t>Amazon Organics ¡ Amamos lo natural !</t>
  </si>
  <si>
    <t>10 mar. 2022</t>
  </si>
  <si>
    <t>amazonorganics1</t>
  </si>
  <si>
    <t>ANDRÉS MAURICIO AGUIRRE MUÑOZ, VEREDA LAS PLANADAS, MOCOA, PUTUMAYO 860001, CO</t>
  </si>
  <si>
    <t>1, 5, 31, 44</t>
  </si>
  <si>
    <t>1. Abonos orgánicos, estiércol y fertilizantes; abonos, fertilizantes para césped y pasto; biofertilizantes; biofertilizantes no químicos; compost [fertilizante]; compost, estiércol y fertilizantes; fertilizantes; fertilizantes [estiércol]; fertilizantes combinados; fertilizantes complejos; fertilizantes compuestos; fertilizantes con múltiples nutrientes; fertilizantes de liberación lenta para la jardinería; fertilizantes líquidos; fertilizantes minerales; fertilizantes naturales; fertilizantes orgánicos; fertilizantes para cultivos hidropónicos; fertilizantes para césped; fertilizantes para pasto; fertilizantes para plantas; fertilizantes para plantas de uso doméstico; fertilizantes para suelos; fertilizantes para suelos o tierra para macetas; fertilizantes para terrenos; fertilizantes para tierra de macetas; fertilizantes para tierra o mezclas de tierra para macetas; fertilizantes para uso agrícola; fertilizantes para uso doméstico; fertilizantes, abonos para césped y pasto; fertilizantes, fertilizantes para césped y pasto; mezclas de suelos [abonos orgánicos, estiércol y fertilizantes]; mezclas de suelos [compost, estiércol y fertilizantes]; piensos de jardín [fertilizantes]; preparaciones fertilizantes; preparaciones fertilizantes a base de minerales; productos fertilizantes a base de minerales.
5. Fungicidas para uso agrícola; fungicidas para uso hortícola; adhesivos para el control de plagas; biopesticidas para la agricultura; insecticidas para uso agrícola; productos para lavar el ganado [insecticidas]; suplementos nutricionales no medicinales para alimentos para animales; complementos nutricionales para piensos.
31. Micelios para la agricultura; alimentos para animales; alimentos para animales de granja; piensos; micelio para la agricultura.
44. Consultoría profesional en fertilizantes y otras preparaciones agrícolas; servicios de asesoramiento y consultoría en el uso de fertilizantes agrícolas y hortícolas; servicios de asesoramiento y consultoría relacionados con el uso de fertilizantes en agricultura, horticultura y silvicultura; suministro de información sobre el uso de fertilizantes; suministro de información sobre la pulverización de fertilizantes; control de plagas con fines agrícolas; control de plagas en la agricultura; control de plagas para la acuicultura; control de plagas para la horticultura; control de plagas para la silvicultura; control de plagas para uso agrícola; control de plagas para uso hortícola; control de plagas para uso silvícola; servicio de control de plagas para la agricultura, la horticultura y la silvicultura; servicios de asesoramiento y consultoría en eliminación de malas hierbas, así como control de plagas y animales dañinos en la agricultura, horticultura y silvicultura; servicios de control de plagas para la agricultura; servicios de control de plagas para la agricultura, la acuicultura, la horticultura y la silvicultura; servicios de control de plagas para uso agrícola; servicios de control de plagas para uso hortícola; servicios de control de plagas para uso silvícola; asesoramiento y consultoría en agricultura, horticultura y silvicultura; consultoría en agricultura, horticultura y silvicultura; eliminación de animales dañinos en la agricultura, horticultura y silvicultura, así como suministro de información al respecto; eliminación de malas hierbas en la agricultura, horticultura y silvicultura; servicios de agricultura, acuicultura, horticultura y silvicultura; servicios de agricultura, horticultura y silvicultura; servicios de asesoramiento y consultoría en el uso de abonos para la agricultura, horticultura y silvicultura; suministro de información en línea sobre agricultura, horticultura y silvicultura; suministro de información sobre agricultura, horticultura y silvicultura; suministro de información sobre la eliminación de animales dañinos en la agricultura, horticultura y silvicultura; consultoría en horticultura; consultoría en plantación de árboles, horticultura y arquitectura paisajística; consultoría sobre horticultura; eliminación de parásitos y animales dañinos, así como eliminación de malas hierbas en la agricultura, horticultura y silvicultura; horticultura; servicios de asesoramiento y consultoría en el uso de tratamientos no químicos para la agricultura y la horticultura sostenibles; servicios de consultoría en horticultura; servicios de control de plagas para la horticultura; servicios de plantación de árboles, horticultura y arquitectura paisajística; eliminación de parásitos en la agricultura, horticultura y silvicultura; servicios de silvicultura.</t>
  </si>
  <si>
    <t>CLOFITABS</t>
  </si>
  <si>
    <t>F660</t>
  </si>
  <si>
    <t>LABORATORIOS DE PRODUCTOS NATURASOL MORENO GARCIA ROJAS E HIJOS &amp; CIA. S. EN C. S., Vereda Canavita Sector Dulcinea, TOCANCIPA, CUNDINAMARCA, CO</t>
  </si>
  <si>
    <t>5. PRODUCTOS FARMACÉUTICOS, PRODUCTOS FITOTERAPEUTICOS PARA EL USO HUMANO, SUPLEMENTOS Y COMPLEMENTOS ALIMENTICIOS PARA PERSONAS.</t>
  </si>
  <si>
    <t>MARTHA AMPARO FONSECA FIERRO, CRA 7 No. 17-01 Oficina 435, BOGOTÁ, D.C., CO</t>
  </si>
  <si>
    <t>TAUROX</t>
  </si>
  <si>
    <t>18 feb. 2022</t>
  </si>
  <si>
    <t>LABORATORIOS ERMA S.A., Autop. Btá-Medellín Km 7 Celta Trade Park , FUNZA, CUNDINAMARCA, CO</t>
  </si>
  <si>
    <t>ANTONIO JOSE  RAMIREZ ZULUAGA, Autopista Btá-Medellín Km 7 Celta Trade Park , FUNZA, CUNDINAMARCA, CO</t>
  </si>
  <si>
    <t>HEMOCEL</t>
  </si>
  <si>
    <t>SOMOS MARTINA</t>
  </si>
  <si>
    <t>Smartina</t>
  </si>
  <si>
    <t>SOMOS MARTINA SAS, CALLE 87 No. 12A-70 APTO 1001, BOGOTÁ, D.C., CO</t>
  </si>
  <si>
    <t>5, 25</t>
  </si>
  <si>
    <t>5. Calzones absorbentes para la incontinencia; calzones higiénicos; calzones para la menstruación.
25. Calzones [ropa interior]; tops [prendas de vestir]; tops [ropa]; tops de señora.</t>
  </si>
  <si>
    <t>MARIA PAULINA VILLAZON APONTE, CRA 8A No. 96-07 PISO 2, BOGOTÁ, D.C., CO</t>
  </si>
  <si>
    <t>VALVERDE</t>
  </si>
  <si>
    <t>09 feb. 2022</t>
  </si>
  <si>
    <t>Luisa Fernanda  Castañeda Simanca, Carrera 38 No. 75b sur 257, SABANETA, ANTIOQUIA, CO</t>
  </si>
  <si>
    <t>5, 44</t>
  </si>
  <si>
    <t>5. Productos farmacéuticos, preparaciones para uso médico; productos higiénicos y sanitarios para uso médico; alimentos y sustancias dietéticas para uso médico, alimentos para bebés; complementos alimenticios para personas; emplastos, material para apósitos; material para empastes e improntas dentales; desinfectantes.
44. Servicios médicos; tratamientos de higiene y de belleza para personas.</t>
  </si>
  <si>
    <t>WILLIAM ORLANDO  QUIROGA, Carrera 13 No. 32-93. Torre 3, Oficina 708. Parque Central Baviera., BOGOTA, CUNDINAMARCA, CO</t>
  </si>
  <si>
    <t>BLEMIL PLUS PROTECH</t>
  </si>
  <si>
    <t>M19418</t>
  </si>
  <si>
    <t>SANBOY COMERCIO DE PRODUCTOS ALIMENTICIOS, S.L., C. Osca, 18-20 E-08830 SANT BOI DE LLOBREGAT (Barcelona), SANT BOI DE LLOBREGAT, BARCELONA, ES</t>
  </si>
  <si>
    <t>5. Alimentos para bebés.</t>
  </si>
  <si>
    <t>XIMENA CASTELLANOS ABONDANO, Calle 117 No. 5A - 35 piso 3, BOGOTÁ, D.C., CO</t>
  </si>
  <si>
    <t>10 jun. 2022</t>
  </si>
  <si>
    <t>EDO IMISAN</t>
  </si>
  <si>
    <t>LABORATORIOS EDO S.A.S., CALLE 13 NO. 38- 86 ACOPI, YUMBO, VALLE DEL CAUCA, CO</t>
  </si>
  <si>
    <t>5. Productos farmacéuticos para uso médico veterinario.</t>
  </si>
  <si>
    <t>MASS BUILDER</t>
  </si>
  <si>
    <t>22 feb. 2022</t>
  </si>
  <si>
    <t>NUTRITION S.A.S., AV 2 BIS 16 N 27, CALI, VALLE DEL CAUCA 110001, CO</t>
  </si>
  <si>
    <t>5. Alimentos y sustancias dietéticas para uso médico o veterinario.</t>
  </si>
  <si>
    <t>CARLOS ARTURO ESCOBAR BOTERO, AV 2 BIS 26 N27, CALI, VALLE DEL CAUCA 110000, CO</t>
  </si>
  <si>
    <t>MASS BUILDER ZERO</t>
  </si>
  <si>
    <t>09 ago. 2022</t>
  </si>
  <si>
    <t>NITROX</t>
  </si>
  <si>
    <t>16 feb. 2022</t>
  </si>
  <si>
    <t>SMART BAR</t>
  </si>
  <si>
    <t>SMART BULK</t>
  </si>
  <si>
    <t>VCL JEUNESSE</t>
  </si>
  <si>
    <t>14 feb. 2022</t>
  </si>
  <si>
    <t>729097280REG</t>
  </si>
  <si>
    <t>JEUNESSE GLOBAL HOLDINGS, LLC, 701 INTERNATIONAL PARKWAY, LAKE MARY, FLORIDA 32746, ESTADOS UNIDOS DE AMERICA, LAKE MARY, FLORIDA, US</t>
  </si>
  <si>
    <t>5. Suplementos dietéticos y nutricionales; suplementos dietéticos proteicos; suplementos vitamínicos y minerales.</t>
  </si>
  <si>
    <t>PALMIER</t>
  </si>
  <si>
    <t>HEALTHY AMERICA COLOMBIA S.A.S., CRA. 37 NO. 13 - 186	, YUMBO, VALLE DEL CAUCA, CO</t>
  </si>
  <si>
    <t>5. Medicamentos; medicamentos fitoterapéuticos para el consumo humano; productos farmacéuticos; preparaciones para uso médico; alimentos y sustancias dietéticas para uso médico; complementos alimenticios para personas; complementos dietéticos con efecto cosmético; suplementos dietéticos con efecto cosmético; cremas para el cuidado de la piel, medicinales.</t>
  </si>
  <si>
    <t>LAURA CONSTANZA  ROJAS VEGA , CALLE 93 No. 11 A-28 OFICINA 601 EDIFICIO CAPITAL PARK 93, BOGOTÁ, D.C., CO</t>
  </si>
  <si>
    <t>KARVIL</t>
  </si>
  <si>
    <t>11 feb. 2022</t>
  </si>
  <si>
    <t>4808</t>
  </si>
  <si>
    <t>TORRENT PHARMACEUTICALS LIMITED, Ashram Road, Ahmedabad - 380009, Gujarat, India, AHMEDABAD, GUJARAT, IN</t>
  </si>
  <si>
    <t>5. Producto farmacéutico para tratar la insuficiencia cardíaca y la hipertensión; angina pectoris; funcional para mejorar el flujo sanguíneo y disminuir la presión arterial.</t>
  </si>
  <si>
    <t>EDUARDO DORADO SANCHEZ , Calle 123 No. 7 - 51 Oficina 902, BOGOTÁ, D.C., CO</t>
  </si>
  <si>
    <t>FESTAL</t>
  </si>
  <si>
    <t>MARKATRADE INC., Ave. Samuel Lewis y Calle Gerardo Ortega, Edif. Central, 5to Piso, Panamá., CIUDAD DE PANAMA, PANAMA, PA</t>
  </si>
  <si>
    <t>CAROLINA VERA MATIZ, CALLE 70A No. 11-43, BOGOTÁ, D.C., CO</t>
  </si>
  <si>
    <t>RIX</t>
  </si>
  <si>
    <t>13 feb. 2022</t>
  </si>
  <si>
    <t>LABORATORIO PROFESIONAL FARMACEUTICO S.A.S. LABORATORIOS LAPROFF S.A.S., CARRERA 43A NO. 61-84, SABANETA, ANTIOQUIA, CO</t>
  </si>
  <si>
    <t>ALEJANDRO RIBERO RUEDA, Cra. 50 # 12-04 Sur, Serramonte 5 Cs 61, VILLAVICENCIO, META, CO</t>
  </si>
  <si>
    <t>DEXPERTA</t>
  </si>
  <si>
    <t>BLAU FARMACEUTICA COLOMBIA S A S, TRANSV 93 NO. 53 - 48 INT. 52, BOGOTÁ, D.C., CO</t>
  </si>
  <si>
    <t>5. Medicamentos; medicamentos para uso humano; medicamentos para uso médico; medicamentos y agentes terapéuticos.</t>
  </si>
  <si>
    <t>JULIO CESAR NICOLAS ACEVEDO ORREGO, calle 110 #  9 - 25 oficina 810, BOGOTÁ, D.C., CO</t>
  </si>
  <si>
    <t>X MantixVet</t>
  </si>
  <si>
    <t>Maria Camila Medrano Arce, Cl. 86 #28-35 Jardines del Nogal apt 1053, PEREIRA, RISARALDA, CO</t>
  </si>
  <si>
    <t>5. Desinfectantes; desinfectantes multiuso; desinfectantes para uso veterinario; desinfectantes y antisépticos.</t>
  </si>
  <si>
    <t>Catnip Colombia</t>
  </si>
  <si>
    <t>Susana Perez Calle, Carrera 46A #29 Sur 15. Vía Serrano, 1409. , ENVIGADO, ANTIOQUIA 0000, CO</t>
  </si>
  <si>
    <t>5, 28, 31</t>
  </si>
  <si>
    <t>5. Estimulantes alimenticios para animales.
28. Juguetes para animales de compañía.
31. Objetos comestibles y masticables para animales.</t>
  </si>
  <si>
    <t>LABORATORIOS ITALPHARMA</t>
  </si>
  <si>
    <t>CSA-LABORATORIOSITALPHARMA-CL5</t>
  </si>
  <si>
    <t>LABORATORIOS ITALPHARMA S.A.S., CL 76 No 46 - 64, BARRANQUILLA, ATLÁNTICO, CO</t>
  </si>
  <si>
    <t>5. Productos farmacéuticos para uso humano.</t>
  </si>
  <si>
    <t>SPINOBAK</t>
  </si>
  <si>
    <t>15 feb. 2022</t>
  </si>
  <si>
    <t>M19425</t>
  </si>
  <si>
    <t>MANKIND PHARMA LIMITED, 208, OKHLA INDUSTRIAL ESTATE, PHASE – III, NUEVA DELHI, DELHI, IN</t>
  </si>
  <si>
    <t>5. PREPARACIONES FARMACÉUTICAS Y VETERINARIAS; PREPARACIONES SANITARIAS PARA USO MÉDICO; ALIMENTOS DIETÉTICOS Y SUSTANCIAS ADAPTADAS PARA USO MÉDICO O VETERINARIO, ALIMENTOS PARA BEBÉS; COMPLEMENTOS DIETÉTICOS PARA HUMANOS Y ANIMALES; EMPLASTOS, MATERIALES PARA APÓSITOS; MATERIAL PARA EMPASTES DENTALES, CERAS PARA IMPRONTAS DENTALES; DESINFECTANTES; PRODUCTOS PARA ELIMINAR PARÁSITOS; FUNGICIDAS, HERBICIDAS.</t>
  </si>
  <si>
    <t>ENTEROLAC</t>
  </si>
  <si>
    <t>SOL. ENTEROLAC CL. 5</t>
  </si>
  <si>
    <t>LABORATORIOS INCOBRA S.A., CALLE  46 NO. 46-117/157, BARRANQUILLA, ATLÁNTICO, CO</t>
  </si>
  <si>
    <t>5. Productos farmacéuticos, preparaciones para uso médico y veterinario; productos higiénicos y sanitarios para uso médico; alimentos y sustancias dietéticas para uso médico o veterinario, alimentos para bebés; suplementos dietarios; complementos alimenticios para personas o animales; emplastos, material para apósitos; material para empastes e improntas dentales; desinfectantes; productos para eliminar animales dañinos; fungicidas, herbicidas.</t>
  </si>
  <si>
    <t>JOSE LUIS JORGE SUAREZ CAVELIER, CRA 4B No. 26A-39 OFC 404, BOGOTÁ, D.C., CO</t>
  </si>
  <si>
    <t>COLLAGEN FLEX</t>
  </si>
  <si>
    <t>SOL. COLLAGEN FLEX CL. 5</t>
  </si>
  <si>
    <t>COLLAGEN SKIN</t>
  </si>
  <si>
    <t>SOL. COLLAGEN SKIN CL. 5</t>
  </si>
  <si>
    <t>AUTO FRESCO</t>
  </si>
  <si>
    <t>SM MARKEN GMBH, INTERTRUST SERVICES (SGCWEIZ) AG, ALPENSTRASSE 15, 6304, ZUG, ZUG, CH</t>
  </si>
  <si>
    <t>5. Ambientadores.</t>
  </si>
  <si>
    <t>CAMILO JAVIER GOMEZ RIVEROS, Carrera 11 No. 86-32 OFC. 603, BOGOTÁ, D.C., CO</t>
  </si>
  <si>
    <t>Hidroxia</t>
  </si>
  <si>
    <t>SOLICITUD MARCA HIDROXIA CL 05</t>
  </si>
  <si>
    <t>ARMESSO S.A.S., CRA 129 NO 22B - 57 INT 24, BOGOTÁ, D.C., CO</t>
  </si>
  <si>
    <t>5. Preparaciones y productos farmacéuticos para el cuidado de la piel (cutis); cremas medicinales para el cuidado, hidratación y tratamiento de la piel (cutis); preparaciones medicinales para el cutis.</t>
  </si>
  <si>
    <t>JUAN PABLO REYES VILLAMIZAR, CARRERA 17 NO. 88-23 OFICINA 205, BOGOTÁ, D.C., CO</t>
  </si>
  <si>
    <t>CANABCARE</t>
  </si>
  <si>
    <t>DIANA MARIA ZULUAGA DUQUE, CRA 30 A No 17 sur 36 apto 401, MEDELLIN, ANTIOQUIA, CO</t>
  </si>
  <si>
    <t>RICARDO  VALENCIA , CALLE 10 N43D 64 APTO 303, MEDELLIN, ANTIOQUIA, CO</t>
  </si>
  <si>
    <t>Fluxacid Forte</t>
  </si>
  <si>
    <t>6396</t>
  </si>
  <si>
    <t>BIONUTRECT SAS, Calle 15 No. 32 -450 Km 2 vía Acopi Yumbo, YUMBO, VALLE DEL CAUCA, CO</t>
  </si>
  <si>
    <t>5. Medicamentos; medicamentos para el tratamiento de enfermedades gastrointestinales; medicamentos para uso médico; productos farmacéuticos; preparaciones para uso médico y veterinario.</t>
  </si>
  <si>
    <t>LA SANTÉ MINOXIDIL FORTE 5%</t>
  </si>
  <si>
    <t>LABORATORIOS LA SANTE S.A, CALLE 17A No 32 - 34, BOGOTÁ, D.C., CO</t>
  </si>
  <si>
    <t>5. Productos farmacéuticos, preparaciones para uso médico y veterinario; productos higiénicos y sanitarios para uso médico.</t>
  </si>
  <si>
    <t>MARIA CAROLINA MOISES MORA, Calle 17A No. 32-34, BOGOTÁ, D.C., CO</t>
  </si>
  <si>
    <t>21 jun. 2022</t>
  </si>
  <si>
    <t>Pollux</t>
  </si>
  <si>
    <t>19 feb. 2022</t>
  </si>
  <si>
    <t>Andrés David Botero Duque, Calle 10a # 10-190 edificio paradisia apto 1503, MEDELLIN, ANTIOQUIA, CO</t>
  </si>
  <si>
    <t>ROWSONG</t>
  </si>
  <si>
    <t>21 feb. 2022</t>
  </si>
  <si>
    <t>NINGBO SUNJOY BIOSCIENCE CO.,LTD., Room 404-15-2, Building 4, Jishixingu, Jishigang, Haishu, Ningbo, Zhejiang, China, NINGBO, ZHEJIANG, CN</t>
  </si>
  <si>
    <t>5. Pesticidas; repelentes de insectos; herbicidas; productos para eliminar larvas; acaricidas; productos para eliminar ratones; insecticidas; preparaciones para esterilizar suelos; biocidas; fungicidas; germicidas; productos para eliminar babosas; preparaciones químicas para tratar el tizón del trigo; preparaciones químicas para tratar el carbón del trigo; productos químicos para tratar la filoxera; productos para eliminar parásitos; alguicidas; preparaciones químicas para tratar las enfermedades de las plantas de cereales; preparaciones químicas para tratar las enfermedades de la vid; raticidas.</t>
  </si>
  <si>
    <t>DOWNYSTAR</t>
  </si>
  <si>
    <t>CANNBIA</t>
  </si>
  <si>
    <t>202201</t>
  </si>
  <si>
    <t>CANNBIA LAB S.A.S., CR 53 No 106 - 280 OF 7, BARRANQUILLA, ATLÁNTICO, CO</t>
  </si>
  <si>
    <t>3, 5, 42</t>
  </si>
  <si>
    <t>3. Cosméticos; cosméticos a base de cannabis; cosméticos a base de cáñamo; cosméticos de belleza; cosméticos naturales; cosméticos a base de hierbas; cosméticos naturales; cosméticos ecológicos; cosméticos para cuidados corporales y estéticos; cosméticos para el cuidado del cuerpo; cosméticos y preparaciones cosméticas; cosméticos y preparaciones de cuidado personal; productos cosméticos y de maquillaje; preparaciones cosméticas, aceites de cáñamo a base de cbd para uso cosmético; preparaciones para el cuidado de la piel a base de cbd; productos cosméticos de cbd; preparaciones fito-cosméticas; terpenos [aceites esenciales]; aceites para cosméticos y preparaciones de tocador.
5. Cannabis medicinal en forma de aceites para facilitar la administración de fármacos; cannabis medicinal en forma de tisanas; cannabis medicinal en forma de tisanas para uso medicinal; cannabis para uso médico; suplementos dietéticos con efecto cosmético; productos y derivados para la elaboración y preparación de: productos farmacéuticos, veterinarios, alimenticios y preparaciones de uso médico, provenientes de material vegetal, tanto de cannabis, cañamo y de otras plantas o especies vegetales autorizadas por ley; extractos de plantas y tes para uso médico; extractos de plantas para uso farmacéutico; tinturas para uso médico; preparaciones de vitaminas; aceites, hierbas, raíces, pociones, infusiones medicinales; hierbas de fumar para uso médico.
42. Análisis de laboratorio en el ámbito de los productos cosméticos; ensayos de cosméticos; investigación en laboratorio en el ámbito de los productos cosméticos; servicios de prueba, inspección e investigación en los ámbitos de los productos farmacéuticos, los productos cosméticos y los alimentos; servicios científicos, así como de investigación y desarrollo en estos ámbitos; investigación industrial; investigación biológica; test cosméticos; inspección de cosméticos.</t>
  </si>
  <si>
    <t>FRANK FELIPE  LAMADRID FLORIAN, CARRERA 53 # 106 - 280, CENTRO EMPRESARIAL BUENAVISTA, OFICINA 7A1, BARRANQUILLA, ATLÁNTICO, CO</t>
  </si>
  <si>
    <t>08 nov. 2022</t>
  </si>
  <si>
    <t>P PROGA-GL PROTECTANTE ORGÁNICO GLUCANASA</t>
  </si>
  <si>
    <t>M 2021/2392</t>
  </si>
  <si>
    <t>COMPAÑIA NACIONAL DE LEVADURAS LEVAPAN S.A., Carrera 7 # 71 - 52 Torre B Oficina 1301, BOGOTÁ, D.C., CO</t>
  </si>
  <si>
    <t>5. Bioinsumo basado en mezcla de bioingredientes derivados de la levadura que se ofrecerá como tratamiento preventivo de enfermedades generadas por hongos como sigatoka o botrytis.</t>
  </si>
  <si>
    <t>CAROLINA MERCEDES DAZA MONTALVO, CARRERA 11 No. 86 - 53 PISO 6, BOGOTÁ, D.C., CO</t>
  </si>
  <si>
    <t>PUMP NOX EDGE</t>
  </si>
  <si>
    <t>PUM NOX EDGE</t>
  </si>
  <si>
    <t>EQUIVAC</t>
  </si>
  <si>
    <t>23 feb. 2022</t>
  </si>
  <si>
    <t>LABORATORIOS PISA S.A DE C.V., AVENIDA ESPAÑA NO. 1840, COL. MODERNA C.P. 44190, GUADALAJARA, JALISCO, MX</t>
  </si>
  <si>
    <t>5. PRODUCTOS FARMACÉUTICOS, PREPARACIONES PARA USO MÉDICO.</t>
  </si>
  <si>
    <t>CARLOS FERNANDO MORENO GARCIA, ​Calle 64 No 09 - 05 ofc 302 y 303, BOGOTÁ, D.C., CO</t>
  </si>
  <si>
    <t>Piel Rosa</t>
  </si>
  <si>
    <t>25 feb. 2022</t>
  </si>
  <si>
    <t>001</t>
  </si>
  <si>
    <t>mariana toro gomez, calle 20 # 33 - 08 apt 401 quintas de la florida, CARMEN DE VIBORAL, ANTIOQUIA 054030, CO</t>
  </si>
  <si>
    <t>3. Aceites cosméticos para la piel; composiciones para aclarar la piel [cosméticos]; cremas para el cuidado de la piel que no sean de uso médico; hidratantes cosméticas para el rostro; jabones líquidos para las manos, el rostro y el cuerpo; preparaciones de maquillaje para el rostro y el cuerpo; tónicos cosméticos para el rostro; bloqueador solar [cosméticos]; mascarillas para la piel [cosméticos]; preparaciones cosméticas para proteger la piel de los rayos del sol; exfoliantes corporales; exfoliantes corporales cosméticos; cremas cosméticas para el cuidado de la piel; cremas no medicinales para la piel; maquillaje para la piel.
5. Preparaciones para el tratamiento del acné.</t>
  </si>
  <si>
    <t>TUCAT</t>
  </si>
  <si>
    <t>24 feb. 2022</t>
  </si>
  <si>
    <t>LABORATORIOS RICHMOND S.A.C.I.F., Calle Elcano 4938, BUENOS AIRES, DISTRITO FEDERAL / BUENOS AIRES N/A, AR</t>
  </si>
  <si>
    <t>5. Medicamentos.</t>
  </si>
  <si>
    <t>GUSTAVO RAMIREZ BALLESTEROS, CL 92 No 19 - 60, Apto. 201, BOGOTA, CUNDINAMARCA 110221, CO</t>
  </si>
  <si>
    <t>EURIT</t>
  </si>
  <si>
    <t>HIDROSKY - COLÁGENO HIDROLIZADO</t>
  </si>
  <si>
    <t>Colágeno Hidrolizado</t>
  </si>
  <si>
    <t>SKYPHARMA SAS, Carrera 65 No. 97 - 05, BOGOTÁ, D.C., CO</t>
  </si>
  <si>
    <t>5. Suplementos alimenticios destinados a completar una dieta normal o a beneficiar la salud. - COLÁGENO HIDROLIZADO.</t>
  </si>
  <si>
    <t>Pilar Amanda Russi Cervantes, Carrera 65 No. 97 - 05, BOGOTÁ, D.C., CO</t>
  </si>
  <si>
    <t>QUANIL PHARMA</t>
  </si>
  <si>
    <t>01 mar. 2022</t>
  </si>
  <si>
    <t>CAMILA VARGAS HENAO, CL 36D SUR NO 26A 62 CS 132, ENVIGADO, ANTIOQUIA, CO</t>
  </si>
  <si>
    <t>5. Extractos de plantas medicinales; extractos de plantas para uso farmacéutico; extractos de plantas para uso médico; extractos de plantas y hierbas para uso medicinal.</t>
  </si>
  <si>
    <t>ARTICULOR</t>
  </si>
  <si>
    <t>26 feb. 2022</t>
  </si>
  <si>
    <t>JHON EDISSON ZULUAGA BUILES, DG 55AB # 18A 65, RIONEGRO, ANTIOQUIA, CO</t>
  </si>
  <si>
    <t>5. Extractos de plantas y hierbas para uso medicinal.</t>
  </si>
  <si>
    <t>YOUNIQUE DAILY YOU</t>
  </si>
  <si>
    <t>Younique, LLC, 3400 Mayflower Ave. Lehi UT 84043, US</t>
  </si>
  <si>
    <t>5. Suplementos dietéticos con efecto cosmético.</t>
  </si>
  <si>
    <t>SANDRA MILENA RODRIGUEZ SARMIENTO, Calle 94A No. 11A-39 OFC. 403, BOGOTÁ, D.C., CO</t>
  </si>
  <si>
    <t>01 sept. 2021</t>
  </si>
  <si>
    <t>furrys</t>
  </si>
  <si>
    <t>Mariana  yepes baena, calle 7d #43a-99, MEDELLIN, ANTIOQUIA 050025, CO</t>
  </si>
  <si>
    <t>3, 5, 18, 25, 35</t>
  </si>
  <si>
    <t>3. Esponjas impregnadas con jabones; esponjas impregnadas con jabones para uso doméstico; jabones antitranspirantes; jabones antitranspirantes para los pies; jabones corporales no medicados; jabones cosméticos; jabones de acero inoxidable; jabones de baño; jabones de baño en forma líquida, sólida o de gel; jabones de ducha; jabones de lufa; jabones de papel para uso personal; jabones de tocador; jabones de tocador no medicinales; jabones de tocador perfumados; jabones desodorantes; jabones desodorantes a base de cáñamo; jabones desodorizantes; jabones detergentes; jabones en crema; jabones en crema para el cuerpo; jabones en forma líquida; jabones en polvo no medicinales; jabones faciales; jabones industriales; jabones líquidos; jabones líquidos no medicinales; jabones líquidos para baños de pies; jabones líquidos para el baño; jabones líquidos para el cabello y el cuerpo; jabones líquidos para las manos y el rostro; jabones líquidos para las manos, el rostro y el cuerpo; jabones no medicados para el cuerpo; jabones no medicados para la cara; jabones no medicados para las manos; jabones no medicinales; jabones para alfombras; jabones para avivar los colores de materias textiles; jabones para el cuerpo; jabones para el cuidado del cuerpo; jabones para guarnicionería; jabones para la colada; jabones para la ducha; jabones para la piel; jabones para las manos; jabones para lavar la ropa; jabones para silla de montar; jabones para uso doméstico; jabones para uso personal; jabones perfumados; jabones vegetales; jabones y detergentes; jabones*; jabones*; aceites esenciales para aromatizar los alimentos; aceites esenciales utilizados como aromatizantes para alimentos; aceites esenciales utilizados como saborizantes para alimentos; esencias comestibles para alimentos [aceites esenciales]; esencias comestibles para alimentos [esencias etéricas]; aceites de limpieza; aceites de pino para la limpieza de suelos; agentes de limpieza para uso doméstico; agentes y preparaciones de limpieza; agua micelar de limpieza; almidón para uso de limpieza; almohadillas de limpieza impregnadas con cosméticos; almohadillas de limpieza impregnadas con productos cosméticos; almohadillas de limpieza impregnadas de cosméticos; almohadillas de limpieza prehumedecidas; almohadillas de limpieza preimpregnadas; almohadillas, toallitas o pañitos de limpieza prehumedecidos o impregnados; amoníaco de limpieza; cremas de limpieza; cremas de limpieza [cosméticos]; cremas de limpieza [para uso cosmético]; cremas de limpieza [productos cosméticos]; cremas de limpieza para uso cosmético; detergentes para la limpieza de la ropa para uso doméstico; detergentes para la limpieza que no sean para procesos de fabricación; esponjas impregnadas con preparaciones para la limpieza; espuma de limpieza; espumas de limpieza; geles de limpieza de inodoros; geles de limpieza para los dientes; geles para la limpieza de los dientes; granulados de limpieza facial; leches de limpieza facial; lejía para uso en la limpieza; lociones de limpieza dental; líquidos de limpieza; líquidos de limpieza en seco; líquidos de limpieza para objetivos de cámaras; mascarillas faciales de limpieza profunda; materiales de chorreado para la limpieza de superficies; materiales de limpieza por chorro que contienen minerales triturados; materiales de limpieza por granallado; materiales en forma de granallado para la limpieza a chorro; pañitos de limpieza impregnados con preparaciones de tocador; pañitos de limpieza prehumedecidos; pañitos de limpieza preimpregnados; paños de limpieza húmedos; paños de limpieza impregnados con detergente; paños impregnados con preparaciones de limpieza; paños impregnados de detergentes para la limpieza de objetivos de cámaras; paños impregnados de preparaciones de limpieza; paños impregnados de productos de limpieza para la piel; preparaciones de limpieza; preparaciones de limpieza dental; preparaciones de limpieza nasal para la higiene personal; preparaciones de limpieza no medicadas; preparaciones de limpieza no medicadas para el cuerpo; preparaciones de limpieza no saponáceas; preparaciones de limpieza para azulejos; preparaciones de limpieza para cristales; preparaciones de limpieza para el baño; preparaciones de limpieza para el cuerpo; preparaciones de limpieza para el hogar; preparaciones de limpieza para gomas y ruedas de automóviles; preparaciones de limpieza para gomas y ruedas de vehículos; preparaciones de limpieza para las manos; preparaciones de limpieza para neumáticos de vehículos, llantas y cubos de ruedas; preparaciones de limpieza para neumáticos y ruedas de automóviles; preparaciones de limpieza para neumáticos y ruedas de vehículos; preparaciones de limpieza para uso doméstico; preparaciones de limpieza para uso en los inodoros; preparaciones de limpieza para vidrios; preparaciones de limpieza polivalentes; preparaciones exfoliantes y de limpieza para la piel; preparaciones para el cuidado y la limpieza del cabello; preparaciones para el cuidado y limpieza de los animales; preparaciones para la limpieza de dentaduras postizas; preparaciones para la limpieza de los platos; preparaciones para la limpieza de superficies duras; preparaciones para la limpieza del baño; preparaciones para la limpieza del cabello; preparaciones químicas de limpieza para uso doméstico; productos de limpieza; productos de limpieza alcalinos en forma líquida para desagües; productos de limpieza alcalinos en forma sólida para desagües; productos de limpieza alcalinos para desagües; productos de limpieza cáusticos para desagües; productos de limpieza en aerosoles para productos textiles; productos de limpieza en aerosoles para refrescar protectores bucales para deportes;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enzimáticos para desagües; productos de limpieza oxidantes para desagües; productos de limpieza para cristales; productos de limpieza para el hogar; productos de limpieza para las pestañas; productos de limpieza para uso doméstico; desodorantes para mascotas; desodorizantes para mascotas; toallitas impregnadas con preparaciones de limpieza para mascotas.
5. Jabones antibacterianos para la piel; jabones carbólicos; jabones desinfectantes perfumados; jabones medicinales; jabones y detergentes medicinales y desinfectantes; lavados desinfectantes que no sean jabones; jabones antibacterianos; jabones desinfectantes; jabones desinfectantes; alimentos y suplementos alimenticios sin gluten, todos adecuados a fines médicos; antioxidantes utilizados como suplementos alimenticios; bacterias probióticas [suplementos alimenticios]; bacterias probióticas en cuanto suplementos alimenticios; bebidas de leche malteada en cuanto suplementos alimenticios para bebés; bebidas de leche malteada en cuanto suplementos alimenticios para minusválidos; bebidas nutricionales en cuanto suplementos alimenticios;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proteínas de suero de leche [suplementos alimenticios]; proteínas de suero de leche en cuanto suplementos alimenticios;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aditivos en forma de vitaminas y minerales para alimentos para animales de compañía; alimentos a base de albúmina para uso médico; alimentos complementarios para uso veterinario; alimentos dietéticos medicinales para animales; alimentos dietéticos para uso médico; alimentos dietéticos para uso veterinario; alimentos medicinales para animales; alimentos para bebés; alimentos para bebés especialmente leche en polvo para bebés; alimentos para bebés y niños pequeños; alimentos para diabéticos; alimentos para lactantes; alimentos para niños; alimentos para niños pequeños; alimentos sin gluten adaptados a fines médicos; alimentos y aditivos alimentarios sin gluten, todos adecuados a fines médicos; alimentos y bebidas dietéticos para uso médico; alimentos y bebidas dietéticos para uso médico o veterinario; alimentos y bebidas dietéticos para uso veterinario; alimentos y sustancias dietéticas para uso médico o veterinario; alimentos y sustancias dietéticas para uso médico o veterinario, alimentos para bebés; complementos medicinales para alimentos destinados a los animales; complementos nutricionales para alimentos de animales; suplementos minerales para alimentos; suplementos nutricionales no medicinales para alimentos para animales; suplementos nutricionales para alimentos de animales para uso médico; botiquines de primeros auxilios para mascotas; bragas higiénicas para mascotas; collares antipulgas para mascotas; complementos vitamínicos y minerales para mascotas; desodorantes de bandejas higiénicas para mascotas; envolturas sanitarias [pañales para mascotas]; estuches de primeros auxilios para mascotas; kits de primeros auxilios para mascotas; medicamentos de prevención contra los nematodos parásitos de mascotas; pañales para mascotas; preparaciones desodorantes de bandejas higiénicas para mascotas; preparaciones para el tratamiento contra pulgas y garrapatas de mascotas; preparaciones para neutralizar los olores dejados por las mascotas; preparados desodorantes para bandejas higiénicas para mascotas; vitaminas para mascotas.
18. Artículos de guarnicionería, fustas y vestuario para animales; vestuario para animales; vestuario para animales de compañía; vestuario para mascotas; arneses para mascotas; bolsas para transportar mascotas; bolsos para transportar mascotas; botines para mascotas; collares para mascotas; correas para mascotas; escarpines para mascotas; ropa para mascotas; ropa para mascotas con led incorporado; vestimenta para mascotas.
25. Artículos de vestuario; mascarillas faciales de punto en cuanto artículos de vestuario; vestuario; vestuario de teatro; vestuario teatral.
35. Servicios de venta minorista o mayorista de jabones; servicios de venta minorista o mayorista de productos cosméticos, productos de tocador, dentífricos, jabones y detergentes; servicios de venta minorista o mayorista de productos cosméticos, productos de tocador, dentífricos, jabones y detergentes; servicios de agencia de ventas de suplementos alimenticios dietéticos; administración comercial para tramitar ventas realizadas por internet; administración de programas de incentivos de ventas y promocionales; administración de programas de incentivos para la promoción de ventas; administración de ventas; administración de ventas de bienes inmuebles; agencias de representación artística con fines publicitarios y de promoción de ventas; consultoría sobre la optimización de motores de búsqueda para la promoción de ventas; consultoría sobre promoción de ventas; demostración de ventas para terceros; gestión de ventas; información sobre el ranking de las ventas de productos; información sobre la clasificación de las ventas de productos; información sobre las ventas de productos; optimización de motores de búsqueda con fines de promoción de ventas; organización de ventas en pública subasta; organización y celebración de ventas en pública subasta; organización, establecimiento y supervisión de programas de incentivos promocionales y de ventas; promoción de productos y servicios de terceros mediante la administración de programas de ventas e incentivos promocionales mediante cupones comerciales; promoción de ventas; promoción de ventas en puntos de compra o de venta, para terceros; promoción de ventas mediante la administración de cupones de fidelización de consumidores; promoción de ventas mediante la administración de códigos de fidelización de consumidores; promoción de ventas mediante la administración de puntos de fidelización de consumidores; promoción de ventas mediante la administración de tarjetas de fidelización de consumidores; promoción de ventas mediante programas de fidelización de clientes; promoción de ventas para terceros; promoción de ventas para terceros por medio de tarjetas de usuarios preferentes; promoción de ventas por cuenta de terceros mediante programas de cupones; promoción de ventas por medios audiovisuales; publicidad y promoción de ventas de productos y servicios; publicidad y promoción de ventas de productos y servicios disponibles en línea; publicidad y promoción de ventas sobre productos y servicios; seguimiento del volumen de ventas por cuenta de terceros; servicios de administración comercial para el procesamiento de ventas realizadas en una red informática mundial; servicios de administración comercial para el procesamiento de ventas realizadas por internet; servicios de administración de ventas; servicios de agencia de ventas de aceites esenciales para la perfumería; servicios de agencia de ventas de automóviles; servicios de agencia de ventas de bebidas a base de té; servicios de agencia de ventas de bebidas de frutas; servicios de agencia de ventas de motocicletas; servicios de agencia de ventas de piezas y accesorios de automóviles; servicios de agencia de ventas de piezas y accesorios de motocicletas; servicios de agencia de ventas de preparaciones farmacéuticas; servicios de agencia de ventas de productos cosméticos; servicios de agencia de ventas de productos de maquillaje; servicios de agencia de ventas de refrescos; servicios de agencia de ventas de utensilios cosméticos; servicios de agencia de ventas de zapatos; servicios de asesoramiento en relación con la promoción de ventas; servicios de gestión de ventas; servicios de información sobre ventas comerciales; servicios de modelos para publicidad o promoción de ventas; servicios de promoción de ventas; servicios de publicidad y promoción de ventas; servicios de representante de ventas; servicios de ventas en pública subasta prestados mediante redes de telecomunicación; suministro de actividades de leads de ventas para terceros; suministro de información sobre ventas comerciales; ventas en pública subasta; ventas en pública subasta de propiedades inmobiliarias.</t>
  </si>
  <si>
    <t>DIPRONOVA</t>
  </si>
  <si>
    <t>M025053</t>
  </si>
  <si>
    <t>LUMINOVA PHARMA CORPORATION GmbH, Dr. J. Bollag &amp; Cie. AG, Unter Altstadt 10, 6302 , ZUG, ZUG, CH</t>
  </si>
  <si>
    <t>5. Productos farmacéuticos para uso humano, saber, productos antiinflamatorios, antirreumáticos y antialérgicos.</t>
  </si>
  <si>
    <t>HELENA CAMARGO WILLIAMSON, CARRERA 7 N° 71-52 TORRE A, PISO 5, BOGOTÁ, D.C., CO</t>
  </si>
  <si>
    <t>FENALEX</t>
  </si>
  <si>
    <t>M025052</t>
  </si>
  <si>
    <t>B-RIGHT</t>
  </si>
  <si>
    <t>02 mar. 2022</t>
  </si>
  <si>
    <t>151741</t>
  </si>
  <si>
    <t>Jarrow Formulas, Inc., 1824 South Robertson Boulevard, LOS ANGELES, CALIFORNIA 90035, US</t>
  </si>
  <si>
    <t>5. Complementos dietéticos y nutricionales.</t>
  </si>
  <si>
    <t>JUAN PABLO CADENA SARMIENTO, CALLE 70A No. 4-41 PISO 4, BOGOTÁ, D.C., CO</t>
  </si>
  <si>
    <t>MYCELIL</t>
  </si>
  <si>
    <t>AVGUST CROP PROTECTION IMPORTACAO E EXPORTACAO LTDA, AVENIDA PAES DE BARROS 373, SALA 55/56 -03115-020, SAO PAULO, SAO PAULO, BR</t>
  </si>
  <si>
    <t>5. PRODUCTOS PARA LA DESTRUCCIÓN DE ANIMALES DAÑINOS; INSECTICIDAS, FUNGICIDAS Y HERBICIDAS PARA CULTIVOS.</t>
  </si>
  <si>
    <t>BACIBAC</t>
  </si>
  <si>
    <t>NEMYCES</t>
  </si>
  <si>
    <t>APOTEX INNOVATING FOR PATIENT AFFORDABILITY</t>
  </si>
  <si>
    <t>07 mar. 2022</t>
  </si>
  <si>
    <t>M19796</t>
  </si>
  <si>
    <t>APOTEX INC., 150 SIGNET DRIVE, , TORONTO, ONTARIO M9L 1T9, CA</t>
  </si>
  <si>
    <t>HUMBERTO RUBIO CAMACHO, Carrera 53 No. 103 B 42 Oficinas 602/605, BOGOTÁ, D.C. 111111, CO</t>
  </si>
  <si>
    <t>TQRQ</t>
  </si>
  <si>
    <t>05 mar. 2022</t>
  </si>
  <si>
    <t>SUPLEHERBALS S.A.S, Carrera 69p #65-21, BOGOTÁ, D.C. 1111, CO</t>
  </si>
  <si>
    <t>5. Complementos alimenticios; complementos a base de hierbas; complementos alimenticios de vitaminas y minerales; complementos alimenticios dietéticos en forma de cápsulas, que no sean para uso médico; complementos alimenticios minerales; complementos alimenticios minerales para seres humanos; complementos alimenticios para humanos; complementos alimenticios para personas; complementos alimenticios para seres humanos; complementos de proteínas para personas; complementos de vitaminas para productos alimenticios de consumo humano; complementos minerales nutricionales; complementos nutricionales; complementos nutricionales para seres humanos; complementos nutricionales y alimenticios; complementos vitamínicos; complementos vitamínicos para productos alimenticios de consumo humano; complementos vitamínicos y minerales; vitaminas, minerales y antioxidantes en cuanto complementos nutricionales y dietéticos.</t>
  </si>
  <si>
    <t>JUAN CARLOS BAUTISTA PARRA, CAR 69P # 65-21, BOGOTÁ, D.C., CO</t>
  </si>
  <si>
    <t>FUCOL</t>
  </si>
  <si>
    <t>EDERVIT  SALUD Y NUTRICION S.A.S., Crr. 15  No.11 -  36 , CIRCASIA, QUINDIO, CO</t>
  </si>
  <si>
    <t>EDELBERTO RIVERA VELASQUEZ, CRA 11 # 6-64 PISO 1, CIRCASIA, QUINDIO, CO</t>
  </si>
  <si>
    <t>THERABODY</t>
  </si>
  <si>
    <t>COLO-27129-701-001-6</t>
  </si>
  <si>
    <t>Therabody, Inc., 6100 Wilshire Blvd., Suite 200, , LOS ANGELES, CALIFORNIA 90048, US</t>
  </si>
  <si>
    <t>5. Suplementos dietéticos; suplementos nutricionales; cremas para aliviar dolores tras la práctica deportiva.</t>
  </si>
  <si>
    <t>EDUARDO VARELA PEZZANO, CARRERA 4 NO. 72 - 35, BOGOTÁ, D.C., CO</t>
  </si>
  <si>
    <t>ARKATEC</t>
  </si>
  <si>
    <t>09 mar. 2022</t>
  </si>
  <si>
    <t>ARKATEC SAS, AVENIDA CIRCUNVALAR 6 -30 SUR PARQUE INDUSTRIAL DEL ORIENTE BODEGA 56, TUNJA, BOYACA, CO</t>
  </si>
  <si>
    <t>1, 5</t>
  </si>
  <si>
    <t>1. Abonos orgánicos, estiércol y fertilizantes; abonos, fertilizantes para césped y pasto; aditivos químicos para fertilizantes; biofertilizantes; biofertilizantes no químicos; compost, estiércol y fertilizantes; fertilizantes; fertilizantes a base de fosfato thomas; fertilizantes a base de nitrato de sodio; fertilizantes a base de potasio calcinado; fertilizantes a base de productos marinos; fertilizantes a base de silicato de calcio; fertilizantes a base de sulfato de potasio; fertilizantes a base de superfosfato de calcio; fertilizantes a base de urea; fertilizantes combinados; fertilizantes complejos; fertilizantes compuestos; fertilizantes compuestos tratados químicamte; fertilizantes con múltiples nutrientes; fertilizantes de cloruro de amonio; fertilizantes de cloruro de potasio; fertilizantes de fosfato condensado; fertilizantes de fosfato fundido; fertilizantes de harina de pescado; fertilizantes de liberación lenta para la jardinería; fertilizantes de manganeso; fertilizantes de nitrato de amonio; fertilizantes de origen animal; fertilizantes de potasio; fertilizantes de serrín; fertilizantes de sulfato de amonio; fertilizantes de superfosfato condensado; fertilizantes de superfosfato doble; fertilizantes de superfosfato doble o triple; fertilizantes de superfosfato triple; fertilizantes de urea; fertilizantes fosfatados; fertilizantes inorgánicos; fertilizantes líquidos; fertilizantes minerales; fertilizantes naturales; fertilizantes nitrogenados; fertilizantes orgánicos; fertilizantes orgánicos compuestos por excrementos de insectos; fertilizantes para cultivos hidropónicos; fertilizantes para césped; fertilizantes para pasto; fertilizantes para plantas; fertilizantes para suelos; fertilizantes para suelos o tierra para macetas; fertilizantes para terrenos; fertilizantes para uso agrícola; fertilizantes para uso doméstico; fertilizantes prebióticos; fertilizantes químicos; fertilizantes sin cloro; fertilizantes sintéticos para uso agrícola; fertilizantes, abonos para césped y pasto; fertilizantes, fertilizantes para césped y pasto; fosfatos [fertilizantes]; mezclas de suelos [abonos orgánicos, estiércol y fertilizantes]; mezclas de suelos [compost, estiércol y fertilizantes]; preparaciones fertilizantes; preparaciones fertilizantes a base de minerales; productos fertilizantes a base de minerales; sales [fertilizantes]; superfosfatos [fertilizantes]; aditivos químicos para fungicidas; productos químicos para uso agrícola, hortícola y forestal, excepto fungicidas, herbicidas, insecticidas y parasiticidas.
5. Fungicidas; fungicidas biológicos; fungicidas para uso agrícola; fungicidas para uso hortícola; fungicidas, herbicidas; preparaciones herbicidas y plaguicidas; pesticidas para la agricultura.</t>
  </si>
  <si>
    <t>DANIELA POMBO POSADA, calle 125 # 7c - 77, BOGOTÁ, D.C., CO</t>
  </si>
  <si>
    <t>PROLYPAN</t>
  </si>
  <si>
    <t>104029/1 PROLYPAN</t>
  </si>
  <si>
    <t>DAMIANO LICENSING B.V. , Strawinskylaan 1143, 1077 XX, AMSTERDAM, NOORD-HOLLAND, NL</t>
  </si>
  <si>
    <t>5. Productos farmacéuticos; productos higiénicos y sanitarios para uso médico; alimentos y sustancias dietéticas para uso médico, alimentos para bebés; complementos nutricionales para seres humanos.</t>
  </si>
  <si>
    <t>MAURICIO PATIÑO BONNET, CARRERA 9 No. 74-08 OFICINA 305, BOGOTÁ, D.C., CO</t>
  </si>
  <si>
    <t>El Toro</t>
  </si>
  <si>
    <t>5. Complementos vitamínicos; complementos vitamínicos para productos alimenticios de consumo humano; complementos vitamínicos y minerales; complementos alimenticios de vitaminas y minerales; multivitaminas; preparaciones de vitaminas y minerales; suplementos de vitaminas para productos alimenticios de consumo humano; bebidas nutricionales en cuanto complementos alimenticios; bebidas nutricionales en cuanto suplementos alimenticios.</t>
  </si>
  <si>
    <t>NANOX</t>
  </si>
  <si>
    <t>14 mar. 2022</t>
  </si>
  <si>
    <t>CRISTIAN DAVID OROZCO RESTREPO, Calle 65 N°70-85 Interior 116, MEDELLIN, ANTIOQUIA, CO</t>
  </si>
  <si>
    <t>5, 32, 33</t>
  </si>
  <si>
    <t>5. Productos farmacéuticos homeopáticos.
32. Aguas minerales y gaseosas y otras bebidas sin alcohol.
33. Preparaciones alcohólicas para elaborar bebidas.</t>
  </si>
  <si>
    <t>VITALHEMP</t>
  </si>
  <si>
    <t>11 mar. 2022</t>
  </si>
  <si>
    <t>PAOLA ANDREA GUZMAN MORA, CL 36D SUR NO 26A 62 CS 132, ENVIGADO, ANTIOQUIA, CO</t>
  </si>
  <si>
    <t>5. Linimentos; linimentos para uso médico o terapéutico; aerosoles y cremas de hierbas medicinales de uso externo; cremas a base de hierbas para uso médico; cremas analgésicas para uso tópico; cremas analgésicas tópicas; cremas herbarias para uso médico; cremas medicamentosas; cremas medicamentosas para hidratar la piel; cremas medicamentosas protectoras; cremas medicinales; cremas medicinales para la piel; cremas medicinales para los pies; espráis y cremas de hierbas medicinales de uso externo; lociones y cremas medicamentosas para el cuerpo, piel, cara y manos; lociones y cremas medicamentosas para el cuerpo, piel, rostro y manos; lociones y cremas medicinales para el cuerpo, piel, cara y manos; aerosoles fríos para uso médico; aerosoles herbarios para uso médico; aerosoles medicinales; antiinflamatorios en aerosol; tinturas para uso médico.</t>
  </si>
  <si>
    <t>YONON</t>
  </si>
  <si>
    <t>MDE</t>
  </si>
  <si>
    <t>YONGNONG BIOSCIENCES CO., LTD. , No. 3 East Weiqi Rd(East), Hangzhou Gulf Economy and Technology Development Zone, ShangYu, ShaoXing, Zhejiang, SHAOXING, ZHEJIANG 312369, CN</t>
  </si>
  <si>
    <t>5. Biocidas; herbicidas; pesticidas; productos herbicidas; productos para eliminar ratones; alguicidas; repelentes de insectos; polvo de pelitre; productos para eliminar parásitos; preparaciones químicas para tratar el tizón del trigo; productos para eliminar larvas; germicidas para la agricultura; repelentes para animales; acaricidas; preparaciones para esterilizar suelos; productos para eliminar animales dañinos; acaricidas; parasitoides; desinfectante / sanitizante; fungicidas.</t>
  </si>
  <si>
    <t>KUZE</t>
  </si>
  <si>
    <t>15 mar. 2022</t>
  </si>
  <si>
    <t>CLAUDIA LILIANA ORTEGA BARRERA, Calle 144 # 136a-09. Torre 6 Apto 302, BOGOTÁ, D.C., CO</t>
  </si>
  <si>
    <t>3.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t>
  </si>
  <si>
    <t>DANIEL ESTRADA DUQUE, Calle 71 # 11-10. Piso 7., BOGOTÁ, D.C., CO</t>
  </si>
  <si>
    <t>Espesso</t>
  </si>
  <si>
    <t>16 mar. 2022</t>
  </si>
  <si>
    <t>BALANCE PHARMA S.A.S., Calle 49 sur # 43 a - 30 segundo piso, ENVIGADO, ANTIOQUIA, CO</t>
  </si>
  <si>
    <t>CARLOS ARTURO DIAZ MEJIA, carrera 43B #16-95 of 1713, MEDELLIN, ANTIOQUIA, CO</t>
  </si>
  <si>
    <t>20 may. 2022</t>
  </si>
  <si>
    <t>VITA-TOX</t>
  </si>
  <si>
    <t>17 mar. 2022</t>
  </si>
  <si>
    <t>V TOX</t>
  </si>
  <si>
    <t>SILVER S S.A.S, Calle 7 A SUR N 3-20 , BOGOTÁ, D.C., CO</t>
  </si>
  <si>
    <t>5. Medicamentos fitoterapéuticos.</t>
  </si>
  <si>
    <t>PAULA MARIA CORREA FERNANDEZ , Calle 74 No. 15-80 Int. 2 Of 223, BOGOTÁ, D.C., CO</t>
  </si>
  <si>
    <t>ZIVA BEAUTY BY LINA HENAO</t>
  </si>
  <si>
    <t>ZIVABEAUTYBYLINAHENAO</t>
  </si>
  <si>
    <t>VALENTINA  VANEGAS HENAO, CARRERA 31 NRO 84 - 20, PEREIRA, RISARALDA, CO</t>
  </si>
  <si>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 aceites de masaje no medicinales; aceites medicinales para bebés; aceites medicinales para masajes; aceites para el cuidado de la piel [medicinales]; aceites para el cuidado de la piel, medicinales; aditivos alimentarios medicinales para uso farmacéutico; aditivos alimentarios medicinales para uso veterinario; aerosoles medicinales; aerosoles medicinales para la garganta; aerosoles medicinales para uso bucal; aerosoles y cremas de hierbas medicinales de uso externo; agua de mar para baños medicinales; alcoholes medicinales; alimentos dietéticos medicinales para animales; alimentos medicinales para animales; apitoxina [veneno de abeja melífera] con fines medicinales o terapéuticos; apitoxina [veneno de abeja melífera] con fines terapéuticos o medicinales; barros medicinales; baños medicinales; baños medicinales para uso terapéutico; bebidas medicinales; bebidas medicinales en forma de licores tónicos; bebidas medicinales en forma de licores tónicos aromatizados; bebidas medicinales en la forma de suplementos dietéticos para la desintoxicación del colon; bebidas medicinales en la forma de suplementos dietéticos para la desintoxicación del hígado; bolsas para lavados internos prellenadas que contienen preparaciones medicinales para la limpieza; bálsamos analgésicos medicinales polivalentes; bálsamos medicinales para los labios; bálsamos medicinales para los pies; caramelos medicinales; champús en seco medicinales; champús medicinales; champús medicinales anticaspa; champús medicinales para animales de compañía; chicles medicinales con sabor a menta; complementos alimenticios medicinales a base de colágeno; complementos alimenticios medicinales para consumo humano; complementos medicinales para alimentos destinados a los animales; complementos medicinales para productos alimenticios de consumo humano; compresas medicinales; cremas labiales medicinales;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cremas para el cuidado de la piel, medicinales; decocciones de hierbas medicinales; dentífricos medicinales; duchas medicinales; duchas vaginales medicinales; ejuagues bucales medicinales anticaries; ejuagues dentales medicinales anticaries; emplastos medicinales; enjuagues bucales medicinales; enjuagues bucales medicinales anticaries; enjuagues bucales medicinales para animales de compañía; enjuagues medicinales anti caries para uso dental; esparadrapos que incorporan sustancias medicinales; espráis medicinales; espráis y cremas de hierbas medicinales de uso externo; extractos de hierbas medicinales; extractos de hierbas medicinales para uso médico; extractos de plantas medicinales; gasas impregnadas de cremas medicinales; geles de limpieza dental medicinales; geles exfoliantes, medicinales; geles medicinales aplicables con cepillo para el cuidado bucal; geles medicinales para el cuerpo; geles medicinales para el cuidado bucal; hierbas medicinales; hierbas medicinales secas o conservadas; hierbas medicinales tradicionales chinas; infusiones de hierbas medicinales; infusiones medicinales; jabones medicinales; jabones y detergentes medicinales y desinfectantes; lavados medicinales; lavados vaginales medicinales; licores medicinales; limpiadores faciales antibacterianos medicinales; lociones capilares medicinales; lociones faciales medicinales; lociones medicinales; lociones medicinales contra la dermatitis del pañal; lociones medicinales contra las quemaduras solares; lociones medicinales para después del afeitado; lociones medicinales para el cuerpo; lociones medicinales para el tratamiento de afecciones cutáneas; lociones medicinales para tratar afecciones dermatológicas; lociones y cremas medicinales para el cuerpo, piel, cara y manos; lodos medicinales; lubricantes medicinales a base de aloe vera; líquidos medicinales para cigarrillos electrónicos; parches medicinales; pastas de dientes medicinales; pastillas medicinales; paños impregnados con sustancias medicinales; pociones medicinales; polvos medicinales para bebés; polvos medicinales para el cuerpo; polvos medicinales para los pies; pomadas labiales medicinales; pomadas medicinales contra la dermatitis del pañal; pomadas mentoladas medicinales polivalentes; preparaciones con filtro solar, medicinales; preparaciones de tocador medicinales; preparaciones medicinales; preparaciones medicinales de oligoelementos para uso humano; preparaciones medicinales de protección solar; preparaciones medicinales de uso bucal en gotas, cápsulas, pastillas y comprimidos; preparaciones medicinales en cuanto aditivos alimentarios para el consumo humano; preparaciones medicinales orales para su administración en forma de comprimidos; preparaciones medicinales orales para su administración en forma de cápsulas; preparaciones medicinales orales para su administración en forma de gotas; preparaciones medicinales orales para su administración en forma de pastillas comprimidas; preparaciones medicinales para adelgazar; preparaciones medicinales para baños oculares; preparaciones medicinales para el afeitado; preparaciones medicinales para el aseo de animales; preparaciones medicinales para el baño; preparaciones medicinales para el baño de los animales; preparaciones medicinales para el crecimiento del cabello; preparaciones medicinales para el cuidado bucal; preparaciones medicinales para el cuidado capilar; preparaciones medicinales para el cuidado de la boca; preparaciones medicinales para el cuidado de la piel; preparaciones medicinales para el cuidado de la piel en forma de geles; preparaciones medicinales para el cuidado de las uñas; preparaciones medicinales para el cuidado de los labios; preparaciones medicinales para el cuidado de los pies; preparaciones medicinales para el cuidado dental; preparaciones medicinales para el cuidado dental de los animales; preparaciones medicinales para el cuidado y el tratamiento bucal; preparaciones medicinales para el tratamiento bucal; preparaciones medicinales para el tratamiento de la halitosis; preparaciones medicinales para eliminar verrugas; preparaciones medicinales para limpiar la piel y las heridas; preparaciones medicinales para pulverización nasal; preparaciones medicinales para tratamientos bucales; preparaciones medicinales para tratamientos cutáneos; preparaciones medicinales para tratar enfermedades infecciosas; preparaciones medicinales para uso en cuanto aditivos alimenticios para consumo humano; preparaciones medicinales para uso oncológico; preparaciones para el cuidado bucal, medicinales; preparaciones para el cuidado dental, medicinales; preparaciones para elaborar bebidas medicinales; preparaciones terapéuticas medicinales para baños; preparaciones y sustancias medicinales; preparados medicinales de protección solar; preparados medicinales para baños de pies; preparados medicinales para uso en cuanto aditivos alimenticios para consumo humano; productos medicinales para el cuidado de la piel; productos medicinales para lavarse las manos; productos para el cuidado de la piel, medicinales; productos y preparaciones medicinales para el cuidado de la piel; raíces medicinales; relajantes musculares medicinales para el baño; sales de baño medicinales; sales y preparaciones medicinales para el baño; serum calmante para la piel [medicinales]; serum calmante para la piel, medicinales; serum de alivio para la piel [medicinales]; serum de alivio para la piel, medicinales; soluciones de aceites medicinales; soluciones líquidas medicinales que contienen vitaminas, para los cigarrillos electrónicos; soluciones medicinales inyectables; sprays medicinales para aliviar de las mordeduras y picaduras de insectos; suplementos alimenticios medicinales a base de colágeno; suplementos alimenticios medicinales para consumo humano; suplementos medicinales para productos alimenticios de consumo humano; suplementos nutricionales no medicinales para alimentos para animales; tiritas que incorporan sustancias medicinales; tisanas medicinales; toallitas impregnadas con sustancias medicinales; toallitas impregnadas de cremas medicinales; toallitas o gasas impregnadas de cremas medicinales; tónicos medicinales; tónicos medicinales para la piel; ungüentos medicinales para el tratamiento de afecciones cutáneas; ungüentos medicinales para tratar afecciones dermatológicas; velas de masaje medicinales; veneno de abeja con fines medicinales o terapéuticos; veneno de abeja con fines terapéuticos o medicinales.
44. Asesoramiento en materia de salud; asesoramiento en salud pública; asesoramiento sobre la salud; consultoría en cuidados de la salud; consultoría médica en materia de salud; consultoría sobre salud mental y bienestar; estudios de evaluación de riesgos en materia de salud; estudios de evaluación de riesgos para la salud; evaluación de riegos para la salud; servicios de asesoramiento de salud pública para viajeros internacionales; servicios de asesoramiento médico de salud pública para viajeros internacionales; servicios de balneoterapia para mejorar la salud y el bienestar físico y mental; servicios de balneoterapia prestados en balnearios para mejorar la salud y el bienestar físico y espiritual; servicios de bienestar en cuanto asesoramiento en salud y nutrición; servicios de centros de salud; servicios de chequeo de salud mental; servicios de chequeo de salud por colonoscopia; servicios de clínicas de salud; servicios de consultoría en materia de asistencia médica prestados por médicos y otros profesionales de la salud; servicios de consultoría en salud; servicios de consultoría terapéutica y de rehabilitación en el ámbito de la salud y la seguridad en el trabajo; servicios de control de la salud mental; servicios de control de salud por colonoscopia; servicios de evaluación de riegos para la salud; servicios de examen de salud mental; servicios de exploración de la salud; servicios de exploración de la salud mental; servicios de exploración de salud por colonoscopia; servicios de exámenes de salud en el ámbito de la apnea del sueño; servicios de exámenes de salud en el ámbito del asma; servicios de exámenes de salud mental; servicios de odontología, optometría y salud mental; servicios de orientación en salud pública; servicios de salud; servicios de salud mental; servicios de salud relativos a las naturopatía; servicios de salud y de belleza; servicios de salud y de belleza para animales; servicios de salud y de belleza para personas; servicios de salud y de belleza para personas y animales; servicios de tratamientos de salud y de belleza; servicios de tratamientos de salud y de belleza prestados por saunas, salones de belleza, sanatorios, peluquerías y salones de masajes; servicios prestados por balnearios para mejorar la salud y el bienestar físico y mental, incluidos masajes, tratamientos faciales y corporales, así como cuidados cosméticos para el cuerpo; servicios terapéuticos y de rehabilitación en el ámbito de la salud y la seguridad en el trabajo; suministro de informaciones médicas en el ámbito de la salud; suministro de información en materia de salud; suministro de información sobre salud; suministro de información sobre salud mental y bienestar; suministro de información sobre salud y bienestar; suministro de información sobre servicios de salud por medios electrónicos; alquiler de equipos para cuidados de higiene y de belleza para personas; alquiler de máquinas y aparatos para salones de belleza o barberías; alquiler de máquinas y aparatos para salones de belleza o para peluquerías de caballero; alquiler de máquinas y aparatos para salones de belleza o peluquerías de caballeros; alquiler de toallas y albornoces para salones de belleza; alquiler de toallas y salidas de baño para salones de belleza; asesoramiento en belleza; asesoramiento en materia de cuidados de belleza; asesoría en belleza; consultas en materia de la belleza; consultoría en belleza; consultoría en tratamientos corporales y de belleza; consultoría suministrada por internet en materia de tratamientos corporales y de belleza; cuidado de belleza de los pies; cuidados de higiene y de belleza; cuidados de higiene y de belleza para animales; cuidados de higiene y de belleza para personas; cuidados de higiene y de belleza para personas y animales; cuidados médicos, higiénicos y de belleza; higiene humana y cuidados de belleza; puesta a disposición de servicios de sauna, salones de belleza, peluquerías y masajes; servicios de asistencia sanitaria y belleza; servicios de asistencia sanitaria y belleza para animales; servicios de asistencia sanitaria y de cuidado de belleza; servicios de atención sanitaria y belleza; servicios de atención sanitaria y belleza para animales; servicios de atención sanitaria y de cuidado de belleza; servicios de belleza prestados por balnearios; servicios de consultas sobre belleza; servicios de consultas sobre tratamientos de belleza; servicios de consultoría en belleza; servicios de cuidados de belleza; servicios de cuidados de belleza e higiene; servicios de cuidados de belleza y peluquería; servicios de cuidados de higiene y de belleza; servicios de cuidados de higiene y de belleza para personas; servicios de institutos de belleza de la piel; servicios de peluquerías y salones de belleza; servicios de salones de belleza; servicios de salón de belleza para animales de compañia; servicios de salón de belleza para mascotas; servicios de tratamientos de belleza; servicios de tratamientos de belleza, en particular para pestañas; suministro de información en materia de belleza; suministro de información sobre el alquiler de máquinas y aparatos para salones de belleza o barberías; suministro de información sobre el alquiler de máquinas y aparatos para salones de belleza o peluquerías de caballeros; suministro de información sobre peluquerías y salones de belleza; suministro de información sobre servicios prestados por salones de belleza; terapias de belleza; tratamientos de belleza; tratamientos de belleza para animales; tratamientos de higiene y belleza para personas o animales; tratamientos de higiene y de belleza para personas o animales; alquiler de anteojos; alquiler de anteojos [óptica]; servicios de banco de ojos; terapia de masajes curativos a las plantas medicinales.</t>
  </si>
  <si>
    <t>31 may. 2022</t>
  </si>
  <si>
    <t>m Medicann Cool Therapy</t>
  </si>
  <si>
    <t>Medicann</t>
  </si>
  <si>
    <t>GINA PAOLA  TOSCANO LUCAS, Cartagena, CARTAGENA, BOLIVAR, CO</t>
  </si>
  <si>
    <t>5. Productos farmacéuticos, preparaciones para uso médico y veterinario.</t>
  </si>
  <si>
    <t>IVAN DARIO MARRUGO JIMENEZ , Cl. 26 #18A-31, CARTAGENA, BOLIVAR, CO</t>
  </si>
  <si>
    <t>09 dic. 2022</t>
  </si>
  <si>
    <t>ORIGEN ANCESTRAL</t>
  </si>
  <si>
    <t>MIGUEL ALBERTO RONDEROS DUMIT, CL 163 A 13 B 60, BOGOTÁ, D.C., CO</t>
  </si>
  <si>
    <t>5. SUPLEMENTO DIETARIOS Y SUPLEMENTOS NUTRICIONALES.</t>
  </si>
  <si>
    <t>Presto!</t>
  </si>
  <si>
    <t>LLC41854</t>
  </si>
  <si>
    <t>AMAZON TECHNOLOGIES, INC., 410 Terry Ave North, Seattle, Washington 98109, SEATTLE, WASHINGTON, US</t>
  </si>
  <si>
    <t>3, 5, 16, 21</t>
  </si>
  <si>
    <t>3. Difusores de caña de fragancia de aire; productos para aromatizar el aire; preparaciones de limpieza; detergentes para lavavajillas; suavizantes de telas; fragancias para uso doméstico; preparaciones para lavar frutas y hortalizas; blanqueador para ropa; detergentes para ropa; acondicionador de telas para ropa; toallitas para la colada impregnadas con suavizante; almidón de lavandería; jabones no medicados; quitamanchas; detergentes para inodoros; toallitas impregnadas con una preparación limpiadora.
5. Desinfectantes; preparaciones para desodorizar el aire; preparaciones para purificar el aire; preparaciones desinfectantes para todo uso; preparaciones desodorantes multiusos para uso doméstico, comercial o industrial; detergentes antibacterianos; jabón antibacterial; toallitas antibacteriales; jabón desinfectante; limpiadores desinfectantes para inodoros; toallitas desinfectantes; desodorantes de telas; jabón medicado; productos desinfectantes para uso doméstico; toallitas desinfectantes; desodorantes de tocador.
16. Pañuelo facial; bolsas de basura; servilletas de papel; toallas de papel; papel higiénico; papel de baño.
21. Escobas; trapeadores; cepillos de limpieza para uso doméstico; paños de limpieza; esponjas de limpieza; cubos para trapeadores; cabezas desechables de trapeador; escurridores para uso doméstico.</t>
  </si>
  <si>
    <t>ALICIA LLOREDA RICAURTE, CALLE 72A No. 5-83, PISO 3, BOGOTÁ, D.C., CO</t>
  </si>
  <si>
    <t>21 sept. 2021</t>
  </si>
  <si>
    <t>Zolbic</t>
  </si>
  <si>
    <t>TECNOQUIMICAS S.A., CALLE 23 NO. 7 - 39, CALI, VALLE DEL CAUCA, CO</t>
  </si>
  <si>
    <t>5. Medicamento gastrointestinal para uso exclusivo en humanos.</t>
  </si>
  <si>
    <t>JULIO CESAR RAMÍREZ PIÑA, Transversal 19 A No. 96-17 OFICINA 305, BOGOTÁ, D.C., CO</t>
  </si>
  <si>
    <t>Plenux</t>
  </si>
  <si>
    <t>5. Medicamentos para uso humano; productos farmacéuticos.</t>
  </si>
  <si>
    <t>PRETIUM</t>
  </si>
  <si>
    <t>23 mar. 2022</t>
  </si>
  <si>
    <t>MA30969-PRETIUM</t>
  </si>
  <si>
    <t>LAURA CAMILA ROA VALDERRAMA, diagonal 77b #123a-43 casa 90, BOGOTÁ, D.C., CO</t>
  </si>
  <si>
    <t>3. Aceites perfumados para el cuidado de la piel; cremas cosméticas para el cuidado de la piel; espumas para el cuidado de la piel; leches limpiadoras para el cuidado de la piel; lociones cosméticas para el cuidado de la piel; preparaciones antiarrugas para el cuidado de la piel; preparaciones cosméticas para el cuidado de la piel; cosméticos y preparaciones de tocador no medicinales; dentífricos no medicinales; productos de perfumería, aceites esenciales.
5. Aceites para el cuidado de la piel, medicinales; cremas medicinales para el cuidado de la piel; preparaciones farmacéuticas para cuidar la piel; productos para el cuidado de la piel, medicinales.</t>
  </si>
  <si>
    <t>GUILLERMO ANDRES NAVARRO ROMERO, CARRERA 5 NO. 66-17, BOGOTÁ, D.C. 00000, CO</t>
  </si>
  <si>
    <t>RADOMEX</t>
  </si>
  <si>
    <t>22 mar. 2022</t>
  </si>
  <si>
    <t>M025159</t>
  </si>
  <si>
    <t>5. Productos farmacéuticos para uso humano para tratar el dolor o la inflamación de músculos y de las articulaciones.</t>
  </si>
  <si>
    <t>T TORNEL LABORATORIOS</t>
  </si>
  <si>
    <t>COLO-27157-701-001-7</t>
  </si>
  <si>
    <t>Laboratorios Tornel S.A. de C.V., Goldsmith 228 Polanco, Polanco III Secc, Miguel Hidalgo, Ciudad de México, CDMX. CP 11550, México., CIUDAD DE MEXICO, MEXICO, MX</t>
  </si>
  <si>
    <t>5. Productos y preparaciones para uso veterinario; productos higiénicos y sanitarios para uso veterinario; alimentos y sustancias dietéticas para uso veterinario; complementos alimenticios para animales; desinfectantes; productos para eliminar animales dañinos; fungicidas, herbicidas.</t>
  </si>
  <si>
    <t>ERFOTINIB</t>
  </si>
  <si>
    <t>Registro ERFOTINIB</t>
  </si>
  <si>
    <t>EUGIA PHARMA SPECIALTIES LIMITED, Plot no 2, Maitri Vihar, Ameerpet , HYDERABAD, TELANGANA 500038, IN</t>
  </si>
  <si>
    <t>RAUL HERNANDO BURITICA SANDOVAL, CALLE 69 No. 4 - 48 OFICINA 401, BOGOTÁ, D.C., CO</t>
  </si>
  <si>
    <t>BARDAM</t>
  </si>
  <si>
    <t>PFENERGY</t>
  </si>
  <si>
    <t>24 mar. 2022</t>
  </si>
  <si>
    <t>M2022-000343</t>
  </si>
  <si>
    <t>INNOVAK GLOBAL, S.A. DE C.V., BOULEVARD VICENTE LOMBARDO TOLEDANO 6615, COLONIA CONCORDIA, CHIHUAHUA, CHIHUAHUA 31375, MX</t>
  </si>
  <si>
    <t>1. Productos químicos para la agricultura, horticultura y silvicultura, excepto fungicidas, herbicidas, insecticidas y parasiticidas; preparaciones biológicas que no sean para uso médico ni veterinario; productos químicos de protección contra el tizón; abonos orgánicos; fertilizantes; productos fertilizantes; preparaciones para enmendar suelos; nutrientes para flores; productos para conservar las flores.
5. Productos para eliminar animales dañinos; Fungicidas; Herbicidas; Pesticidas; Insecticidas; Acaricidas, Biocidas; Germicidas; Parasiticidas.</t>
  </si>
  <si>
    <t>JUAN GUILLERMO MOURE PEREZ, CARRERA 5 No. 34-03, BOGOTÁ, D.C., CO</t>
  </si>
  <si>
    <t>OKii</t>
  </si>
  <si>
    <t>25 mar. 2022</t>
  </si>
  <si>
    <t>Luisa Fernanda   Gaitan Sierra, ‪Av. Carrera 9 No. 115-06/30 u Oficina 506, BOGOTÁ, D.C., CO</t>
  </si>
  <si>
    <t>5. Marihuana para uso médico; cannabis medicinal en forma de aceites para facilitar la administración de fármacos; cannabis medicinal en forma de tisanas; cannabis medicinal en forma de tisanas para uso medicinal; extractos de hierbas medicinales; extractos de hierbas medicinales para uso médico; extractos de hierbas para uso medicinal; extractos de plantas medicinales; extractos de plantas y hierbas para uso medicinal; extractos herbarios para uso medicinal; hierbas medicinales; medicinas; medicinas herbarias; preparaciones medicinales.</t>
  </si>
  <si>
    <t>SALCOL  Sal mineralizada - alimentando su ganado</t>
  </si>
  <si>
    <t>PROSALMIN S.A.S., SIN ESTABLECER, SINCELEJO, SUCRE, CO</t>
  </si>
  <si>
    <t>5. Productos farmacéuticos, preparaciones para uso veterinario; productos higiénicos y sanitarios; alimentos y sustancias dietéticas para uso veterinario, complementos alimenticios para animales; sales minerales para ganado: emplastos, material para apósitos; desinfectantes; productos para eliminar animales dañinos; fungicidas, herbicidas.</t>
  </si>
  <si>
    <t>MARÍA AMALIA DEL PILAR SERNA FORERO, CR 13 A # 89 - 38 OF. 701, BOGOTÁ, D.C., CO</t>
  </si>
  <si>
    <t>PAWTECT</t>
  </si>
  <si>
    <t>28 mar. 2022</t>
  </si>
  <si>
    <t>COASPHARMA SAS, CALLE 18 A NO. 28 A - 43, BOGOTÁ, D.C., CO</t>
  </si>
  <si>
    <t>5. Antiparasitarios; medicamentos para uso veterinario; productos farmacéuticos, preparaciones para uso médico y veterinario.</t>
  </si>
  <si>
    <t>Maria Del Pilar  Roa Delgado, calle 18 A no 28a-43, BOGOTÁ, D.C., CO</t>
  </si>
  <si>
    <t>ADRAR</t>
  </si>
  <si>
    <t>MARCA 1 -2022</t>
  </si>
  <si>
    <t>AGRISCIENCES COLOMBIA S.A.S., CRA 11A # 93A-80 OF 305, BOGOTÁ, D.C. 11001, CO</t>
  </si>
  <si>
    <t>5. Insecticidas; insecticidas para uso agrícola; preparaciones insecticidas.</t>
  </si>
  <si>
    <t>Cannbidol</t>
  </si>
  <si>
    <t>UHLI1</t>
  </si>
  <si>
    <t>ANA MARIA SAAVEDRA SUAREZ, Carrera 1 A # 11 - 64 Casa 25, CHIA, CUNDINAMARCA, CO</t>
  </si>
  <si>
    <t>09 sept. 2022</t>
  </si>
  <si>
    <t>Dursolic</t>
  </si>
  <si>
    <t>UHLI6</t>
  </si>
  <si>
    <t>30 ago. 2022</t>
  </si>
  <si>
    <t>NEBICARD</t>
  </si>
  <si>
    <t>6757</t>
  </si>
  <si>
    <t>5. Producto farmacéutico para el tratamiento de la insuficiencia cardíaca, el manejo de la hipertensión leve a moderada, la hipertensión esencial no complicada, el manejo de la angina de pecho, el infarto de miocardio en pacientes mayores de 70 años.</t>
  </si>
  <si>
    <t>DIASTOP</t>
  </si>
  <si>
    <t>006</t>
  </si>
  <si>
    <t>SANZUB PHARMALAB S.A.S, CR 18 A·102-41 APTO 601, BOGOTÁ, D.C., CO</t>
  </si>
  <si>
    <t>5. Medicamentos; medicamentos contra la diarrea.</t>
  </si>
  <si>
    <t>JAHIR FERNANDO  SANABRIA, CRA 18A#102-41 APTO 601, BOGOTÁ, D.C., CO</t>
  </si>
  <si>
    <t>LAXOFF-MECTA</t>
  </si>
  <si>
    <t>01</t>
  </si>
  <si>
    <t>UNITED PHARMACEUTICAL S.A.S., cra 49 #165-40 Torre 1 oficina 305, BOGOTÁ, D.C., CO</t>
  </si>
  <si>
    <t>LUZ HELENA  FRANCO CHAPARRO, CRA 147# 145-60 CS 4, BOGOTÁ, D.C., CO</t>
  </si>
  <si>
    <t>UTERUS</t>
  </si>
  <si>
    <t>WALPER S.A.S, CRA 75 N° 13 A - 57, CALI, VALLE DEL CAUCA, CO</t>
  </si>
  <si>
    <t>5. PRODUCTOS FARMACÉUTICOS DE USO VETERINARIO.</t>
  </si>
  <si>
    <t>Mungosvital Mobility</t>
  </si>
  <si>
    <t>30 mar. 2022</t>
  </si>
  <si>
    <t>Mobility Dogs an Cats</t>
  </si>
  <si>
    <t>MUNGOS S.A.S, Carrera 50 # 79 sur -25, LA ESTRELLA, ANTIOQUIA 55460, CO</t>
  </si>
  <si>
    <t>5. Alimentos complementarios para uso veterinario; alimentos dietéticos medicinales para animales; alimentos dietéticos para uso veterinario; alimentos medicinales para animales; alimentos y bebidas dietéticos para uso médico o veterinario; alimentos y bebidas dietéticos para uso veterinario; alimentos y sustancias dietéticas para uso médico o veterinario; complementos medicinales para alimentos destinados a los animales; complementos nutricionales para alimentos de animales; suplementos nutricionales no medicinales para alimentos para animales; suplementos nutricionales para alimentos de animales para uso médico.
31. Alimentos enlatados para gatos; alimentos enlatados para perros; alimentos equilibrados para animales; alimentos para animales; alimentos para gatos; alimentos para perros.</t>
  </si>
  <si>
    <t>ANDRES JULIAN  MUNERA ALVAREZ, CRR 65 D # 32 D 31, MEDELLIN, ANTIOQUIA, CO</t>
  </si>
  <si>
    <t>11 oct. 2022</t>
  </si>
  <si>
    <t>QUILLIBRIUM</t>
  </si>
  <si>
    <t>31 mar. 2022</t>
  </si>
  <si>
    <t>888297963REG</t>
  </si>
  <si>
    <t>BOTANICAL SOLUTION, INC., 2238 BIRDS NEST LN, CHULA VISTA, CALIFORNIA 91915, US</t>
  </si>
  <si>
    <t>5. Pesticidas, excluyendo específicamente productos químicos destinados a la agricultura, la horticultura, la silvicultura y sustancias para el crecimiento de las plantas.</t>
  </si>
  <si>
    <t>CALTRAPLUSS D</t>
  </si>
  <si>
    <t>3456</t>
  </si>
  <si>
    <t>LEIDYS CONTRERAS SERRANO, MZ D CASA 36, VALLEDUPAR, CESAR, CO</t>
  </si>
  <si>
    <t>5. Complementos alimenticios a base de proteínas; complementos alimenticios de vitaminas y minerales.</t>
  </si>
  <si>
    <t>20 sept. 2022</t>
  </si>
  <si>
    <t>FIB MAX</t>
  </si>
  <si>
    <t>5. Complementos nutricionales; complementos nutricionales y alimenticios.</t>
  </si>
  <si>
    <t>COMPLEVIT</t>
  </si>
  <si>
    <t>5. Complementos nutricionales y alimenticios.</t>
  </si>
  <si>
    <t>30 sept. 2022</t>
  </si>
  <si>
    <t>Petluditos</t>
  </si>
  <si>
    <t>01 abr. 2022</t>
  </si>
  <si>
    <t>Robin Santiago Salgado Umbarila, Calle 78D #112F - 47, BOGOTÁ, D.C. 111031, CO</t>
  </si>
  <si>
    <t>3. Champús no medicinales para animales de compañía [preparaciones de aseo, que no sean para uso veterinario]; cosméticos para animales; desodorantes para animales; productos cosméticos para el cuidado de la piel de los perros; productos para lavar perros [champús]; preparaciones de jabón no medicinales; productos de jabón; productos de limpieza en spray; enjuagues bucales no medicinales para animales de compañía; limpiadores para camas [arena] de animales; preparaciones para el cuidado y limpieza de los animales.
5. Champús insecticidas para animales; champús medicinales para animales de compañía; preparaciones medicinales para el aseo de animales; preparaciones repelentes para animales, pájaros e insectos; repelentes para animales; desodorizantes de aire en sprays; sprays antipulgas; desodorantes para camas de animales.</t>
  </si>
  <si>
    <t>CVS</t>
  </si>
  <si>
    <t>CVS S.A.S, CALLE 17 #30-52, BUCARAMANGA, SANTANDER 60002, CO</t>
  </si>
  <si>
    <t>5. Vacunas para uso humano.</t>
  </si>
  <si>
    <t>Gustavo Andrés Carreño Espinel, Carrera 36 No. 36-26, BUCARAMANGA, SANTANDER 680001, CO</t>
  </si>
  <si>
    <t>Açaí Casanareño</t>
  </si>
  <si>
    <t>Angie Nathalia Morales Pérez, Cll 9 # 80 c 07 , BOGOTA, CUNDINAMARCA, CO</t>
  </si>
  <si>
    <t>5, 29, 42</t>
  </si>
  <si>
    <t>5. Complementos dietéticos a base de acai en polvo; suplementos dietéticos a base de acai en polvo.
29. Pulpa de açaí; pulpa de fruta.
42. Servicios de pruebas, inspección e investigación sobre agricultura, ganadería y piscicultura.</t>
  </si>
  <si>
    <t>TRANSFACT+</t>
  </si>
  <si>
    <t>04 abr. 2022</t>
  </si>
  <si>
    <t>Bryan Nicolas  Barrera Cubides , Cra 79 # 19 A -  86 Torre 2 Apto 1313, BOGOTÁ, D.C., CO</t>
  </si>
  <si>
    <t>5. Preparaciones y suplementos alimenticios elaborados de productos naturales.</t>
  </si>
  <si>
    <t>HERNANDO FERNANDEZ CAÑON , CLL 44 14 - 30, BOGOTÁ, D.C., CO</t>
  </si>
  <si>
    <t>V VIKING WHEY</t>
  </si>
  <si>
    <t>VIKING WHEY</t>
  </si>
  <si>
    <t>5. Bebidas nutricionales en cuanto suplementos alimenticios;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</si>
  <si>
    <t>LIP-OCLA1000</t>
  </si>
  <si>
    <t>GBC CREMA</t>
  </si>
  <si>
    <t>02 abr. 2022</t>
  </si>
  <si>
    <t>COSMETIPHARMA DE COLOMBIA S.A.S, CALLE 3 D # 65-47, CALI, VALLE DEL CAUCA, VALLE DEL CAUCA, CO</t>
  </si>
  <si>
    <t>5. Cremas medicamentosas.</t>
  </si>
  <si>
    <t>ERIS LABARCES CAMPO, CALLE  15a # 29a - 51, CALI, VALLE DEL CAUCA, CO</t>
  </si>
  <si>
    <t>APIVITAE</t>
  </si>
  <si>
    <t>151937</t>
  </si>
  <si>
    <t>Galenicum Vitae, S.L.U, Diagonal 123, planta 11, BARCELONA, BARCELONA 08005, ES</t>
  </si>
  <si>
    <t>5. Producto farmacéutico para prevenir la formación de coágulos de sangre.</t>
  </si>
  <si>
    <t>DUTAMSUVITAE</t>
  </si>
  <si>
    <t>151939</t>
  </si>
  <si>
    <t>5. Producto farmacéutico para el tratamiento de la hiperplasia benigna de próstata.</t>
  </si>
  <si>
    <t>ULTCBRIN</t>
  </si>
  <si>
    <t>ADS-FERROX</t>
  </si>
  <si>
    <t>05 abr. 2022</t>
  </si>
  <si>
    <t>ADS PHARMA SAS, CLL 102 A N 70 79, BOGOTÁ, D.C., CO</t>
  </si>
  <si>
    <t>ANDRÉS FELIPE  DÍAZ AMAYA , CALLE 95  14 - 45 OFC 502, BOGOTÁ, D.C., CO</t>
  </si>
  <si>
    <t>TRIN ENERGY INTERNATURAL</t>
  </si>
  <si>
    <t>DR. WOLFF PLANTUR 39</t>
  </si>
  <si>
    <t>760498016REG</t>
  </si>
  <si>
    <t>DR. KURT WOLFF GMBH &amp; CO. KG, JOHANNESWERKSTRASSE 34-36, 33611 BIELEFELD, ALEMANIA, BIELEFELD, NORDRHEIN-WESTFALEN, DE</t>
  </si>
  <si>
    <t>3. Artículos de tocador; preparaciones para la limpieza y el cuidado del cuerpo; preparaciones y tratamientos para el cabello; cosméticos para el uso en el cabello; champú; tinte para el cabello; loción para el cabello; tónico para el cabello; preparaciones para proteger el cabello del sol; preparaciones de protección solar para el cuero cabelludo.
5. Preparaciones médicas y veterinarias; suplementos dietéticos y preparaciones dietéticas; productos farmacéuticos y remedios naturales; preparaciones medicinales para el cuidado del cabello; lociones capilares medicinales; lociones medicinales para el cabello; preparaciones medicinales para el crecimiento del cabello; preparaciones para la protección solar del cuero cabelludo con fines farmacéuticos.</t>
  </si>
  <si>
    <t>DR. WOLFF PLANTUR 21</t>
  </si>
  <si>
    <t>760498017REG</t>
  </si>
  <si>
    <t>PLANTUR</t>
  </si>
  <si>
    <t>760498018REG</t>
  </si>
  <si>
    <t>3. Artículos de tocador; preparaciones para la limpieza del cuerpo y el cuidado de la belleza; preparaciones y tratamientos para el cabello; cosméticos para el cabello; champú; colorantes para el cabello; lociones capilares; tonificantes para el cabello; líquido para el cabello; acondicionador para el cabello; preparaciones capilares de protección solar; preparaciones con filtro solar para el cuero cabelludo.
5. Preparaciones para uso médico y veterinario; suplementos dietéticos y preparaciones dietéticas; remedios naturales y farmacéuticos; preparaciones medicinales para el cuidado capilar; lociones capilares medicinales; lociones medicinales para el cabello; preparaciones medicinales para el crecimiento del cabello; preparaciones con filtro solar para el cuero cabelludo para uso farmacéutico.</t>
  </si>
  <si>
    <t>ALEVI SPORTS WEAR</t>
  </si>
  <si>
    <t>Manuela Rendon, Calle 14 Sur #43 A 100, Santa Maria de Los Angeles, edificio Turkeza, apartamento 1004, MEDELLIN, ANTIOQUIA, CO</t>
  </si>
  <si>
    <t>5, 25, 30</t>
  </si>
  <si>
    <t>5. Complementos alimenticios en polvo a base de proteinas; suplementos alimenticios en polvo a base de proteinas; antioxidantes [suplementos dietéticos]; antioxidantes utilizados como suplementos alimenticios; barras de probióticos utilizadas como suplementos dietéticos; barras energéticas utilizadas como suplementos dietéticos; barras energéticas utilizadas como suplementos nutricionales; batidos de leche en cuanto suplementos proteínicos; preparaciones y suplementos para la salud; bebidas nutricionales en cuanto suplementos alimenticios; proteínas de suero de leche en cuanto suplementos alimenticios; suplementos alimenticios; suplementos alimenticios a base de proteínas; suplementos alimenticios antioxidantes; suplementos alimenticios dietéticos; suplementos alimenticios dietéticos en polvo; suplementos alimenticios para humanos.
25. Ropa de deporte; ropa de confección; ropa informal; ropa interior; ropa para ciclistas; ropa interior de hombre; ropa interior de mujer; tops [ropa]; ropa de hombre; ropa de mujer; ropa de ocio; ropa de oficina; ropa de playa; ropa impermeable; bolsas para zapatillas deportivas; calzado para actividades deportivas; camisas deportivas; camisas deportivas de manga corta; chaquetas deportivas; mallas deportivas; guantes (prendas de vestir); guantes de ciclismo; guantes tejidos; gorros; gorras; bandanas [pañuelos para el cuello]; bandanas de ciclismo.
30. Barras de cereales; galletas de cereales; pan multicereales; productos a base de cereales sin gluten; productos alimenticios elaborados principalmente a partir de cereales; refrigerios a base de cereales; snacks a base de cereales; bizcochos de chocolate y nueces [brownies].</t>
  </si>
  <si>
    <t>Maria Camila  Londoño Valero, calle 4 sur No. 43 A 195, of 107, MEDELLIN, ANTIOQUIA, CO</t>
  </si>
  <si>
    <t>30 jun. 2022</t>
  </si>
  <si>
    <t>FLUXEND</t>
  </si>
  <si>
    <t>06 abr. 2022</t>
  </si>
  <si>
    <t>QUIRUPOS SAS, CARRERA 31A No. 2A-77, BOGOTA, CUNDINAMARCA, CO</t>
  </si>
  <si>
    <t>5. Complementos a base de hierbas.</t>
  </si>
  <si>
    <t>CHRISTIAN STID MENDOZA MENDOZA, cra. 31a No. 2a-77, BOGOTA, CUNDINAMARCA 111631, CO</t>
  </si>
  <si>
    <t>Arginina NM</t>
  </si>
  <si>
    <t>REGENERATIVE PHARMA S.AS., Carrera 67 No. 167-61 OF305, BOGOTA, CUNDINAMARCA 110111, CO</t>
  </si>
  <si>
    <t>5. Clase 05. Alimentos con propósitos médicos.</t>
  </si>
  <si>
    <t>Aa Esenciales NM</t>
  </si>
  <si>
    <t>ULZOFAR</t>
  </si>
  <si>
    <t>LABORATORIO FARMA COMERCIAL S.A.S, CALLE 21 13 - 37 CASA 2B CONJUNTO RES COVADONDA , CHIA, CUNDINAMARCA, CO</t>
  </si>
  <si>
    <t>5. Producto farmacéutico y fitoterapeutico utilizado como antiulceroso, reflujo gastroesofágico, acidez estomal, comprendio en clase 5 de la clasificación internacional de Niza.</t>
  </si>
  <si>
    <t>CLAUDIA CONSTANZA SIERRA CAMACHO, Tranv. 78C No. 6B-48 Casa 23, BOGOTÁ, D.C., CO</t>
  </si>
  <si>
    <t>SINDOLFAST</t>
  </si>
  <si>
    <t>5. Producto farmacéutico y fitoterapeutico usado para el alivio del dolor y la inflamación, la migraña, dolor de cabeza, analgésico.</t>
  </si>
  <si>
    <t>SANSON LA FUERZA DEL CABELLO</t>
  </si>
  <si>
    <t>07 abr. 2022</t>
  </si>
  <si>
    <t>Z2022047</t>
  </si>
  <si>
    <t>BORN D.C. S.A.S, CARRERA 8A NO. 109-11, GIRON, SANTANDER, CO</t>
  </si>
  <si>
    <t>5. Estimulantes para el crecimiento del cabello; preparaciones medicinales para el crecimiento del cabello.</t>
  </si>
  <si>
    <t>HERNAN DARIO  ZAPATA VILLAR, CARRERA 17 No. 34-86, Oficina 606, BUCARAMANGA, SANTANDER, CO</t>
  </si>
  <si>
    <t>DIPIREX</t>
  </si>
  <si>
    <t>FARMABASE SAÚDE ANIMAL LTDA , Praça Emilio Marconato, 1000;  C.P.: 13820-000, JAGUARIUNA, CHACARA PRIMAVERA, BR</t>
  </si>
  <si>
    <t>5. Producto veterinario destinado a porcinos.</t>
  </si>
  <si>
    <t>PROFENAC</t>
  </si>
  <si>
    <t>OXIBAC</t>
  </si>
  <si>
    <t>SUICOX</t>
  </si>
  <si>
    <t>LAZARO VITAL SEX</t>
  </si>
  <si>
    <t>Z20220472</t>
  </si>
  <si>
    <t>5. Preparaciones para aumentar el deseo sexual; preparaciones para aumentar la excitación sexual; preparaciones para mejorar la prestación sexual; preparados para aumentar el deseo sexual; preparados para aumentar la excitación sexual; preparados para mejorar la prestación sexual.</t>
  </si>
  <si>
    <t>BIO-FILM BIOREGENERADOR EPITELIAL</t>
  </si>
  <si>
    <t>BINNOVO, SOCIEDAD ANONIMA, Carretera a la Antigua Núm. Extensión cero guion veintitrés (0-23) zona dos (2), San Lucas, Sacatepéquez, Sacatepéquez, Guatemala, SAN LUCAS SACATEPEQUEZ, SACATEPEQUEZ, GT</t>
  </si>
  <si>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</si>
  <si>
    <t>D'Tierra NATURAL ARTESANAL</t>
  </si>
  <si>
    <t>21 abr. 2022</t>
  </si>
  <si>
    <t>EVA NATHALIE LOZANO GARCIA, CRA. 14 C. N° 10 - 08 CHIA, CHIA, CUNDINAMARCA, CO</t>
  </si>
  <si>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</si>
  <si>
    <t>48 HORAS PREVENCIÓN CONTRA BACTERIAS</t>
  </si>
  <si>
    <t>11 abr. 2022</t>
  </si>
  <si>
    <t>151954</t>
  </si>
  <si>
    <t>THE CLOROX COMPANY, 1221 BROADWAY, OAKLAND, CALIFORNIA 94612, U.S.A., OAKLAND, CALIFORNIA, US</t>
  </si>
  <si>
    <t>3. Preparaciones para blanquear y otras sustancias para lavar la ropa; preparaciones para limpiar y desengrasar de uso doméstico; preparaciones blanqueadoras para uso doméstico; preparaciones para desatascar desagües; quitamanchas; toallitas impregnadas de preparaciones de limpieza para uso doméstico.
5. Desinfectantes, germicidas y bactericidas de uso doméstico; desodorantes de ambientes; desinfectantes de ambientes en aerosol; preparaciones anti-moho para uso doméstico; toallitas impregnadas de preparaciones desinfectantes, germicidas, antibacterianas de uso doméstico.</t>
  </si>
  <si>
    <t>151955</t>
  </si>
  <si>
    <t>NATIBUS</t>
  </si>
  <si>
    <t>CHRISTIAN DAVID VEGA RIVERA, CALLE 50  # 22 - 07, NEIVA, HUILA, CO</t>
  </si>
  <si>
    <t>5. Productos farmacéuticos; preparaciones y suplementos nutricionales para la salud; preparaciones y suplementos para la salud; productos dietéticos y suplementos nutricionales para uso médico; medicamentos; medicamentos de venta libre; alimentos y sustancias dietéticas para uso médico o veterinario; alimentos y sustancias dietéticas para uso médico o veterinario, alimentos para bebés; alimentos a base de albúmina para uso médico; alimentos dietéticos para uso médico; alimentos para bebés; alimentos para bebés especialmente leche en polvo para bebés; alimentos para bebés y niños pequeños; alimentos para diabéticos; alimentos para lactantes; alimentos para niños; alimentos para niños pequeños; alimentos sin gluten adaptados a fines médicos; alimentos y aditivos alimentarios sin gluten, todos adecuados a fines médicos; alimentos y bebidas dietéticos para uso médico; alimentos y bebidas dietéticos para uso médico o veterinario; alimentos y suplementos alimenticios sin gluten, todos adecuados a fines médicos.</t>
  </si>
  <si>
    <t>HONEY STINGER</t>
  </si>
  <si>
    <t>Maria Paula Perez Nader, Carrera 11A # 90-34, BOGOTA, CUNDINAMARCA, CO</t>
  </si>
  <si>
    <t>5. Suplementos.</t>
  </si>
  <si>
    <t>PHARMABIDIOL MEDICAL CANNABIS</t>
  </si>
  <si>
    <t>26 abr. 2022</t>
  </si>
  <si>
    <t>Pharmabidiol Medical cannabis</t>
  </si>
  <si>
    <t>Camilo Andres  Castro Bejarano, Cr 81 C No. 22 C 29, BOGOTÁ, D.C., CO</t>
  </si>
  <si>
    <t>5. Medicamentos; productos farmacéuticos para uso humano; bebidas nutricionales en cuanto suplementos alimenticios; alimentos y bebidas dietéticos para uso médico o veterinario; alimentos y bebidas dietéticos para uso veterinario; complementos nutricionales para seres humanos y animales; preparaciones y suplementos nutricionales para la salud; complementos alimenticios en polvo a base de cáñamo; cannabis para uso médico.</t>
  </si>
  <si>
    <t>21 oct. 2022</t>
  </si>
  <si>
    <t>ACTILIFE</t>
  </si>
  <si>
    <t>18 abr. 2022</t>
  </si>
  <si>
    <t>ACTILIFE CLASE 5</t>
  </si>
  <si>
    <t>BOYDORR S.A.S., CARRERA 3 ESTE NO.20-84, CHIA, CUNDINAMARCA, CO</t>
  </si>
  <si>
    <t>5. Alimentos dietéticos para uso médico; alimentos para diabéticos; alimentos y bebidas dietéticos para uso médico; aislados de proteína de suero de leche [complementos dietéticos]; aislados de proteína de suero de leche [suplementos dietéticos]; aislados de proteína de suero de leche en cuanto complementos dietéticos; aislados de proteína de suero de leche en cuanto suplementos dietéticos; complementos alimenticios; complementos alimenticios a base de caseína; complementos alimenticios a base de proteínas; complementos alimenticios dietéticos; complementos alimenticios de vitaminas y minerales;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suplementos alimenticios; suplementos alimenticios a base de caseína; suplementos alimenticios a base de proteínas; complementos alimenticios en polvo a base de proteinas.</t>
  </si>
  <si>
    <t>RAFAEL RAMIREZ RODRIGUEZ, Calle 98 No. 21 - 50 Oficina 502, BOGOTA, CUNDINAMARCA 110221, CO</t>
  </si>
  <si>
    <t>Living Natural Ultra SX</t>
  </si>
  <si>
    <t>S - SD - Living Natural Ultra SX</t>
  </si>
  <si>
    <t>Marilyn Natalia Duarte Garcia, TV 42 No. 3 B - 64 , BOGOTA, CUNDINAMARCA, CO</t>
  </si>
  <si>
    <t>5. Productos farmacéuticos, preparaciones para uso médico y veterinario; productos higiénicos y sanitarios para uso médico; alimentos y sustancias dietéticas para uso médico o veterinario, Suplementos dietarios, alimentos para bebés; complementos alimenticios para personas o animales; emplastos, material para apósitos; material para empastes e improntas dentales; desinfectantes; productos para eliminar animales dañinos; fungicidas, herbicidas.</t>
  </si>
  <si>
    <t>Living Natural Ultra MX</t>
  </si>
  <si>
    <t>S - SD - Living Natural Ultra MX</t>
  </si>
  <si>
    <t>Living Natural Vita C Brin</t>
  </si>
  <si>
    <t>S - SD - Living Natural Vita C brin</t>
  </si>
  <si>
    <t>Living Natural Higa Life</t>
  </si>
  <si>
    <t>S - SD - Living Natural Higa Life</t>
  </si>
  <si>
    <t>Living Natural Hepa Life</t>
  </si>
  <si>
    <t>S - SD - Living Natural Hepa Life</t>
  </si>
  <si>
    <t>Living Natural Vitafrut</t>
  </si>
  <si>
    <t>S - SD - Living Natural Vitafrut</t>
  </si>
  <si>
    <t>Living Natural Vitalnat</t>
  </si>
  <si>
    <t>S - SD - Living Natural Vitalnat</t>
  </si>
  <si>
    <t>Living Natural Rino liv</t>
  </si>
  <si>
    <t>S - SD - Living Natural Rino liv</t>
  </si>
  <si>
    <t>WIL-ZYM</t>
  </si>
  <si>
    <t>WIL-ZYM clase 05 Mixta</t>
  </si>
  <si>
    <t>WILLOW PHARMA S.A.S, CARRERA 50 # 50 - 14 PISO 12 EDIFICIO BANCO POPULAR, MEDELLIN, ANTIOQUIA, CO</t>
  </si>
  <si>
    <t>OMAR ORLANDO MALDONADO GOMEZ, Carrera  132 Nro. 142-22, BOGOTÁ, D.C., CO</t>
  </si>
  <si>
    <t>MEGA We Care ACUVICTA</t>
  </si>
  <si>
    <t>Registro MEGA WE CARE ACUVICTA</t>
  </si>
  <si>
    <t>MEGA LIFESCIENCES PUBLIC COMPANY LIMITED, 384, Village No. 4, 6 Alley, Pattana 3 Road,  Bangpoo Industrial  Estate, Praeksa  Subdistrict, Mueang, SAMUT PRAKAN, SAMUT PRAKAN, TH</t>
  </si>
  <si>
    <t>5. Productos farmacéuticos y preparaciones para uso médico; alimentos y sustancias dietéticas para uso médico; suplementos dietarios para seres humanos; productos higiénicos y sanitarios para uso médico; medicamentos para uso médico; productos farmacéuticos y preparaciones para uso médico que contengan tramadol - paracetamol; productos farmacéuticos y preparaciones para uso médico para el tratamiento de dolor moderado a intenso; medicamentos para el tratamiento de dolores severos.</t>
  </si>
  <si>
    <t>Apotox</t>
  </si>
  <si>
    <t>20 abr. 2022</t>
  </si>
  <si>
    <t>SOL. MIXTA APOTOX CL. 5</t>
  </si>
  <si>
    <t>5. Medicamentos de uso humano, productos para el tratamiento de patologías digestivas, productos para el tratamiento de alteraciones hepáticas, suplementos dietarios.</t>
  </si>
  <si>
    <t>ALEVI</t>
  </si>
  <si>
    <t>5. Complementos alimenticios en polvo a base de proteinas; suplementos alimenticios en polvo a base de proteinas; antioxidantes [suplementos dietéticos]; antioxidantes utilizados como suplementos alimenticios; barras de probióticos utilizadas como suplementos dietéticos; barras energéticas utilizadas como suplementos dietéticos; barras energéticas utilizadas como suplementos nutricionales; batidos de leche en cuanto suplementos proteínicos; preparaciones y suplementos para la salud; bebidas nutricionales en cuanto suplementos alimenticios; proteínas de suero de leche en cuanto suplementos alimenticios; suplementos alimenticios; suplementos alimenticios a base de proteínas; suplementos alimenticios antioxidantes; suplementos alimenticios dietéticos; suplementos alimenticios dietéticos en polvo.
25. Ropa de deporte; ropa de confección; ropa informal; ropa interior; ropa interior de hombre; ropa interior de mujer; ropa interior femenina; ropa interior para caballeros; ropa para ciclistas; ropa de hombre; ropa de mujer; ropa de ocio; ropa de oficina; ropa de playa; ropa impermeable; bolsas para zapatillas deportivas; calzado para actividades deportivas; camisas deportivas; camisas deportivas de manga corta; chaquetas deportivas; mallas deportivas; guantes (prendas de vestir); guantes de ciclismo; gorros; gorras; bandanas [pañuelos para el cuello]; bandanas de ciclismo.
30. Barras de cereales; galletas de cereales; pan multicereales; productos a base de cereales sin gluten; productos alimenticios elaborados principalmente a partir de cereales; alimentos para refrigerios a base de cereales sin gluten; refrigerios a base de cereales; snacks a base de cereales; bizcochos de chocolate y nueces [brownies].</t>
  </si>
  <si>
    <t>CLEO</t>
  </si>
  <si>
    <t>22 abr. 2022</t>
  </si>
  <si>
    <t>LUIS CARLOS TORO GARCIA, CALLE 36 AN # 3 GN-68, CALI, VALLE DEL CAUCA, CO; MARCK GRIMBERG COHEN, CALI, CALI, VALLE DEL CAUCA, CO</t>
  </si>
  <si>
    <t>5. Complementos alimenticios para animales de uso veterinario; complementos nutricionales para uso veterinario.
31. Alimentos enlatados para gatos; bebidas para gatos; comida para gatos; galletas para gatos; gatos; golosinas comestibles para gatos; lechos higiénicos para gatos.</t>
  </si>
  <si>
    <t>JEANNETTE LILIANA PEDROZA BURBANO, SIN ESTABLECER, BOGOTÁ, D.C., CO</t>
  </si>
  <si>
    <t>SEKITO</t>
  </si>
  <si>
    <t>UPL CORPORATION LTD, 5TH FLOOR, NEWPORT BUILDING, LOUIS PASTEUR STREET, PORT LOUIS, MAURITIUS, PORT LOUIS, PORT LOUIS, MU</t>
  </si>
  <si>
    <t>5. Herbicidas, pesticidas, insecticidas, fungicidas, vermicidas, raticidas, herbicidas, preparados para matar malezas y destruir alimañas.</t>
  </si>
  <si>
    <t>CATALINA NIETO PARRA, CRA 10 # 96-25 OFICINA 215, BOGOTÁ, D.C., CO</t>
  </si>
  <si>
    <t>FARMOX</t>
  </si>
  <si>
    <t>23 abr. 2022</t>
  </si>
  <si>
    <t>farmox</t>
  </si>
  <si>
    <t>OMAR IMBACHÍ TULCAN, CALLE 8A NO. 42-68, CALI, VALLE DEL CAUCA, CO</t>
  </si>
  <si>
    <t>18 abr. 2024</t>
  </si>
  <si>
    <t>ICARUS EC</t>
  </si>
  <si>
    <t>25 abr. 2022</t>
  </si>
  <si>
    <t>TORREAGRO S.A.S., Calle  77 # 20-100 TO 4 APTO 202 Tierra Linda del Vergel, IBAGUE, TOLIMA, CO</t>
  </si>
  <si>
    <t>5. Fungicidas para uso agrícola.</t>
  </si>
  <si>
    <t>MIGUEL ANGEL RAMIREZ GONZALEZ, SUPER MANZANA 5 BODEGA 8 BARRIO SANTA ANA, IBAGUE, TOLIMA, CO</t>
  </si>
  <si>
    <t>19 may. 2023</t>
  </si>
  <si>
    <t>electroplex</t>
  </si>
  <si>
    <t>NUTRABIOTICS HOLDING SAS, cc Bima av 13 # 232- 35 Lc 4005, BOGOTÁ, D.C., CO</t>
  </si>
  <si>
    <t>5. Productos farmacéuticos; productos farmacéuticos para uso humano.</t>
  </si>
  <si>
    <t>ISABEL CRISTINA CAMARGO CERON, CARRera 12 # 68-28, BOGOTÁ, D.C., CO</t>
  </si>
  <si>
    <t>Evaclean Bio Su aliado en la limpieza</t>
  </si>
  <si>
    <t>EVACLEAN BIO SU ALIADO EN LA LIMPIEZA</t>
  </si>
  <si>
    <t>EVACLEAN S.A.S., Calle 15 # 16 A 45 Barrio Valher , DOSQUEBRADAS, RISARALDA, CO</t>
  </si>
  <si>
    <t>3, 5, 21, 35, 39</t>
  </si>
  <si>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21. Utensilios y recipientes para uso doméstico y culinario; peines y esponjas; cepillos; materiales para fabricar cepillos; material de limpieza; vidrio en bruto o semielaborado, excepto el vidrio de construcción; artículos de cristalería, porcelana y loza.
35. Publicidad; gestión de negocios comerciales; administración comercial; trabajos de oficina.
39. Transporte; embalaje y almacenamiento de mercancías; organización de viajes.</t>
  </si>
  <si>
    <t>MICHAEL ANDRES  ANGARITA PEDROZA, Calle 15 # 16 A 45 barrio Valher, DOSQUEBRADAS, RISARALDA, CO</t>
  </si>
  <si>
    <t>KERATIN BUILDER</t>
  </si>
  <si>
    <t>Solicitud KERATIN BUILDER - Clase 5</t>
  </si>
  <si>
    <t>LABORATORIOS AUROFARMA S.A.S., 	KILOMETRO 13 VIA OCCIDENTE FUNZA BODEGA ITALCOL, FACATATIVA, CUNDINAMARCA, CO</t>
  </si>
  <si>
    <t>5. Suplemento alimenticio de uso veterinario.</t>
  </si>
  <si>
    <t>ENRIQUE ARANGUREN LAURENS, CR 9A # 93-76 OF 303, BOGOTÁ, D.C., CO</t>
  </si>
  <si>
    <t>PREVOX BHX</t>
  </si>
  <si>
    <t>Solicitud PREVOX BHX  - Clase 5</t>
  </si>
  <si>
    <t>FitoCaps</t>
  </si>
  <si>
    <t>Santiago Losada Muñoz, Parcelacion el tambo casa11, LA CEJA, ANTIOQUIA 055010, CO</t>
  </si>
  <si>
    <t>5. Preparaciones herbicidas y plaguicidas; fungicidas, herbicidas.</t>
  </si>
  <si>
    <t>RocuroDelt</t>
  </si>
  <si>
    <t>LABORATORIOS DELTA S.A.S., Zona franca, vereda chachafruto bodega 150, RIONEGRO, ANTIOQUIA, CO</t>
  </si>
  <si>
    <t>5. PRODUCTOS FARMACÉUTICOS DE USO HUMANO.</t>
  </si>
  <si>
    <t>LIBARDO CARDENAS GIRALDO, CARRERA 7 No. 17-51 OFICINA 1009., BOGOTÁ, D.C., CO</t>
  </si>
  <si>
    <t>19 jul. 2022</t>
  </si>
  <si>
    <t>IMIDOGAN</t>
  </si>
  <si>
    <t>VIRBAC COLOMBIA LTDA., CARRERA 54 NO. 76-20, BOGOTÁ, D.C., CO</t>
  </si>
  <si>
    <t>5. Medicamentos para uso veterinario.</t>
  </si>
  <si>
    <t>Virbac Fortius L.A. (Las demás expresiones son explicativas)</t>
  </si>
  <si>
    <t>AGENER CALMIUN</t>
  </si>
  <si>
    <t>UNIÃO QUÍMICA FARMACÊUTICA NACIONAL S.A., Rua Coronel Luiz Tenório de Brito, 90 Embu-Guaçu, SP Brazil, EMBU-GUACU, SAO PAULO, BR</t>
  </si>
  <si>
    <t>5. Medicamentos, productos, preparaciones y sustancias farmacéuticas y veterinarias; Medicamentos, productos, preparaciones y sustancias farmacéuticas y veterinarias, especialmente para uso como anestésicos en animales.</t>
  </si>
  <si>
    <t>MONICA BELA WOLF WASSERMAN, AK 7 No. 113-43 Of. 805 Torre Samsung, BOGOTÁ, D.C., CO</t>
  </si>
  <si>
    <t>AGENER PRIMER</t>
  </si>
  <si>
    <t>5. Medicamentos, productos, preparaciones y sustancias farmacéuticas y veterinarias.</t>
  </si>
  <si>
    <t>AGENER MECTIMAX</t>
  </si>
  <si>
    <t>AGENER DORAX</t>
  </si>
  <si>
    <t>27 abr. 2022</t>
  </si>
  <si>
    <t>AGENER DORMIUM</t>
  </si>
  <si>
    <t>WIWI Comodidad para ti</t>
  </si>
  <si>
    <t>28 abr. 2022</t>
  </si>
  <si>
    <t>TOMAS CANO MOSCOSO, Carrera 39 5 A 20, MEDELLIN, ANTIOQUIA, CO</t>
  </si>
  <si>
    <t>5, 10</t>
  </si>
  <si>
    <t>5. Productos de higiene personal (no de tocador).
10. Aparato e instrumento para el mejoramiento de las funciones y el estado de salud de las personas.</t>
  </si>
  <si>
    <t>DYPHLAMIN</t>
  </si>
  <si>
    <t>Dyphlamin2022</t>
  </si>
  <si>
    <t>5. Medicamentos fitoterapéuticos para el consumo humano.</t>
  </si>
  <si>
    <t>18 nov. 2022</t>
  </si>
  <si>
    <t>MAGX3</t>
  </si>
  <si>
    <t>IMFEN</t>
  </si>
  <si>
    <t>JUAN FELIPE  DAVILA OSPINA, Calle 145 #17-54, BOGOTA, CUNDINAMARCA 110121, CO</t>
  </si>
  <si>
    <t>5.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cápsulas de gelatina para productos farmacéuticos; cápsulas de gelatina vacías para productos farmacéuticos; cápsulas de polímeros dendriméricos para productos farmacéuticos; cápsulas vacías para productos farmacéuticos; parches cutáneos transdérmicos para el suministro de productos farmacéuticos; parches transdérmicos para la administración de productos farmacéuticos;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t>
  </si>
  <si>
    <t>ROMET</t>
  </si>
  <si>
    <t>Pharmaq AS, Skogmo Industriomrade Industrivegen 50 7863 Overhalla, Noruega, OVERHALLA, TRØNDELAG, NO</t>
  </si>
  <si>
    <t>5. Preparación antibacteriana de uso veterinario.</t>
  </si>
  <si>
    <t>BLUE ZONES</t>
  </si>
  <si>
    <t>01 may. 2022</t>
  </si>
  <si>
    <t>BLUE ZONES SAS, CIRCULAR 2A No66B-76 INT.102, MEDELLIN, ANTIOQUIA 050031, CO</t>
  </si>
  <si>
    <t>5. Preparaciones y suplementos nutricionales para la salud.</t>
  </si>
  <si>
    <t>OMAR JAIRO MUÑOZ GUTIERREZ, CALLE 31A NO. 79-147, MEDELLIN, ANTIOQUIA, CO</t>
  </si>
  <si>
    <t>UNTÚ</t>
  </si>
  <si>
    <t>02 may. 2022</t>
  </si>
  <si>
    <t>JOSÉ LUIS MALDONADO CORONADO, SIN ESTABLECER, CALI, VALLE DEL CAUCA, CO</t>
  </si>
  <si>
    <t>5. Jarabes para la tos; preparaciones para aliviar el dolor; pomadas mentoladas medicinales polivalentes.</t>
  </si>
  <si>
    <t>MONICA MARCELA LOZANO GUZMAN, CRA 11 No. 93-53 OFICINA 101, BOGOTÁ, D.C., CO</t>
  </si>
  <si>
    <t>PILARCLOTRIN</t>
  </si>
  <si>
    <t>04 may. 2022</t>
  </si>
  <si>
    <t>5. PILARCLOTRIN (Mixta)</t>
  </si>
  <si>
    <t>PILARQUIM CORP., 9th Fl No. 332 Chien Kuo S Rd Sec 2, Taipei Taiwan, TAIPEI, TAIWAN, CN</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</si>
  <si>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vermicidas, rodenticidas, preparados para matar las malas hierbas y destruir bichos.</t>
  </si>
  <si>
    <t>CLAUDIA LUCIA CARO RAMIREZ, Calle 94 a Nr. 11a-32 of 306, BOGOTÁ, D.C., CO</t>
  </si>
  <si>
    <t>YOGA GOLD</t>
  </si>
  <si>
    <t>05 may. 2022</t>
  </si>
  <si>
    <t>ANASAC COLOMBIA LTDA., Km 1.5 via funza siberia parque industrial san diego bodega c 14, FACATATIVA, CUNDINAMARCA, CO</t>
  </si>
  <si>
    <t>5. Productos farmacéuticos y veterinarios, preparaciones para uso médico y veterinario; productos higiénicos y sanitarios para uso médico; alimentos y sustancias dietéticas para uso médico o veterinario, alimentos para bebés; complementos alimenticios para animales; emplastos, material para apósitos; material para empastes e improntas dentales; desinfectantes; productos para eliminar animales dañinos; fungicidas, herbicidas.</t>
  </si>
  <si>
    <t>DANIEL ANDRES MAURICIO HERNÁNDEZ DÁVILA, CARRERA 7B N 123-46, BOGOTÁ, D.C., CO</t>
  </si>
  <si>
    <t>WONDERFOODS</t>
  </si>
  <si>
    <t>104378/1 WONDERFOODS</t>
  </si>
  <si>
    <t>Société des Produits Nestlé S.A., AVENUE NESTLÉ 55, VEVEY, VAUD CH-1800, CH</t>
  </si>
  <si>
    <t>5, 29</t>
  </si>
  <si>
    <t>5. Alimentos y sustancias alimenticias para bebés; preparaciones alimenticias para bebés; harinas lacteadas para bebés.
29. Alimentos preparados hechos a base de verduras, papas, fruta, carne, aves de corral, pecado y/o productos alimenticios provenientes del mar; frutas y verduras, hortalizas y legumbres en conserva, congeladas, secas y cocidas; puré de frutas; leche y productos lácteos; preparaciones y bebidas hechas a base de leche; refrigerios hechos a base de frutas; puré de vegetales; refrigerios hechos a base de vegetales; puré de frutas y vegetales; refrigerios hechos a base de frutas y vegetales.</t>
  </si>
  <si>
    <t>NUTRICIÓN PARA PEQUEÑAS BARRIGUITAS</t>
  </si>
  <si>
    <t>104379/1 NUTRICIÓN PARA PEQUEÑAS BARRIGUITAS</t>
  </si>
  <si>
    <t>5. Alimentos y sustancias alimenticias para bebés; preparaciones alimenticias para bebés; harinas lacteadas para bebés; leche en polvo para bebés.</t>
  </si>
  <si>
    <t>ALI-GAR FORTE</t>
  </si>
  <si>
    <t>COMERCIALIZADORA JASER S.A.S, Calle  36 a sur 46 a 81 ofc 235, MEDELLIN, ANTIOQUIA, CO</t>
  </si>
  <si>
    <t>5. Pastillas para la garganta.
30. Pastillas no medicinales [productos de confitería]; productos de confitería; preparaciones aromáticas para uso alimenticio.</t>
  </si>
  <si>
    <t>Maria Beatriz Serna Giraldo, calle 36a # 46 4 -81 of 235, ENVIGADO, ANTIOQUIA, CO</t>
  </si>
  <si>
    <t>DIFENYL</t>
  </si>
  <si>
    <t>06 may. 2022</t>
  </si>
  <si>
    <t>LABORATORIOS REMO S.A.S, CARRERA 34 NO. 17 B - 13, BOGOTÁ, D.C., CO</t>
  </si>
  <si>
    <t>RONALD JOSE CRUZ GRACA, AUTOPISTA NORTE N°. 145A - 44, BOGOTÁ, D.C., CO</t>
  </si>
  <si>
    <t>OVUSYN</t>
  </si>
  <si>
    <t>ZOETIS SERVICES LLC, 10 Sylvan Way, Parsippany,  NJ 07054, PARSIPPANY, NEW JERSEY 07054, US</t>
  </si>
  <si>
    <t>5. Productos veterinarios.</t>
  </si>
  <si>
    <t>MANITOBA</t>
  </si>
  <si>
    <t>09 may. 2022</t>
  </si>
  <si>
    <t>MARCA AGRIS -2-2022</t>
  </si>
  <si>
    <t>5. Fungicidas, herbicidas; herbicidas; herbicidas para uso agrícola; preparaciones herbicidas y plaguicidas; fungicidas; fungicidas para uso agrícola; insecticidas; insecticidas para uso agrícola; preparaciones insecticidas; preparaciones para eliminar plantas nocivas; preparaciones para el control de animales dañinos; preparaciones para el control de plagas; preparaciones para la destrucción de animales dañinos; preparaciones para la destrucción de plagas; biopesticidas para la agricultura; pesticidas para la agricultura.</t>
  </si>
  <si>
    <t>YAFIT IMAGE</t>
  </si>
  <si>
    <t>29 jun. 2022</t>
  </si>
  <si>
    <t>YAFIT IMAGE S.A.S, Carrera 69P #64H 06, BOGOTÁ, D.C., CO</t>
  </si>
  <si>
    <t>2, 3, 5, 9, 18, 21, 35, 41, 44</t>
  </si>
  <si>
    <t xml:space="preserve">2. Colorantes para la fabricación de cosméticos; colorantes para la industria de productos cosméticos; pigmentos orgánicos; extractos de campeche; colorantes para tatuajes; pigmentos para tatuajes; tinta de tatuajes; tinta para tatuajes; tintas para tatuajes; tintes; pigmentos; espesantes para pigmentos; secantes de pigmentos; pinturas al esmalte.
3. Aclaradores de uñas; blanqueadores para las uñas; brillantina para las uñas; calcomanías para las uñas; cremas para las uñas; endurecedores de uñas; escarcha para las uñas; esmaltes de uñas; fortalecedores de uñas; lacas para las uñas; puntas de uñas; purpurina para las uñas; reparadores de uñas; uñas postizas; adhesivos para fijar uñas postizas; adhesivos para pegar las uñas postizas; adhesivos para uñas postizas; apósitos para la reparación de uñas; bases para esmaltes de uñas; brillos de uñas para aplicar sobre el esmalte; calcomanías decorativas para uñas; cremas para las uñas de uso cosmético; endurecedores de uñas [cosméticos]; esmaltes de uñas en gel; esmaltes de uñas para uso cosmético; esmaltes de uñas y quitaesmaltes; lápices para aplicar el esmalte de uñas; lápices quitaesmaltes de uñas; lociones para fortalecer las uñas; pegatinas decorativas para uñas; plumas de esmalte de uñas; preparaciones cosméticas para el cuidado de las uñas; preparaciones cosméticas para las uñas; preparaciones para el cuidado de las uñas; preparaciones para pulir las uñas; preparaciones para retirar uñas de gel; productos de revestimiento para esculpir uñas; productos para ablandar las uñas; productos para el cuidado de las uñas; quitaesmalte para uñas [cosméticos]; quitaesmaltes de uñas [cosméticos]; uñas postizas de metales preciosos; uñas postizas para los dedos de los pies; kits para el cuidado de las uñas que comprenden esmaltes de uñas y quitaesmaltes; kits para el cuidado de las uñas que comprenden lacas de uñas y quitaesmaltes; kits para el cuidado de las uñas que comprenden principalmente esmaltes de uñas y quitaesmaltes; kits para el cuidado de las uñas que comprenden principalmente lacas de uñas y quitaesmaltes; esmaltes de base para las uñas [productos cosméticos]; preparaciones cosméticas para secar esmaltes de uñas; preparaciones y productos para el cuidado de las uñas; kits para el cuidado de las uñas que comprenden esmaltes de uñas, quitaesmaltes y uñas postizas; kits para el cuidado de las uñas que comprenden lacas de uñas, quitaesmaltes y uñas postizas; kits para el cuidado de las uñas que comprenden principalmente esmaltes de uñas, quitaesmaltes y uñas postizas; kits para el cuidado de las uñas que comprenden principalmente lacas de uñas, quitaesmaltes y uñas postizas; adhesivos para fijar uñas y pestañas postizas; adhesivos para pestañas, cabello y uñas postizos; productos de revestimiento para esculpir uñas [productos cosméticos]; lociones, cremas y preparaciones para el cuidado de la cara, cuerpo, cuero cabelludo, uñas y cabello; lociones, cremas y preparaciones para el cuidado del rostro, cuerpo, cuero cabelludo, uñas y cabello; aceites para el cabello; acondicionadores de cabello; acondicionadores para el cabello; acondicionadores para uso en el cabello; bálsamos para el cabello; brillantina para el cabello; cera para el cabello; ceras para el cabello; champúes para el cabello; champús para el cabello; colorantes para el cabello; cosméticos para el cabello; cremas para el cabello; enjuagues para el cabello; espumas para el cabello; fijadores para el cabello; geles para el cabello; geles para uso en el cabello; hidratantes para el cabello; lacas para el cabello; máscaras para el cabello; mascarillas para el cabello; polvo para el cabello; pomadas para el cabello; revitalizantes para el cabello; suavizantes para el cabello; tintes para el cabello; tinturas para el cabello; tonificantes para el cabello; aceite fijador para el cabello; aceite japonés para fijar el cabello; aceite para el peinado del cabello; aceites suavizantes para el cabello; acondicionadores en barritas sólidas para el cabello; acondicionadores para el cabello para bebés; agua oxigenada para el cabello; ceras para el cuidado del cabello; ceras para el peinado del cabello; champús para el cabello humano; champús para el cabello y el cuerpo; champús y acondicionadores para el cabello; crema para peinar el cabello; cremas de protección para el cabello; cremas para el cabello de uso cosmético; cremas para el cabello para uso cosmético; cremas para el cuidado del cabello; enjuagues de color para el cabello; enjuagues para el cabello de uso cosmético; espuma de protección para el cabello; espuma moldeadora para el cabello; espumas para el cabello [productos de tocador]; geles de protección para el cabello; geles para el peinado del cabello; geles y espumas para el cabello; lociones colorantes para el cabello; lociones de protección para el cabello; lociones fijadoras para ondular el cabello; lociones para el cabello de uso cosmético; lociones para fortalecer el cabello; lociones para ondular el cabello; lociones para rizar el cabello; mascarillas de belleza para el cabello; mascarillas para el cuidado del cabello; mascarillas para el peinado del cabello; polvos para lavar el cabello; pomadas para el cabello de uso cosmético; preparaciones de permanente para ondular el cabello; preparaciones de permanente para rizar el cabello; preparaciones no medicadas para el cabello; preparaciónes nutritiva para el cabello; preparaciones para alisar el cabello; preparaciones para atildar el cabello; preparaciones para decolorar el cabello; preparaciones para desrizar el cabello; preparaciones para el cuidado del cabello; preparaciones para el peinado del cabello; preparaciones para el teñido de cabellos; preparaciones para la fijación del cabello; preparaciones para la limpieza del cabello; preparaciones para lavar el cabello; preparaciones para marcar el cabello; preparaciones para ondular el cabello; preparaciones para ondular permanente el cabello; preparaciones para rizar el cabello; preparaciones para rizar permanente el cabello; preparaciones para teñir el cabello; preparación nutritiva para el cabello; productos decolorantes para el cabello; productos de enjuague para el cabello; productos de textura para el cabello; productos hidratantes para el cabello; productos para aclarar el cabello; productos para decolorar el cabello; productos para desrizar el cabello; revitalizantes para el cabello de uso cosmético; suavizantes para el cabello de uso cosmético; sueros para el cuidado del cabello; sueros para el peinado del cabello; tintes y decolorantes para el cabello; tinturas para el cabello [tintes]; tonificantes para el cabello para uso cosmético; tratamientos de alisado para el cabello; tratamientos de cera para el cabello; tratamientos de permanente del cabello; tratamientos de permanente para el cabello; tratamientos de queratina para el cabello; acondicionadores de cabello a base de cáñamo; baños de aceite para el cuidado del cabello; champúes para el cabello a base de cáñamo; cremas de protección para el cabello, no medicinales; espumas y geles para peinar el cabello; geles para dar forma al cabello; jabones líquidos para el cabello y el cuerpo; jabones líquidos para la limpieza del cabello; lacas y geles fijadores para el cabello; lociones para ondular el cabello de forma permanente; máscaras para el cabello y el cuero cabelludo; mascarillas para el cabello y el cuero cabelludo; preparaciones cosméticas para el cuidado del cabello; preparaciones para ondular y amoldar el cabello; preparaciones para ondular y marcar el cabello; preparaciones para teñir y decolorar el cabello; productos de enjuague para el cabello [champús acondicionadores]; baños de aceite para el cuidado del cabello de uso cosmético; bintsuke-abura [aceite japonés para fijar el cabello]; espumas para el peinado del cabello [productos de tocador]; mechas y reflejos [preparaciones para iluminar el cabello]; preparaciones cosméticas para el cabello y el cuero cabelludo; preparaciones cosméticas para impedir el crecimiento del cabello; preparaciones de permanente para ondular y rizar el cabello; preparaciones no medicinales para el cuidado del cabello; preparaciones para el cuidado y la limpieza del cabello; preparaciones para el tratamiento de coloración permanente del cabello; preparaciones para el tratamiento de permanente de coloración del cabello; preparaciones para limpiar, cuidar y arreglar el cabello; preparaciones para ondular permanentemente y marcar el cabello; preparaciones para ondular y rizar permanentes del cabello; preparados para el tratamiento de coloración permanente del cabello; preparados para el tratamiento de permanente de coloración del cabello; productos cosméticos para el cabello y el cuero cabelludo; productos y preparaciones para el cuidado del cabello; geles, aerosoles, espumas y bálsamos para peinar y cuidar el cabello; geles, espráis, espumas y bálsamos para peinar y cuidar el cabello; preparaciones no medicinales para el cuidado de la piel, el cabello y el cuero cabelludo; preparaciones para el cuidado del cuero cabelludo y del cabello; preparaciones para limpiar, colorear, teñir, decolorar, amoldar o para ondular permanentemente el cabello; preparaciones para limpiar, colorear, teñir, decolorar, marcar o para ondular permanentemente el cabello; preparaciones para limpiar, teñir, colorear, decolorar, marcar y peinar el cabello; acondicionadores para la piel; bronceadores para la piel; cremas para la piel; emolientes para la piel; exfoliantes para la piel; hidratante para la piel; hidratantes para la piel; jabones para la piel; limpiadores de la piel; lociones para la piel; maquillaje para la piel; mascarillas para la piel; revitalizantes para la piel; aceites cosméticos para la piel; aceites para el bronceado de la piel; aceites perfumados para el cuidado de la piel; aerosoles cosméticos de uso tópico para la piel; bálsamos para disimular las imperfecciones de la piel; bases de maquillaje para la piel; composiciones para aclarar la piel [cosméticos]; cosméticos para broncear la piel; crema en gel para matificar la piel; crema para aclarar la piel; cremas acondicionadoras para la piel, de uso cosmético; cremas bronceadoras para la piel; cremas cosméticas para el cuidado de la piel; cremas cosméticas para la piel; cremas cosméticas para pieles secas; cremas cosméticas para reafirmar la piel; cremas cosméticas para tonificar la piel; cremas hidratantes para la piel [cosméticos]; cremas limpiadoras para la piel; cremas no medicinales para la piel; cremas para aclarar la piel; cremas para broncear la piel; cremas para la piel de uso cosmético; cremas reparadoras para la piel [cosméticos]; cremas reparadoras para la piel de uso cosmético; cremas revitalizantes para la piel; emolientes para la piel de uso cosmético; espumas limpiadoras para la piel; espumas para el cuidado de la piel; geles para el bronceado de la piel; hidratantes para la piel utilizados como cosméticos; joyas de piel autoadhesivas para uso cosmético; joyas de piel para uso cosmético; joyería de piel autoadhesivas para uso cosmético; joyería de piel para uso cosmético; leches limpiadoras para el cuidado de la piel; limpiadores cosméticos para la piel; limpiadores de la piel [cosméticos]; limpiadores de la piel no medicinales; limpiadores de la piel [productos cosméticos]; limpiadores líquidos para la piel; limpiadores no medicinales para la piel; lociones cosméticas para el bronceado de la piel; lociones cosméticas para el cuidado de la piel; lociones cosméticas para la piel; lociones hidratantes para la piel; lociones hidratantes para la piel [cosméticos]; lociones lácteas para el cuidado de la piel; lociones lechosas para el cuidado de la piel; lociones limpiadoras para la piel; lociones no medicinales para la piel; lociones para el bronceado de la piel; lociones para el cuidado de la piel; lociones para el cuidado de la piel [cosméticos]; lociones para la piel no medicadas; lociones para la piel [productos cosméticos]; mascarillas faciales para tonificar la piel; mascarillas hidratantes para la piel; mascarillas para el cuidado de la piel de las manos; mascarillas para el cuidado de la piel de los pies; mascarillas para hidratar la piel; mascarillas para la piel [cosméticos]; mascarillas para la piel de uso cosmético; mascarillas para pieles grasas; papel secante para pieles grasas; preparaciones antiarrugas para el cuidado de la piel; preparaciones antienvejecimiento para el cuidado de la piel; preparaciones cosméticas para el bronceado de la piel; preparaciones cosméticas para el cuidado de la piel; preparaciones cosméticas para el tratamiento de la piel; preparaciones cosméticas para la regeneración de la piel; preparaciones desengrasantes para uso en la piel; preparaciones limpiadoras para pieles curtidas; preparaciones para aclarar la piel [cosméticos]; preparaciones para blanquear la piel; preparaciones para blanquear la piel [cosméticos]; preparaciones para el bronceado de la piel; preparados cosméticos para el tratamiento de la piel; productos cosméticos para el cuidado de la piel; productos cosméticos para la piel; productos para aclarar la piel; productos para afinar el grano de la piel; productos para lustrar pieles curtidas; productos para mejorar la textura de la piel; productos para refrescar la piel; serum calmante para la piel; serum para calmar la piel [cosmético]; sueros no medicinales para la piel; toallitas impregnadas con un limpiador de la piel; tónicos no medicinales para la piel; tónicos para la piel para uso cosmético; bálsamos [cremas] para disimular las imperfecciones de la piel; cremas de bálsamo para disimular las imperfecciones de la piel; cremas líquidas y sólidas para la piel; cremas no medicadas para aliviar la piel; cremas no medicadas para hidratar la piel; cremas no medicadas para la hidratación de la piel; cremas no medicadas para la protección de la piel; cremas no medicadas para suavizar la piel; cremas no medicinales para aclarar la piel; cremas no medicinales para blanquear la piel; cremas no medicinales para el cuidado de la piel; cremas para el cuidado de la piel, no medicinales; cremas para limpiar la piel [no medicinales]; limpiadores de la piel a base de cáñamo; lociones estimulantes no medicinales para la piel; lociones no medicinales para aclarar la piel; paños impregnados de productos de limpieza para la piel; paños impregnados de productos limpiadores para la piel; preparaciones blanqueadoras para la piel [productos cosméticos]; preparaciones cosméticas termoactivas para el cuidado de la piel; preparaciones exfoliantes y de limpieza para la piel; preparaciones limpiadoras no medicamentosas para la piel; preparaciones limpiadoras no medicinales para la piel; preparaciones no medicinales para el cuidado de la piel; preparaciones para el cuidado de la piel, no medicinales; preparaciones para el cuidado de la piel [productos cosméticos]; preparados no medicinales para el cuidado de la piel; productos cosméticos en aerosol para el cuidado de la piel; productos cosméticos para el cuidado de la piel de los perros; productos no medicinales para el cuidado de la piel; productos para el cuidado de la piel, no medicinales; sueros no medicados para la piel de la cara; sueros para la piel a base de cáñamo; toallitas impregnadas con preparados para el cuidado de la piel; toallitas impregnadas de productos limpiadores para la piel; correctores para disimular manchas e imperfecciones de la piel; cosméticos funcionales en cuanto preparaciones para blanquear la piel; cremas emolientes reparadoras para el cuidado diario de la piel; cremas para el cuidado de la piel que no sean de uso médico; cremas para el cuidado de la piel que no sean para uso médico; emulsiones, geles y lociones para el cuidado de la piel; geles para acelerar, realzar y prolongar el bronceado de la piel; lociones no medicinales para el cuidado de la piel [cosméticos]; máscaras faciales de hoja para aliviar las pieles secas; máscaras faciales de hoja para la limpieza de las pieles grasas; máscaras faciales de hoja para hidratar las pieles secas; mascarillas faciales de hoja para aliviar las pieles secas; mascarillas faciales de hoja para hidratar las pieles secas; mascarillas faciales de hoja para la limpieza de las pieles grasas; paños o toallitas impregnados de productos limpiadores para la piel; preparaciones cosméticas contra la sequedad de la piel durante el embarazo; preparaciones cosméticas para el cuidado de la piel en forma de geles; preparaciones cosméticas para el cuidado y el tratamiento de la piel; preparaciones cosméticas para proteger la piel de los rayos del sol; preparaciones para el cuidado de la piel a base de CBD; preparados para el cuidado de la piel a base de CBD; productos y preparaciones cosméticos para el cuidado de la piel; productos y preparaciones no medicinales para el cuidado de la piel; toallitas o paños impregnados de productos limpiadores para la piel; cremas para la piel no medicinales a base de aceites esenciales para uso en aromaterapia; lociones, cremas y aceites de aplicación tópica para la piel y el cuerpo, de uso cosmético; parches cosméticos con filtro y pantalla solar para aplicar sobre la piel; productos cosméticos para proteger la piel contra los rayos del sol; cosméticos de belleza; cremas de belleza; geles de belleza; leches de belleza; lociones de belleza; mascarillas de belleza; sueros de belleza; cosméticos para tratamiento de belleza cosméticos para el cuidado de belleza; aceites destilados para el cuidado de belleza; cremas bálsamos de belleza; cremas de belleza para el cuerpo; mascarillas de belleza para el contorno de los ojos; mascarillas de belleza para las manos; mascarillas faciales de belleza; productos cosméticos y de belleza; cremas de belleza para el rostro y el cuerpo; preparaciones para cuidados corporales y de belleza; preparaciones para el cuidado y la belleza personal; preparaciones de cuidado corporal y de belleza para uso cosmético; preparaciones para el cuidado del cuerpo y la belleza; exfoliantes para la cara; limpiadores para la cara; maquillaje para la cara; mascarillas para la cara; cremas para la cara [cosméticos]; geles para la cara [cosméticos]; hidratantes cosméticas para la cara; jabones no medicados para la cara; lociones cosméticas para la cara; maquillaje para la cara y el cuerpo; pastas cosméticas matificantes para la cara; pintura para la cara y el cuerpo; preparaciones cosméticas para la cara; preparaciones para lavar la cara; tónicos cosméticos para la cara; geles para el cuerpo y la cara [cosméticos]; preparaciones de maquillaje para la cara y el cuerpo; mascarillas faciales para eliminar el exceso de sebo de la cara; soluciones para el lavado de la cara sin aclarado, no medicinales; agua mineral para el cuerpo y la cara en forma de pulverizadores de niebla; cremas y geles cosméticos para cara, manos y cuerpo; cremas y lociones cosméticas para el cuidado de la cara y el cuerpo; soluciones para el lavado de la cara a base de gel, no medicinales; soluciones para el lavado de la cara a base de jabón, no medicinales; cremas, leches, lociones, geles y polvos cosméticos para la cara, el cuerpo y las manos; cremas para el rostro; maquillaje para el rostro; toallitas para el rostro; cremas cosméticas para el rostro; cremas para el rostro de uso cosmético; cremas para el rostro y el cuerpo; hidratantes cosméticas para el rostro; leches para el rostro y el cuerpo; leches y lociones para el rostro; lociones cosméticas para el rostro; lociones no medicadas para el rostro; lociones para el rostro y el cuerpo; maquillaje para el rostro y el cuerpo; papel secante para rostros oleosos; preparaciones cosméticas para el rostro; toallitas limpiadoras para el rostro; tónicos cosméticos para el rostro; cremas para el rostro y el cuerpo de uso cosmético; jabones líquidos para las manos y el rostro; leches para el rostro y el cuerpo de uso cosmético; leches y lociones para el rostro de uso cosmético; lociones para el rostro y el cuerpo de uso cosmético; preparaciones cosméticas para el rostro y el cuerpo; preparaciones de maquillaje para el rostro y el cuerpo; jabones líquidos para las manos, el rostro y el cuerpo; lociones para el cuidado del rostro y del cuerpo; lociones tónicas para el rostro, el cuerpo y las manos de uso cosmético; cremas y geles cosméticos para rostro, manos y cuerpo; cremas y lociones cosméticas para el cuidado del rostro y el cuerpo; lociones para el cuidado del rostro y del cuerpo de uso cosmético; aceites faciales; brillos faciales; corrector facial; cremas faciales; emulsiones faciales; exfoliantes faciales; hidratantes faciales; jabones faciales; limpiadores faciales; lociones faciales; maquillajes faciales; mascarillas faciales; pintura facial; polvos faciales; preparaciones faciales; sueros faciales; tónicos faciales; polvos faciales, a saber, papel revestido con polvo facial; brillos faciales y corporales; cintas de estiramiento facial para uso cosmético; cintas de lifting facial para uso cosmético; cremas faciales para uso cosmético; cremas orgánicas de estiramiento facial; emulsiones faciales de vitalidad; emulsiones faciales para uso cosmético; granulados de limpieza facial; hidratantes faciales [cosméticos]; hidratantes faciales de uso cosmético; leches de limpieza facial; limpiadores cosméticos faciales; limpiadores faciales [cosméticos]; limpiadores faciales [productos cosméticos]; lociones faciales [cosméticos]; lociones faciales no medicadas; máscaras faciales de hoja de hidrogel; mascarillas faciales cosméticas; mascarillas faciales de hoja de hidrogel; mascarillas faciales de limpieza profunda; mascarillas faciales limpiadoras; mascarillas faciales para limpiar los poros; mascarillas faciales para uso cosmético; mascarillas faciales [productos cosméticos]; mascarillas limpiadoras para faciales; papel secante facial [cosméticos]; papel secante facial para uso cosmético; parches de estiramiento facial para uso cosmético; parches de lifting facial para uso cosmético; polvos faciales blancos para uso cosmético; polvos faciales compactos; polvos faciales cosméticos; polvos faciales [cosméticos]; polvos faciales en crema; polvos faciales en papel; polvos faciales para uso cosmético; polvos faciales sueltos; preparaciones cosméticas de cuidado facial; preparaciones de cuidado facial; preparaciones de cuidado facial [cosméticos]; preparaciones exfoliantes faciales para uso cosmético; preparaciones faciales [cosméticos]; sueros para el lifting facial; sueros faciales para uso cosmético; tónicos clarificadores faciales; tónicos faciales clarificantes; tónicos faciales [cosméticos]; tónicos faciales revitalizantes; tónicos revitalizantes faciales; correctores de líneas y arrugas faciales; cremas no medicadas para exfoliantes faciales; geles corporales y faciales [cosméticos]; máscaras faciales de hoja con fórmula infundida; máscaras faciales de hoja de carbón de bambú; mascarillas faciales de hoja con fórmula infundida; mascarillas faciales de hoja de carbón de bambú; polvos faciales cosméticos de color blanco; exfoliantes faciales y corporales no medicamentosos; exfoliantes faciales y corporales no medicinales; paños desechables impregnados de compuestos limpiadores para uso facial; preparaciones cosméticas de uso tópico para atenuar las arrugas faciales; maquillaje; bases de maquillaje; fondo de maquillaje; fundación de maquillaje; kits de maquillaje; lápices de maquillaje; maquillaje [cosméticos]; maquillaje para el cuerpo; maquillaje para los ojos; maquillaje para polveras; maquillajes de base; maquillajes de ojos; maquillajes para el teatro; polvos de maquillaje; productos de maquillaje; tiza para maquillaje; bases de maquillaje en crema; bases de maquillaje cremosas; bases de maquillaje líquidas; cola de maquillaje para uso cosmético; maquillajes de base en crema; maquillaje vendido en polveras; productos cosméticos y de maquillaje; sangre falsa [maquillaje de teatro]; sprays para fijar el maquillaje; maquillaje de teatro, a saber, sangre falsa; mizu-oshiroi [bases de maquillaje líquidas];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que consisten principalmente en bases de maquillaje, rímeles, coloretes, brillos de labios y lápices de labios [sin incluir pinceles ni esponjas];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hidratantes; cremas hidratantes; geles hidratantes; hidratantes [cosméticos]; leches hidratantes; lociones hidratantes; pintalabios hidratantes; preparaciones hidratantes; aceites hidratantes intensivos; barras de labios hidratantes; geles hidratantes [cosméticos]; hidratantes a base de cáñamo; lápices de labios hidratantes; lápices de labios [pintalabios] hidratantes; lápices labiales hidratantes; leche hidratante para después de afeitar; leches hidratantes corporales; lociones hidratantes [cosméticos]; lociones hidratantes para el cuerpo; lociones hidratantes para el cuerpo [cosméticos]; preparaciones hidratantes [cosméticos]; preparaciones hidratantes para después de afeitar; productos hidratantes antienvejecimiento; calcetines impregnados con crema hidratante cosmética; calcetines impregnados con preparaciones hidratantes para los pies; cremas hidratantes para después del afeitado; cremas hidratantes para después del sol; cremas, lociones y geles hidratantes; hidratantes corporales a base de cáñamo; leche hidratante para después del afeitado; preparaciones hidratantes para después del afeitado; productos hidratantes para después del sol; cremas, aceites, lociones y preparaciones limpiadoras e hidratantes; aceite de almendras; aceite de gaulteria; aceite de jazmín; aceite de lavanda; aceite de menta; aceite de rosas; aceites aromáticos; aceites bronceadores; aceites cosméticos; aceites de aromaterapia; aceites de baño; aceites de limpieza; aceites de perfumería; aceites de tocador; aceites esenciales; aceites etéreos; aceites para bebés; aceites para cutículas; aceites para el cuerpo; aceites para uso cosmético; aceites perfumados; aceite de amla para uso cosmético; aceite de árbol de té; aceite de coco para uso cosmético; aceite de lavanda para uso cosmético; aceite de masaje, no medicinal; aceite de menta [perfumería]; aceite de neem para uso cosmético; aceite de ricino para uso cosmético; aceite de rosas para uso cosmético; aceite de trementina para desengrasar; aceite de veppennai para uso cosmético; aceite esencial de citronela de aromaterapia; aceite esencial de coco; aceite esencial de eucalipto de aromaterapia; aceite esencial de lavanda de aromaterapia; aceite esencial de limoncillo de aromaterapia; aceite esencial de neem; aceite esencial de romero de aromaterapia; aceite esencial de veppennai; aceites aromáticos para el baño; aceites brillantes para el cuerpo; aceites bronceadores [cosméticos]; aceites bronceadores de uso cosmético; aceites de baño no medicados; aceites de baño no medicinales; aceites de baño para uso cosmético; aceites de masaje, no medicinales; aceites de pino para la limpieza de suelos; aceites de protección solar; aceites de protección solar [cosméticos]; aceites esenciales aromáticos; aceites esenciales de aromaterapia; aceites esenciales de cedro; aceites esenciales de limón; aceites esenciales de cidra; aceites esenciales de origen vegetal; aceites esenciales de pino; aceites esenciales naturales; aceites esenciales para ambientadores de interior; aceites esenciales para aromaterapia; aceites esenciales para aromatizar bebidas; aceites esenciales para uso cosmético; aceites esenciales para uso doméstico; aceites esenciales para uso en aromaterapia; aceites esenciales para uso industrial; aceites esenciales para uso personal; aceites minerales [cosméticos]; aceites no medicados; aceites no medicinales para masajes; aceites para bebés [productos de tocador]; aceites para bronceado [cosméticos]; aceites para después del sol; aceites para el cuerpo de uso cosmético; aceites para perfumes y fragancias; aceites puros para uso cosmético; aceites solares de uso cosmético; aceites vegetales esenciales; aceites y lociones bronceadoras; aceites y lociones de masaje; aceites y sales de baño; aromas [aceites esenciales]; aromatizantes alimentarios [aceites esenciales]; aromatizantes de pastelería [aceites esenciales]; aromatizantes para bebidas [aceites esenciales]; esencia de cáñamo [aceite esencial]; esencia de citronela [aceite esencial]; esencia de eucalipto [aceite esencial]; esencia de gaulteria [aceite esencial]; esencia de helicriso [aceite esencial]; esencia de hierbabuena [aceite esencial]; esencia de lavanda [aceite esencial]; esencia de limoncillo [aceite esencial]; esencia de menta [aceite esencial]; esencia de neroli [aceite esencial]; esencia de neroli [aceites esenciales]; esencia de niaouli [aceite esencial]; esencia de petitgrain [aceite esencial]; esencia de romero [aceite esencial]; esencias y aceites etéreos; productos de perfumería, aceites esenciales; terpenos [aceites esenciales]; terpenos en cuanto aceites esenciales; aceite esencial de árbol de té de aromaterapia; aceite esencial de eucalipto en forma de bola; aceite esencial de hierbabuena en forma de bola; aceite esencial de hierba limón de aromaterapia; aceite esencial de lavanda en forma de bola; aceite esencial de menta en forma de bola; aceite esencial de yerbabuena en forma de bola; aceites de ducha a base de cáñamo; aceites esenciales a base de cáñamo; aceites esenciales en cuanto aromatizantes alimentarios; aceites esenciales en cuanto fragancias de lavandería; aceites esenciales en cuanto perfumes de lavandería; aceites esenciales para aparatos ambientadores de interior; aceites esenciales para la fabricación de productos perfumados; aceites esenciales utilizados en procesos de fabricación; aceites para después del sol de uso cosmético; aceites perfumados para fabricar preparaciones cosméticas; aceites perfumados para la fabricación de preparaciones cosméticas; aceites perfumados para la fabricación de preparados cosméticos; aceites perfumados para la fabricación de productos cosméticos; aceites y lociones con filtro solar; aceites y lociones de protección solar; esencia de árbol de té [aceite esencial]; esencia de hierba limón [aceite esencial]; esencia de menta en cuanto aceites esenciales; esencia de ylang ylang [aceite esencial]; esencias comestibles para alimentos [aceites esenciales]; geles, cremas y aceites de ducha; aceite esencial de árbol de té en forma de roll-on; aceite esencial de eucalipto en forma de roll-on; aceite esencial de hierbabuena en forma de roll-on; aceite esencial de lavanda en forma de roll-on; aceite esencial de menta en forma de roll-on; aceite esencial de yerbabuena en forma de roll-on; aceites de baño que no sean medicinales; aceites de baño, que no sean para uso médico; aceites de cáñamo a base de CBD para uso cosmético; aceites de masaje que no sean para uso médico; aceites de masaje, que no sean para uso médico; aceites esenciales industriales para uso en la fabricación de productos de tabaco; aceites esenciales para uso en la fabricación de productos neutralizadores de olores; aceites esenciales para uso industrial para uso en la fabricación de productos de tabaco; aceites para después del sol [productos cosméticos]; aceites perfumados que difunden aromas al ser calentados; agua de tocador que contiene aceite de serpiente; botellas tipo rollo llenas de aceites esenciales; botellas tipo roll-on llenas de aceites esenciales; cremas a base de aceites esenciales para aromaterapia; productos de perfumería, aceites esenciales, cosméticos, lociones capilares; recambios de fragancias para ambientadores de aceites esenciales enchufables; recambios de fragancias para ambientadores electrónicos de aceites esenciales; preparaciones capilares a base de aceite de coco virgen ecológico y de aceite de coco virgen; aceite esencial del árbol del té en forma de bola; aceites esenciales que no sean para uso médico o terapéutico; aceites y sales de baño que no sean para uso médico; cremas, aceites, lociones, aerosoles, lápices y bálsamos para uso cosmético; difusores de caña compuestos por aceites perfumados en recipientes y cañas; leches, </t>
  </si>
  <si>
    <t>Sonia Odalis  Tavera Yzturiz, Carrera 69P #64H06, BOGOTÁ, D.C., CO</t>
  </si>
  <si>
    <t>ENZYMEX</t>
  </si>
  <si>
    <t>FBLAB S.A DE C.V.,  INDUSTRIA MODERNA 2001 INT 86, EUROBUSINESS PARK, EL MARQUÉS, QUERETARO, MX</t>
  </si>
  <si>
    <t>5. DETERGENTE DESINFECTANTE ENZIMATICO.</t>
  </si>
  <si>
    <t>DIEGO FERNANDO HERNANDEZ QUINTERO , CALLE+13+NO.8-23+OF.+318, BOGOTÁ, D.C., CO</t>
  </si>
  <si>
    <t>exoten</t>
  </si>
  <si>
    <t>EXOTEN - CLARA</t>
  </si>
  <si>
    <t>MULTIPLICADORES S.A.S.,  Carrera 79 46 36, MEDELLIN, ANTIOQUIA, CO</t>
  </si>
  <si>
    <t>3. Cosméticos no medicinales, lociones capilares no medicinales.
5. Productos farmacéuticos, preparaciones para uso médico.</t>
  </si>
  <si>
    <t>Manuela Castaño Villa, Calle 20 No. 84 F - 48 int. 217, MEDELLIN, ANTIOQUIA 05, CO</t>
  </si>
  <si>
    <t>CREA STACK</t>
  </si>
  <si>
    <t>RICHARD SEGUNDO CASTIBLANCO GOMEZ, CLL. 39 NO. 8A-46 BARRIO EL TRONCAL, CALI, VALLE DEL CAUCA, VALLE DEL CAUCA, CO</t>
  </si>
  <si>
    <t>5. Suplementos nutricionales; suplementos alimenticios minerales; suplementos dietéticos con efecto cosmético; suplementos vitamínicos líquidos; agentes de administración en forma de recubrimientos de comprimidos que facilitan la administración de suplementos nutricionales.</t>
  </si>
  <si>
    <t>JULIANA GONZÁLEZ GONZÁLEZ, CALLE 66 No.11- 50 OFIC 416, BOGOTÁ, D.C., CO</t>
  </si>
  <si>
    <t>ONLY CARS</t>
  </si>
  <si>
    <t>11 may. 2022</t>
  </si>
  <si>
    <t>SOFIA CANO MENDEZ, CR 43A NO 72 SUR 184 IN 903, SABANETA, ANTIOQUIA, CO</t>
  </si>
  <si>
    <t>5. Ambientadores [desodorantes] para coches; ambientadores para automóviles; espráis ambientadores.
35. Agencias de importación y exportación en el ámbito de los accesorios para vehículos; servicios de agencia de ventas de piezas y accesorios de automóviles; servicios de venta mayorista en relación con accesorios para automóviles; servicios de venta minorista en relación con accesorios para automóviles; servicios de venta minorista prestados por tiendas de piezas y accesorios de automóviles.</t>
  </si>
  <si>
    <t>ISO PRO</t>
  </si>
  <si>
    <t>NATURAL´S HELIOS 4 S.A.S., CRA 8 No 17 21, BOGOTÁ, D.C., CO</t>
  </si>
  <si>
    <t>5. Suplementos alimenticios en polvo a base de proteinas.</t>
  </si>
  <si>
    <t>camilo andres ochoa castro, Carrera 6 10 42, BOGOTA, CUNDINAMARCA 11011, CO</t>
  </si>
  <si>
    <t>ZIXVIROX</t>
  </si>
  <si>
    <t>M19857</t>
  </si>
  <si>
    <t>BIOCIDAS BIODEGRADABLES ZIX, S.L., Pasaje Baleares, 4 - Oficina 1, HUESCA, HUESCA 22004, ES</t>
  </si>
  <si>
    <t>5. Esporicidas; fungicidas; desinfectantes; pesticidas; biocidas; productos para purificar el aire; preparaciones veterinarias; productos de lavado insecticidas para uso veterinario; herbicidas; preparaciones higiénicas para uso veterinario; desinfectantes para uso veterinario; preparaciones antiinfecciosas para uso veterinario.</t>
  </si>
  <si>
    <t>Forma de una caja con unos colores caracteristicos, ubicados en espacios especificos dentro del signo distintivo y la incorporacion de trazos uniformes al centro en colores determinados que dan la apariencia de ondas separadas por una delgada linea que permite visualizar el color presente en la mayoria del signo.</t>
  </si>
  <si>
    <t>Reg Kyrovet Tridimensional</t>
  </si>
  <si>
    <t>KYROVET LABORATORIES S.A., Carrera 65B No 17 59, BOGOTÁ, D.C., CO</t>
  </si>
  <si>
    <t>5. Medicamentos de uso veterinario.</t>
  </si>
  <si>
    <t>Omar Orlando  Ortiz Paez, Calle 97b Sur #50 95, LA ESTRELLA, ANTIOQUIA, CO</t>
  </si>
  <si>
    <t>AMINOMIX PET</t>
  </si>
  <si>
    <t>12 may. 2022</t>
  </si>
  <si>
    <t>152189</t>
  </si>
  <si>
    <t>VETNIL INDÚSTRIA E COMÉRCIO DE PRODUTOS VETERINÁRIOS LTDA, Avenida José Nicolau Stabile, 53, Residencial Burch, LOUVEIRA, SAO PAULO 13290-000, BR</t>
  </si>
  <si>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</si>
  <si>
    <t>BIOHOOF</t>
  </si>
  <si>
    <t>152190</t>
  </si>
  <si>
    <t>ELETROLITICO PET</t>
  </si>
  <si>
    <t>152193</t>
  </si>
  <si>
    <t>ENTEREX</t>
  </si>
  <si>
    <t>152194</t>
  </si>
  <si>
    <t>GLICOPAN ENERGY</t>
  </si>
  <si>
    <t>152195</t>
  </si>
  <si>
    <t>GLICOPAN PET</t>
  </si>
  <si>
    <t>152196</t>
  </si>
  <si>
    <t>HEPVET</t>
  </si>
  <si>
    <t>152199</t>
  </si>
  <si>
    <t>NUTRALIFE</t>
  </si>
  <si>
    <t>152201</t>
  </si>
  <si>
    <t>NUTRALIFE INTENSIV</t>
  </si>
  <si>
    <t>152202</t>
  </si>
  <si>
    <t>PULMONIL</t>
  </si>
  <si>
    <t>152205</t>
  </si>
  <si>
    <t>QUANTICA CBD</t>
  </si>
  <si>
    <t>viviana castillo cardozo, carrera 55 149 20, BOGOTÁ, D.C., CO</t>
  </si>
  <si>
    <t>IMPACT</t>
  </si>
  <si>
    <t>USTF10164700/CO</t>
  </si>
  <si>
    <t>FMC Agricultural Solutions A/S, Thyborønvej 78 7673 Harboøre, Ronland, Denmark, HARBOORE, THYBORONVEJ , DK</t>
  </si>
  <si>
    <t>5. Pesticidas; insecticidas; herbicidas; fungicidas; nematicidas.</t>
  </si>
  <si>
    <t>AMINOMIX FORTE</t>
  </si>
  <si>
    <t>152188</t>
  </si>
  <si>
    <t>PURIX ALCOHOL Antiséptico</t>
  </si>
  <si>
    <t>16 may. 2022</t>
  </si>
  <si>
    <t>PURIX ALCOHOL</t>
  </si>
  <si>
    <t>FADEPLAST S.A.S, CALLE 30 A NO. 11 B 71, CALI, VALLE DEL CAUCA, VALLE DEL CAUCA, CO</t>
  </si>
  <si>
    <t>5. Alcohol de fricción; alcohol isopropílico [isopropanol] para uso médico; alcohol para uso farmacéutico; alcohol para uso tópico; alcoholes medicinales; geles desinfectantes antibacterianos a base de alcohol para la piel.</t>
  </si>
  <si>
    <t>AINTECH</t>
  </si>
  <si>
    <t>NUTRATECH SAS, Carrera 8 No 20N-148. Bodega 13 Centro, BUCARAMANGA, SANTANDER, CO</t>
  </si>
  <si>
    <t>5. Suplementos a base de minerales y extractos vegetales para alimentos concentrados y/o agua de bebida de animales.</t>
  </si>
  <si>
    <t>MARIA CAROLINA CAICEDO POMBO, AV. CARRERA 15 N° 127B - 48 OFICINA 502, BOGOTÁ, D.C., CO</t>
  </si>
  <si>
    <t>XETRANE</t>
  </si>
  <si>
    <t>17 may. 2022</t>
  </si>
  <si>
    <t>163898495REG</t>
  </si>
  <si>
    <t>5. Agentes antineoplásicos e inmunomoduladores, con expresa exclusión de los productos destinados para tratamientos del sistema nervioso central.</t>
  </si>
  <si>
    <t>PRONTECH</t>
  </si>
  <si>
    <t>PROMOTORAS UNIDAS LTDA, CARRERA 8A N° 99-51, OFC 301, TORRE A, BOGOTÁ, D.C., CO</t>
  </si>
  <si>
    <t>5. Desinfectantes; desinfectantes domésticos; desinfectantes para equipos e instrumentos médicos; desinfectantes para equipos e instrumentos médicos y odontológicos; desinfectantes para inodoros químicos; desinfectantes para instrumental médico; desinfectantes para piscinas; desinfectantes para uso doméstico; desinfectantes para uso médico; desinfectantes para uso sanitario; desinfectantes para uso veterinario; bactericidas; fungicidas para uso agrícola; fungicidas para uso doméstico; fungicidas, herbicidas; fungicidas para uso hortícola; fungicidas; medicamentos para uso veterinario; preparaciones antibacterianas para uso veterinario.</t>
  </si>
  <si>
    <t>LUIS FERNANDO FIGUEREDO GALVIS, SIN ESTABLECER, BOGOTÁ, D.C., CO</t>
  </si>
  <si>
    <t>PIROFLOX PLUS</t>
  </si>
  <si>
    <t>18 may. 2022</t>
  </si>
  <si>
    <t>PISA AGROPECUARIA, S.A. DE C.V., AV. ESPAÑA 1840, COL MODERNA, C.P. 44190, GUADALAJARA, JALISCO, MX</t>
  </si>
  <si>
    <t>5. PRODUCTOS VETERINARIOS.</t>
  </si>
  <si>
    <t>ASTROBIN</t>
  </si>
  <si>
    <t>DUWEST COLOMBIA S.A.S., Autopista Medellin Km. 2 Parque Empresarial Oikos La Florida Bodegas 5, 6 y 7, COTA, CUNDINAMARCA, CO</t>
  </si>
  <si>
    <t>5. Fungicidas; fungicidas biológicos; fungicidas para uso agrícola; fungicidas para uso doméstico; fungicidas para uso hortícola; fungicidas, herbicidas; calomelano [fungicida].</t>
  </si>
  <si>
    <t>Adeodato Jaime Murillo, Calle 93 # 15-27 oficina 203, BOGOTÁ, D.C., CO</t>
  </si>
  <si>
    <t>JAVALINA</t>
  </si>
  <si>
    <t>19 may. 2022</t>
  </si>
  <si>
    <t>5. Fungicidas, herbicidas; herbicidas; herbicidas acuáticos; herbicidas biológicos; herbicidas para estanques; herbicidas para uso agrícola; herbicidas para uso doméstico; preparaciones herbicidas y pesticidas; preparaciones herbicidas y plaguicidas.</t>
  </si>
  <si>
    <t>BURN SMART</t>
  </si>
  <si>
    <t>Santiago Chaparro Arias, calle 23 N # 24 00, ARMENIA, QUINDIO, CO</t>
  </si>
  <si>
    <t>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de uso veterinario; suplementos alimenticios para humanos; suplementos alimenticios para personas;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oligoelementos para productos alimenticios de consumo humano; suplementos de proteína de suero de leche;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ácido fólico; suplementos dietéticos en forma de polvo; suplementos dietéticos en forma líquida; suplementos dietéticos en polvo a base de esporas de ganoderma lucidum;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productos alimenticios de consumo humano; suplementos y preparaciones dietéticas; suplementos y preparaciones nutricionales; vitaminas, minerales y antioxidantes en cuanto suplementos nutricionales y dietéticos; aguas enriquecidas con vitaminas para uso médico; bebidas enriquecidas con vitaminas para uso médico; bebidas nutricionales enriquecidas con vitaminas para uso dietético; complementos alimenticios de vitaminas y minerales; complementos de vitaminas para productos alimenticios de consumo humano; complementos dietéticos de vitaminas; comprimidos de vitaminas; estimulantes [preparaciones farmacéuticas] a base de vitaminas; líquidos medicamentosos para cigarrillos electrónicos [e-liquid] que contienen vitaminas; multivitaminas; pan enriquecido con vitaminas para uso terapéutico; parches transdérmicos para el tratamiento de la deficiencia de vitaminas; parches transdérmicos que facilitan el suministro de vitaminas; pastillas de vitaminas; pastillas efervescentes de vitaminas; preparaciones de vitaminas para el consumo humano; preparaciones de vitaminas para la alimentación humana; preparaciones de vitaminas y minerales; preparaciones de vitaminas*; soluciones líquidas medicinales que contienen vitaminas, para los cigarrillos electrónicos; sustancias dietéticas de vitaminas, minerales, aminoácidos y oligoelementos; sustancias dietéticas de vitaminas, minerales, aminoácidos y oligoelementos, ya sean por separado o combinadas; vitaminas; vitaminas de consistencia gomosa; vitaminas para adultos; de compañía; vitaminas para bebés; vitaminas para embarazadas; vitaminas para niños; vitaminas prenatales; vitaminas, minerales y antioxidantes en cuanto complementos nutricionales y dietéticos.</t>
  </si>
  <si>
    <t>JOSE LIZANDRO VIVEROS MESIAS, CARRERA 38 # 10-51 BARRIO OLÍMPICO, CALI, VALLE DEL CAUCA, CO</t>
  </si>
  <si>
    <t>QUE HELADO PETS</t>
  </si>
  <si>
    <t>MARIA JOSE RAMIREZ OSPINA, barrio la union manzana 18 casa 12, ARMENIA, QUINDIO 630001, CO</t>
  </si>
  <si>
    <t>5. Suplementos nutricionales no medicinales para alimentos para animales.</t>
  </si>
  <si>
    <t>Xdrovit</t>
  </si>
  <si>
    <t>24 may. 2022</t>
  </si>
  <si>
    <t>DANIELA  FORERO SEPULVEDA, Calle 66 No. 11-50, BOGOTÁ, D.C., CO</t>
  </si>
  <si>
    <t>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productos farmacéuticos para uso humano.</t>
  </si>
  <si>
    <t>Envpharma</t>
  </si>
  <si>
    <t>ENVIRONMETH PHARMACEUTIC SAS, CR 68 D NO. 25 B 86 OF 425, BOGOTÁ, D.C., CO</t>
  </si>
  <si>
    <t>5. Cánnabis médico; cánnabis para uso médico.</t>
  </si>
  <si>
    <t>ERIKA FERNANDA BLANCO QUIMBAYO, Cr 68 D No. 25 B - 86 Ofc 425, BOGOTÁ, D.C., CO</t>
  </si>
  <si>
    <t>CLICK &amp; GO</t>
  </si>
  <si>
    <t>NOVARTIS AG, 4002 BASILEA, SUIZA, BASEL, BASEL, CH</t>
  </si>
  <si>
    <t>5, 10, 44</t>
  </si>
  <si>
    <t>5. Preparaciones farmacéuticas en el campo de la neurología.
10. Autoinyectores para la administración de preparaciones farmacéuticas en el campo de la neurología.
44. Suministro de información sanitaria a los pacientes y a los profesionales de la salud en el ámbito de la neurología.</t>
  </si>
  <si>
    <t>ALEGRA</t>
  </si>
  <si>
    <t>23 may. 2022</t>
  </si>
  <si>
    <t>KATHERIN  CABALLERO PEÑA, calle 23 24-58, TULUA, VALLE DEL CAUCA, CO</t>
  </si>
  <si>
    <t>ROCUREX</t>
  </si>
  <si>
    <t>PROCAPS S.A., CLL 80 N° 78 B - 201, BARRANQUILLA, ATLÁNTICO, CO</t>
  </si>
  <si>
    <t>5. Productos farmacéuticos; preparaciones veterinarias; medicamentos para uso médico; medicamentos para uso veterinario; algodón para uso médico; desinfectantes para uso higiénico; productos para esterilizar; pañales para bebés; tampones para la menstruación; paños menstruales;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</si>
  <si>
    <t>DIFLUFAR</t>
  </si>
  <si>
    <t>5. Marca para distinguir producto farmacéutico para el reflujo gastroesofagico, hiperacidez gástrica, flatulencias, indigestión, dolor epigastrico, producto comprendido en la clase 5.</t>
  </si>
  <si>
    <t>D' Pelos Guau</t>
  </si>
  <si>
    <t>Carlos Odilio Nieuwenburg, Calle 91 #9-16, BOGOTÁ, D.C. 110221, CO</t>
  </si>
  <si>
    <t>5. Preparaciones para uso médico y veterinario.</t>
  </si>
  <si>
    <t>D´Pelos Miau</t>
  </si>
  <si>
    <t>ELEMENTAL PERFORMANCE</t>
  </si>
  <si>
    <t>1. ELEMENTAL PERFORMANCE (Mixta) en clases 05 y 32 Internacional</t>
  </si>
  <si>
    <t>Administración de Insumos para la Salud, S.A. de C.V., Avenida España Número 1788 Interior 4, Colonia Moderna, Z.C. 44190, en Guadalajara, Jalisco, México, GUADALAJARA, JALISCO, MX</t>
  </si>
  <si>
    <t>5, 32</t>
  </si>
  <si>
    <t>5. Productos farmacéuticos, preparaciones para uso médico; productos higiénicos y sanitarios para uso médico; alimentos y sustancias dietéticas para uso médico, alimentos para bebés; suplementos alimenticios para personas; suero oral.
32. Bebidas sin alcohol; aguas minerales; bebidas a base de frutas y zumos de frutas; siropes y otras preparaciones sin alcohol para elaborar bebidas; bebidas energéticas, las bebidas isotónicas, las bebidas enriquecidas con proteínas para deportistas.</t>
  </si>
  <si>
    <t>ELEMENTAL WELLNESS</t>
  </si>
  <si>
    <t>ELEMENTAL WELLNESS (Mixta) en clase 05 y 32 Internacional</t>
  </si>
  <si>
    <t>ROCUREX PROCAPS PROCAPS</t>
  </si>
  <si>
    <t>MA31168-ROCUREX</t>
  </si>
  <si>
    <t>ATUREN</t>
  </si>
  <si>
    <t>26 may. 2022</t>
  </si>
  <si>
    <t>GADOR S.A., Calle Darwin 429, BUENOS AIRES, DISTRITO FEDERAL / BUENOS AIRES, AR</t>
  </si>
  <si>
    <t>5. Productos farmacéuticos para uso humano; preparaciones para uso médico en; humanos.</t>
  </si>
  <si>
    <t>JUAN ANDRÉS ZARAMA MEDINA, Carrera 9 # 61-81 Oficina 402, BOGOTÁ, D.C., CO</t>
  </si>
  <si>
    <t>BELLE VIT C</t>
  </si>
  <si>
    <t>25 may. 2022</t>
  </si>
  <si>
    <t>BELLETHIQUE CORPORATION LTDA, CALLE 79 NO. 69K - 37, BOGOTÁ, D.C., CO</t>
  </si>
  <si>
    <t>5. VITAMINAS.</t>
  </si>
  <si>
    <t>ARKUS</t>
  </si>
  <si>
    <t>5. Productos farmacéuticos para uso humano; preparaciones para uso médico en humanos.</t>
  </si>
  <si>
    <t>TANER</t>
  </si>
  <si>
    <t>ALPINA BABY NEURO PLUS 1</t>
  </si>
  <si>
    <t>140398536REG</t>
  </si>
  <si>
    <t>ALPINA PRODUCTOS ALIMENTICIOS S.A.S. - BIC., KM 3 VÍA BRICEÑO, SOPO, CUNDINAMARCA, CO</t>
  </si>
  <si>
    <t>5. Fórmula de leche para bebé.
29. Leche, productos lácteos y leche en polvo.</t>
  </si>
  <si>
    <t>VIFORTS</t>
  </si>
  <si>
    <t>VIFORTS2022</t>
  </si>
  <si>
    <t>juan david lopez gutierrez, call 2 no.93 d 30, BOGOTÁ, D.C., CO</t>
  </si>
  <si>
    <t>3. Jabones cosméticos; jabones en forma líquida; jabones líquidos; jabones líquidos no medicinales; jabones no medicados para las manos; jabones no medicinales; jabones para las manos; jabones para uso personal; jabones perfumados; jabones*; aceite de menta [perfumería]; aceites de perfumería; aceites para perfumes y fragancias; bases para perfumes de flores; colonias, perfumes y productos cosméticos; desodorantes corporales [perfumería]; espráis utilizados como desodorantes y perfumes corporales; extractos de flores [productos de perfumería]; fragancias y productos de perfumería; perfumería y fragancias; perfumes líquidos; perfumes y aguas de colonia; perfumes y aguas de tocador; perfumes y colonias; perfumes, aguas de colonia y productos para después del afeitado; preparaciones ambientadoras (perfumes); productos de perfumería; productos de perfumería naturales; productos de perfumería, aceites esenciales; productos de perfumería, aceites esenciales, cosméticos, lociones capilares; productos de perfumería, inciensos y fragancias; bases de maquillaje; bases de maquillaje cremosas; bases de maquillaje en crema; bases de maquillaje líquidas; bases de maquillaje para la piel; kits de cosméticos que comprenden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maquillaje; maquillaje [cosméticos]; maquillaje para el cuerpo; maquillaje para el rostro; maquillaje para el rostro y el cuerpo; maquillaje para la cara; maquillaje para los ojos; maquillajes de base; maquillajes de base en crema; maquillajes faciales; preparaciones de maquillaje para el rostro y el cuerpo; productos cosméticos y de maquillaje; sprays para fijar el maquillaje; aceites cosméticos para la piel; aceites para el bronceado de la piel; acondicionadores para la piel; bronceadores para la piel; cosméticos funcionales en cuanto preparaciones para blanquear la piel; cremas no medicadas para suavizar la piel; cremas no medicinales para aclarar la piel; cremas para aclarar la piel; cremas para el cuidado de la piel que no sean de uso médico; cremas para el cuidado de la piel que no sean para uso médico; cremas para el cuidado de la piel, no medicinales; champús capilares; cremas capilares; cremas de protección capilar, no medicinales; decolorantes capilares; fijadores capilares; geles capilares; lociones capilares cosméticas; lociones capilares*; mascarillas para el cuidado capilar; preparaciones capilares a base de aceite de coco virgen ecológico y de aceite de coco virgen; preparaciones capilares de protección solar; preparaciones de tintes capilares; preparaciones para tratamientos capilares; productos de perfumería, aceites esenciales, cosméticos no medicinales, lociones capilares no medicinales; tratamientos para permanentes capilares.
5. Lociones capilares medicinales; preparaciones medicinales para el cuidado capilar; aceites para el cuidado de la piel [medicinales]; aceites para el cuidado de la piel, medicinales; cremas medicamentosas para hidratar la piel; cremas medicamentosas para la hidratación de la piel; cremas medicamentosas para la piel; cremas medicinales para el cuidado de la piel; cremas medicinales para la protección de la piel; cremas para el cuidado de la piel, medicinales; geles desinfectantes antibacterianos a base de alcohol para la piel; jabones antibacterianos para la piel; lociones farmacéuticas para la piel; lociones y cremas medicamentosas para el cuerpo, piel, rostro y manos; preparaciones farmacológicas para cuidar la piel; preparaciones farmacológicas para el cuidado de la piel; preparaciones farmacéuticas para cuidar la piel; preparaciones medicinales para el cuidado de la piel; preparaciones medicinales para el cuidado de la piel en forma de geles; preparaciones y sustancias farmacéuticas para tratar la piel y los tejidos dañados; productos para el cuidado de la piel, medicinales; serum calmante para la piel [medicinales]; serum calmante para la piel, medicinales; serum de alivio para la piel [medicinales]; serum de alivio para la piel, medicinales; tónicos medicinales para la piel.</t>
  </si>
  <si>
    <t>SANTTOR</t>
  </si>
  <si>
    <t>KELLY STEPHANYA  FLOREZ SANTAMARIA, calle 46 # 48b - 46, CALI, VALLE DEL CAUCA 760024, CO</t>
  </si>
  <si>
    <t>5.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</si>
  <si>
    <t>BotaniTOX</t>
  </si>
  <si>
    <t>Botanitox</t>
  </si>
  <si>
    <t>BOTANICA LAB SAS, CALLE 64 C 113 33 39, , BOGOTÁ, D.C., CO</t>
  </si>
  <si>
    <t>5. Jarabes antitusígenos; jarabes contra la tos; jarabes en cuanto medicamentos; jarabes para la tos; jarabes para uso farmacéutico; jarabes para uso veterinario.
30. Azúcar, miel, jarabe de melaza; jarabe de arce; jarabe de arce deshidratado en forma granular; jarabe de maíz para uso culinario; jarabe de melaza; jarabe de melaza para uso culinario; jarabe de mesa; jarabe de yacón; jarabe de yacón [edulcorante natural]; jarabe pegajoso de almidón; jarabe viscoso a base de almidón; jarabes de arce; jarabes de arce orgánicos; jarabes de arce para coberturas; jarabes de arce sin azúcar; jarabes para coberturas; jarabes y jarabe de melazas; siropes y jarabe de melazas.</t>
  </si>
  <si>
    <t>ANA MILENA VALLEJO GUTIERREZ, carrera 12 No 93-31 ofc 307, BOGOTÁ, D.C., CO</t>
  </si>
  <si>
    <t>D´Pelos Guau</t>
  </si>
  <si>
    <t>28 may. 2022</t>
  </si>
  <si>
    <t>GUMMAS FIT</t>
  </si>
  <si>
    <t>23 ago. 2022</t>
  </si>
  <si>
    <t>GUMMASFIT</t>
  </si>
  <si>
    <t>SEBASTIAN RINCON GIRALDO, CRA 44 #67 SUR 62, SABANETA, ANTIOQUIA 055450, CO</t>
  </si>
  <si>
    <t>5. Gomas de mascar con sabor a menta para uso médico; gomas de mascar de nicotina para dejar de fumar; gomas de mascar sin azúcar para uso médico; gomas para uso médico; complementos de zinc en pastillas; medicamentos en forma de pastillas; pastillas antioxidantes; pastillas bronceadoras; pastillas contra la tos; pastillas de miel de hierbas para la garganta; pastillas de vitaminas; pastillas para adelgazar; pastillas supresoras del apetito.</t>
  </si>
  <si>
    <t>Neo-TC</t>
  </si>
  <si>
    <t>SAN Group Biotech Brasil Ltda.,  Estrada Municipal CAM 465, Nº  1701, Campo Grande, CAMPINAS, SAO PAULO, BR</t>
  </si>
  <si>
    <t>5. Productos farmacéuticos y medicamentos veterinarios.</t>
  </si>
  <si>
    <t>LACTOFLOR KIDS</t>
  </si>
  <si>
    <t>LABORATORIOS ORBY SAS, CALLE 85 A # 28 - 38, BOGOTÁ, D.C., CO</t>
  </si>
  <si>
    <t>LUIS FERNANDO  PATRON FUENTES, Carrera 17 No. 150 - 52, Oficina 303, BOGOTÁ, D.C., CO</t>
  </si>
  <si>
    <t>INTIMA-V</t>
  </si>
  <si>
    <t>01 jun. 2022</t>
  </si>
  <si>
    <t>665198577REG</t>
  </si>
  <si>
    <t>DR. AUGUST WOLFF GMBH &amp; CO. KG ARZNEIMITTEL, SUDBRACKSTRASSE 56, 33611 BIELEFELD, ALEMANIA, BIELEFELD, NORDRHEIN-WESTFALEN, DE</t>
  </si>
  <si>
    <t>3, 5, 10</t>
  </si>
  <si>
    <t>3. Artículos de tocador; preparaciones para la limpieza y el cuidado del cuerpo; jabones y geles; preparaciones para el baño; humectantes vaginales no medicados; humectantes vaginales no medicados en forma de crema o crema que contiene pesario.
5. Preparaciones médicas; suplementos dietéticos y preparaciones dietéticas; productos farmacéuticos y remedios naturales; humectantes vaginales; humectantes vaginales en forma de crema o cremas que contienen pesario; preparaciones y artículos sanitarios; desinfectantes y antisépticos; jabones y detergentes medicinales y desinfectantes; preparaciones de baño para uso médico.
10. Copas menstruales.</t>
  </si>
  <si>
    <t>08 dic. 2021</t>
  </si>
  <si>
    <t>Nanavit</t>
  </si>
  <si>
    <t>NANAVIT</t>
  </si>
  <si>
    <t>DIANA CAROLINA LUENGAS MONTANA, cra 20 sur #103-124 Torre A Apto 405, IBAGUE, TOLIMA, CO</t>
  </si>
  <si>
    <t>5, 32, 35</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</si>
  <si>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32. Cervezas; aguas minerales y otras bebidas sin alcohol; bebidas a base de frutas y zumos de frutas; siropes y otras preparaciones para elaborar bebidas.
35. Publicidad; gestión de negocios comerciales; administración comercial; trabajos de oficina; comercialización; comercialización de productos; comercialización de productos para terceros; comercialización por internet; merchandising [comercialización]; servicios de comercialización; servicios de merchandising [comercialización].</t>
  </si>
  <si>
    <t>DERMA NATURAL</t>
  </si>
  <si>
    <t>GRUPO FARINTER IP SRL, BARRIO LA GRANJA EDIFICIO FARINTER , TEGUCIGALPA, DISTRITO CENTRAL, HN</t>
  </si>
  <si>
    <t>3. Productos cosméticos para el cuidado de la piel; productos cosméticos para la piel; productos cosméticos y de maquillaje.
5. Preparaciones farmacéuticas; preparaciones parafarmacéuticas para uso dermatológico; lociones farmacéuticas para la piel; preparaciones farmacéuticas para cuidar la piel; preparaciones farmacéuticas para el cuidado de la salud; cremas medicamentosas para hidratar la piel; cremas medicamentosas para la hidratación de la piel; cremas medicamentosas para la piel; cremas medicinales para la piel; cremas para el cuidado de la piel, medicinales; jabones antibacterianos para la piel; lociones y cremas medicamentosas para el cuerpo, piel, cara y manos; lociones y cremas medicamentosas para el cuerpo, piel, rostro y manos; lociones y cremas medicinales para el cuerpo, piel, cara y manos; preparaciones de uso médico para limpiar la piel; preparaciones farmacológicas para cuidar la piel.</t>
  </si>
  <si>
    <t>FELIPE ABELLO MONSALVO, Carrera 10 No. 97A - 13, Torre A, Oficina 506, BOGOTÁ, D.C., CO</t>
  </si>
  <si>
    <t>HEALTHIBETIC</t>
  </si>
  <si>
    <t>Healthibetic</t>
  </si>
  <si>
    <t>GHILA TRANSLATEUR KAHN, calle 64 # 4a -18, BOGOTÁ, D.C., CO</t>
  </si>
  <si>
    <t>5. Productos farmacéuticos, preparaciones para uso médico y veterinario; preparaciones para uso médico y veterinario;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cápsulas de gelatina para productos farmacéuticos; cápsulas de gelatina vacías para productos farmacéuticos; cápsulas de polímeros dendriméricos para productos farmacéuticos; cápsulas vacías para productos farmacéuticos; parches cutáneos transdérmicos para el suministro de productos farmacéuticos; parches transdérmicos para la administración de productos farmacéuticos; productos farmacéuticos; productos farmacéuticos antibacterianos; productos farmacéuticos antidiabéticos; productos farmacéuticos homeopáticos; productos farmacéuticos para uso humano.</t>
  </si>
  <si>
    <t>GAMBOA ABOGADOS SAS, carrera 7# 76-35, BOGOTÁ, D.C., CO</t>
  </si>
  <si>
    <t>VetCBD</t>
  </si>
  <si>
    <t>22 jun. 2022</t>
  </si>
  <si>
    <t>Registro VetCBD</t>
  </si>
  <si>
    <t>ALONDRA BOTANICALS HOLDINGS, LLC, 1968 S Coast Hwy # 3713, LAGUNA BEACH, CALIFORNIA 92651, US</t>
  </si>
  <si>
    <t>5. Complementos alimenticios para animales de uso veterinario; medicamentos para uso veterinario; remedios para uso veterinario; suplementos alimenticios para uso veterinario.</t>
  </si>
  <si>
    <t>REENOVAR WELL BEING Alimentos Terapeuticos</t>
  </si>
  <si>
    <t>06 jun. 2022</t>
  </si>
  <si>
    <t>Mireya Arias Orjuela, CALLE4 SUR #35 - 95 Multifamiliares los centauros , VILLAVICENCIO, META 0000004, CO</t>
  </si>
  <si>
    <t>KARDIO</t>
  </si>
  <si>
    <t>Solicitud de marca KARDIO</t>
  </si>
  <si>
    <t>OURO FINO SAUDE ANIMAL LTDA, RODOVIA ANHANGUERA SSP 330, KM. 298, DISTRITO INDUSTRIAL CRAVINHOS - SP, DISTRITO INDUSTRIAL CRAVINHOS, SAO PAULO, BR</t>
  </si>
  <si>
    <t>5. Medicamento para uso veterinario.</t>
  </si>
  <si>
    <t>DeKados</t>
  </si>
  <si>
    <t>104515/1 DeKados</t>
  </si>
  <si>
    <t>CANNAVIT</t>
  </si>
  <si>
    <t>SOCIEDAD DE COMERCIALIZACION INTERNACIONAL COLLECTIONS S.A.S., CL 52 # 1 N - 100 PI 2, CALI, VALLE DEL CAUCA, CO</t>
  </si>
  <si>
    <t>5. Aceites medicinales para bebés; aceites medicinales; aerosoles medicinales para la garganta; aerosoles medicinales para uso bucal; aerosoles medicinales; aerosoles y cremas de hierbas medicinales de uso externo; agua de mar para baños medicinales; alcoholes medicinales; bálsamos analgésicos medicinales polivalentes; bálsamos medicinales para los labios; baños medicinales para uso terapéutico; baños medicinales; bebidas medicinales; caramelos medicinales; compresas medicinales; cremas labiales medicinales; cremas medicinales antibióticas de amplio espectro; cremas medicinales antibióticas polivalentes; cremas medicinales; emplastos medicinales; enjuagues bucales medicinales; espráis y cremas de hierbas medicinales de uso externo; extractos herbarios para uso medicinal; extractos de hierbas medicinales para uso médico; extractos de hierbas medicinales; extractos de hierbas para uso medicinal; extractos de plantas y hierbas para uso medicinal; extractos vegetales y herbarios para uso medicinal; geles medicinales aplicables con cepillo para el cuidado bucal; geles medicinales para el cuidado bucal; ginseng para uso medicinal; goma de mascar medicinal con sabor a menta; goma de mascar medicinal; hierbas medicinales secas o conservadas; hierbas medicinales; infusiones de hierbas medicinales; infusiones medicinales; lociones faciales medicinales; lociones medicinales; lodos medicinales; medicinas crudas; medicinas herbarias; medicinas; paños impregnados con sustancias medicinales; pastillas medicinales; pociones medicinales; preparaciones medicinales para el cuidado de la salud; preparaciones medicinales; preparaciones y sustancias medicinales; propóleos para uso medicinal o terapéutico; raíces medicinales; té medicinal.</t>
  </si>
  <si>
    <t>AIDA LUCIA CERTUCHE CANDELO, CALLE 1 No. 4-38 SAN ANTONIO, CALI, VALLE DEL CAUCA, CO</t>
  </si>
  <si>
    <t>31 oct. 2022</t>
  </si>
  <si>
    <t>EXLEBEK</t>
  </si>
  <si>
    <t>Celgene Corporation, 86 Morris Avenue, SUMMIT, NEW JERSEY 07901, US</t>
  </si>
  <si>
    <t>5. Preparaciones farmacéuticas para uso humano.</t>
  </si>
  <si>
    <t>MAGILAB</t>
  </si>
  <si>
    <t>02 jun. 2022</t>
  </si>
  <si>
    <t>I LAB S.A.S., Calle 104A No. 45A - 45, BOGOTÁ, D.C., CO</t>
  </si>
  <si>
    <t>FABIO LEON DIAZ DUQUE, Calle 94A No. 62 - 30, BOGOTÁ, D.C., CO</t>
  </si>
  <si>
    <t>NUTRICIÓN BIOACTIVA</t>
  </si>
  <si>
    <t>Marca NUTRICIÓN BIOACTIVA (Nominativa), clase 5</t>
  </si>
  <si>
    <t>PLENNUM S.A.S., Carrera 25, No. 65-179, Edificio Torre 25, Piso 2 , MANIZALES, CALDAS, CO</t>
  </si>
  <si>
    <t>5. Nutracéuticos para uso terapéutico. Nutracéuticos utilizados como complementos dietéticos. Suplementos alimenticios.</t>
  </si>
  <si>
    <t>CLARA INÉS ALVÁREZ GIRALDO, Calle 84 No. 18-38 Of. 604, BOGOTÁ, D.C., CO</t>
  </si>
  <si>
    <t>ALIMENTO DORADO MANÁ</t>
  </si>
  <si>
    <t>alimento dorado maná</t>
  </si>
  <si>
    <t>COMERCIALIZADORA DE PRODUCTOS CARNICOS DEL RISARALDA S.A.S., km 3 via marsella , PEREIRA, RISARALDA 660001, CO</t>
  </si>
  <si>
    <t>5. Complementos nutricionales; complementos nutricionales para seres humanos; complementos nutricionales y alimenticios.</t>
  </si>
  <si>
    <t>julieta jimenez morales, km 3 via marsella frigotun sas pereira, PEREIRA, RISARALDA 660001, CO</t>
  </si>
  <si>
    <t>BUCODEX</t>
  </si>
  <si>
    <t>Bkdx</t>
  </si>
  <si>
    <t>NTI NEW TRADE INTERNATIONAL S.A.S., AUTOPISTA BOGOTÁ - MEDELLÍN KM 4.7 COSTADO NORTE ANTES DEL PUENTE, COTA, CUNDINAMARCA, CO</t>
  </si>
  <si>
    <t>5. Productos farmacéuticos, preparaciones para uso médico y veterinario; alimentos y sustancias dietéticas para uso médico o veterinario; complementos alimenticios para personas o animales; complementos alimenticios dietéticos para uso médico.</t>
  </si>
  <si>
    <t>ERIK FERNADO CAMACHO TOLOSA, autopista bogota medellin km 4.7 , COTA, CUNDINAMARCA, CO</t>
  </si>
  <si>
    <t>MELU</t>
  </si>
  <si>
    <t>07 jun. 2022</t>
  </si>
  <si>
    <t>CARMEN EMILIA  HIGUITA RUIZ, CARRERA9 No. 27 - 95. CONDOMINIO PORTOFINO CASA 19, CHIA, CUNDINAMARCA, CO</t>
  </si>
  <si>
    <t>3, 5, 14, 18, 35</t>
  </si>
  <si>
    <t>3. Cosméticos. Maquillaje. Cremas, geles, aceites, tónicos, espumas, aerosoles para: el cuerpo, el rostro, los brazos, las manos y el cabello.
5. Productos para el cuidado de la piel.
14. Joyería, bisutería, accesorios para dama.
18. Morrales, bolsos, carteras, estuches de maquillaje.
35. Administración y gestión comercial de tiendas especializadas en venta de productos cosméticos, de tocador, y cuidado de la piel.</t>
  </si>
  <si>
    <t>FERNANDO ANDRÉS  VALDERRAMA GRIJALBA , CL. 97 No. 23-60, OFICINA 603, BOGOTÁ, D.C., CO</t>
  </si>
  <si>
    <t>ALMIN</t>
  </si>
  <si>
    <t>almin s.a.s, kra  51 a no. 12 b sur-1'00, MEDELLIN, ANTIOQUIA, CO</t>
  </si>
  <si>
    <t>natalia cardona ruiz, kra 51 no 12a sur -100, MEDELLIN,, ANTIOQUIA 51, CO</t>
  </si>
  <si>
    <t>Montekast</t>
  </si>
  <si>
    <t>WF 21339</t>
  </si>
  <si>
    <t>LABORATORIOS BAGÓ DE COLOMBIA S.A.S, CALLE 4   2 ESTE 00 PAR K2 BG 12 , CHIA, CUNDINAMARCA, CO</t>
  </si>
  <si>
    <t>5. Productos farmacéuticos y veterinarios; productos higiénicos para la medicina; sustancias dietéticas para uso médico, alimentos para bebés; emplastos, material para apósitos; material para empastar los dientes y para improntas dentales; desinfectantes; productos para la destrucción de animales dañinos; fungicidas, herbicidas.</t>
  </si>
  <si>
    <t>BE</t>
  </si>
  <si>
    <t>08 jun. 2022</t>
  </si>
  <si>
    <t>104541/1 BE</t>
  </si>
  <si>
    <t>BORGYNET INTERNATIONAL HOLDINGS CORPORATION, PLAZA 2000, CALLE 50, PISO 16, PANAMA, PANAMA, PA</t>
  </si>
  <si>
    <t>5. Caramelos vitaminados en forma de goma blanda y en forma de tableta dura.
30. Café, té, cacao y sucedáneos del café; arroz; tapioca y sagú; harinas y preparaciones a base de cereales; pan, productos de pastelería y confitería; helados; azúcar, miel, jarabe de melaza; levadura, polvos de hornear; sal; mostaza; vinagre, salsas (condimentos); especias; hielo, barquillos, galletas, frutos secos recubiertos con chocolates, chocolatería, chicles, mentas, caramelos, turrones, gomas de mascar y gomas de gelatina.</t>
  </si>
  <si>
    <t>KAHIRI</t>
  </si>
  <si>
    <t>Solicitud de marca KAHIRI</t>
  </si>
  <si>
    <t>TUTEUR S.A.C.I.F.I.A., Encarnación Ezcurra 365, Piso 3º, Ciudad Autónoma de Buenos Aires, (C1107CLA), República Argentina, BUENOS AIRES, DISTRITO FEDERAL / BUENOS AIRES, AR</t>
  </si>
  <si>
    <t>5, 42</t>
  </si>
  <si>
    <t>5. Productos farmacéuticos, preparaciones para uso médico; productos higiénicos y sanitarios para uso médico; alimentos y sustancias dietéticas para uso médico, alimentos para bebés; suplementos alimenticios para personas o animales; emplastos, material para apósitos; material para empastes e improntas dentales.
42. Servicios científicos y tecnológicos, laboratorios médicos, laboratorios de investigación, servicios de laboratorios; servicios de ensayo de laboratorios.</t>
  </si>
  <si>
    <t>GASDEL DE PADEL</t>
  </si>
  <si>
    <t>09 jun. 2022</t>
  </si>
  <si>
    <t>PRODUCTOS ALIMENTICIOS PADEL LTDA, TL 76 A 47 55, BOGOTÁ, D.C., CO</t>
  </si>
  <si>
    <t>5. Productos farmacéuticos, veterinarios e higiénicos, sustancias dietéticas para uso médico, alimentos para bebés, complementos nutricionales para seres humanos y animales, emplastos, material para apósitos; material para empastar los dientes y para moldes dentales; desinfectantes; productos para la destruccion de animales dañinos, fungicidas, herbicidas.</t>
  </si>
  <si>
    <t>CARLOS GOMEZ DIAZ, TV. 76A NO. 47-55, BOGOTÁ, D.C., CO</t>
  </si>
  <si>
    <t>NERVIOVID</t>
  </si>
  <si>
    <t>16 jun. 2022</t>
  </si>
  <si>
    <t>JANUARIO PEÑA GONZALEZ, MANZANA A CASA 22 ESQUINA, URBANIZACION LA ESPERANZA., IBAGUE, TOLIMA, CO</t>
  </si>
  <si>
    <t>SOY 7.4</t>
  </si>
  <si>
    <t>SOY HOLISTICA S.A.S., Calle 64 Sur  #46 A 12, SABANETA, ANTIOQUIA, CO</t>
  </si>
  <si>
    <t>5. Productos farmacéuticos; productos farmacéuticos homeopáticos.
35. Servicios de publicidad en relación con productos farmacéuticos.</t>
  </si>
  <si>
    <t>SEBASTIAN GALLEGO DAVILA, carrera 42 # 35Sur-35 Of. 330, ENVIGADO, ANTIOQUIA, CO</t>
  </si>
  <si>
    <t>INVERIS</t>
  </si>
  <si>
    <t>COLO-13043-701-025-4 CSP</t>
  </si>
  <si>
    <t>BASF AGROCHEMICAL PRODUCTS B.V., Velperplein 23, 6811 AH Arnhem, Países Bajos. , ARNHEM, GELDERLAND, NL</t>
  </si>
  <si>
    <t>5. Productos para eliminar animales dañinos; insecticidas, fungicidas, herbicidas, pesticidas.</t>
  </si>
  <si>
    <t>BETAVET</t>
  </si>
  <si>
    <t>Betavet</t>
  </si>
  <si>
    <t>MERCAVET LTDA., CALLE 45FF NO. 77A-44, MEDELLIN, ANTIOQUIA, CO</t>
  </si>
  <si>
    <t>JORGE LUIS HERRERA SALDARRIAGA, CALLE 45FF NO. 77 A 44, MEDELLIN, ANTIOQUIA, CO</t>
  </si>
  <si>
    <t>BEAUTAMINS</t>
  </si>
  <si>
    <t>4. BEAUTAMINS (Mixta) en clase 03 y 05 internacional</t>
  </si>
  <si>
    <t>GOOD BRANDS LATAM S.A., Samuel Lewis y Calle 53, Edificio Omega, 6° Piso, Oficina 68-888, Panamá, República de Panamá, PANAMA, PANAMA, PA</t>
  </si>
  <si>
    <t>3. Preparaciones de colágeno para uso cosmético, Productos cosméticos y preparaciones de tocador no medicinales; dentífricos no medicinales; productos de perfumería, aceites esenciales.
5. Colágeno para uso médico; Colágeno en polvo para uso médico; Suplementos nutricionales para promover una piel sana y con fines anti-envejecimiento; Suplementos proteicos; Suplementos vitamínicos.</t>
  </si>
  <si>
    <t>EKILIVRA</t>
  </si>
  <si>
    <t>6. EKILIVRA (Mixta) en clases 03 y 05 Internacional</t>
  </si>
  <si>
    <t>3. Productos cosméticos y preparaciones de tocador no medicinales; dentífricos no medicinales; productos de perfumería, aceites esenciales.
5. Productos farmacéuticos, preparaciones para uso médico; productos higiénicos y sanitarios para uso médico; alimentos y sustancias dietéticas para uso médico; alimentos para bebés; complementos alimenticios para personas.</t>
  </si>
  <si>
    <t>FLAVOXIN</t>
  </si>
  <si>
    <t>VETANCO COLOMBIA S.A.S., CALLE 24 A No. 57 - 69 INT 5 APT 503, BOGOTÁ, D.C., CO</t>
  </si>
  <si>
    <t>5. Aditivos alimentarios medicinales para uso veterinario.</t>
  </si>
  <si>
    <t>CARLOS HUMBERTO ARBELAEZ MONTES, SIN ESTABLECER, BOGOTÁ, D.C., CO</t>
  </si>
  <si>
    <t>D´Pelos Love</t>
  </si>
  <si>
    <t>11 jun. 2022</t>
  </si>
  <si>
    <t>TERRAZOL</t>
  </si>
  <si>
    <t>13 jun. 2022</t>
  </si>
  <si>
    <t>CAROL YIULIANA ROMERO ROCHA, Dg. 3 No. 6-50, MOSQUERA, CUNDINAMARCA, CO</t>
  </si>
  <si>
    <t>5. Insecticidas; fungicidas; fungicidas biológicos; fungicidas para uso agrícola; fungicidas para uso hortícola; fungicidas, herbicidas; parasiticidas.</t>
  </si>
  <si>
    <t>Diego Felipe Vega Jimenez, Calle 95 No. 14-45 Piso 8, BOGOTÁ, D.C. 110221, CO</t>
  </si>
  <si>
    <t>petstar</t>
  </si>
  <si>
    <t>3, 5, 18</t>
  </si>
  <si>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18. Cuero y cuero de imitación; pieles de animales; artículos de equipaje y bolsas de transporte; paraguas y sombrillas; bastones; fustas, arneses y artículos de guarnicionería; collares, correas y ropa para animales.</t>
  </si>
  <si>
    <t>Control Bacter</t>
  </si>
  <si>
    <t>14 jun. 2022</t>
  </si>
  <si>
    <t>Juan Sebastian Ordoñez Gomez, cra 14 # 10.-04, PASTO, NARIÑO 52000, CO</t>
  </si>
  <si>
    <t>5. Preparaciones antibacterianas; productos de limpieza antibacterianos; fungicidas; fungicidas para uso agrícola; fungicidas para uso doméstico; fungicidas, herbicidas; preparaciones bacterianas para uso médico o veterinario.</t>
  </si>
  <si>
    <t>ALL VIT</t>
  </si>
  <si>
    <t>JOSE HERNANDO RUBIANO BUITRAGO, CARRERA 13 A 28 38 OFICINA 223, BOGOTÁ, D.C., CO</t>
  </si>
  <si>
    <t>5. Complementos alimenticios; complementos alimenticios a base de minerales; complementos alimenticios de vitaminas y minerales; complementos alimenticios dietéticos en cápsulas; complementos alimenticios dietéticos en cápsulas, que no sean para uso médico; complementos alimenticios minerales; complementos alimenticios minerales para seres humanos; complementos alimenticios para humanos; complementos alimenticios para personas; complementos alimenticios para seres humanos; complementos dietéticos a base de oligoelementos; complementos nutricionales para seres humanos; complementos nutricionales y alimenticios; complementos vitamínicos; complementos vitamínicos y minerales; vitaminas, minerales y antioxidantes en cuanto complementos nutricionales y dietéticos.</t>
  </si>
  <si>
    <t>MEDILIN</t>
  </si>
  <si>
    <t>17 jun. 2022</t>
  </si>
  <si>
    <t>COLO-17287-701-14-7</t>
  </si>
  <si>
    <t>RICHTER GEDEON NYRT, 1103 BUDAPEST, GYOMROI UT 19-21, BUDAPEST, BUDAPEST, HU</t>
  </si>
  <si>
    <t>5. Preparaciones farmacéuticas.</t>
  </si>
  <si>
    <t>LISAN</t>
  </si>
  <si>
    <t>COLO-17287-701-16-2</t>
  </si>
  <si>
    <t>MILLENTA</t>
  </si>
  <si>
    <t>COLO-17287-701-17-0</t>
  </si>
  <si>
    <t>ALIBIO</t>
  </si>
  <si>
    <t>BRAYAN ANDRES CARDENAS RIVERA, Cra 102#155-50, BOGOTÁ, D.C. 111111, CO</t>
  </si>
  <si>
    <t>5. Jabones y detergentes medicinales y desinfectantes.</t>
  </si>
  <si>
    <t>EXCALIA MAX</t>
  </si>
  <si>
    <t>152846</t>
  </si>
  <si>
    <t>Sumitomo Chemical Company, Limited, 2-7-1, Nihonbashi, CHUO-KU, TOKYO 103-6020, JP</t>
  </si>
  <si>
    <t>1. Preparaciones químicas para la fabricación de insecticidas, fungicidas y herbicidas.
5. Insecticidas, fungicidas, herbicidas, y preparaciones para eliminar malas hierbas y animales dañinos.</t>
  </si>
  <si>
    <t>TOLPROX</t>
  </si>
  <si>
    <t>MONTANA SA,  Av. Javier Prado Este N° 6210 Oficina 401 Urb. La Riviera de Monterrico II Etapa, La Molina, LIMA, LIMA, PE</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</si>
  <si>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fungicidas, herbicidas; productos para eliminar animales dañinos.</t>
  </si>
  <si>
    <t>YENl ALEXANDRA  GARCÍA, Cll 59 sur No. 52 - 24 torre 10 apto 301, BOGOTÁ, D.C., CO</t>
  </si>
  <si>
    <t>NEOGLUDYNE</t>
  </si>
  <si>
    <t>laboratorio imperio natural</t>
  </si>
  <si>
    <t>18 jun. 2022</t>
  </si>
  <si>
    <t>MARIA JOSE PALACIOS GARZON, via comercial, ciudad country, conjunto alondra, casa 136, JAMUNDI, VALLE DEL CAUCA, CO</t>
  </si>
  <si>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35. Publicidad; gestión de negocios comerciales; administración comercial; trabajos de oficina.</t>
  </si>
  <si>
    <t>SAVAGE</t>
  </si>
  <si>
    <t>ESSENCIALS LAB S.A.S, Cl 5 norte 18 a 23 ap 102 brr profesionales, ARMENIA, QUINDIO, CO</t>
  </si>
  <si>
    <t>5. Suplementos alimenticios para personas; suplementos de proteínas para personas; suplementos de vitaminas para productos alimenticios de consumo humano; suplementos proteicos para seres humanos.</t>
  </si>
  <si>
    <t>JUAN CARLOS PEREZ PINILLA,,  Cl 5 norte 18 a 23, ARMENIA, QUINDIO, CO</t>
  </si>
  <si>
    <t>USA HERBAL SUPPLEMENTS UHS</t>
  </si>
  <si>
    <t>UHS</t>
  </si>
  <si>
    <t>LABORATORIOS FITO MEDIC´S S.A.S., cra 15 N 6-16, CHINCHINA, CALDAS, CO</t>
  </si>
  <si>
    <t>5. Productos farmacéuticos, preparaciones para uso médico productos higiénicos y sanitarios para uso médico, alimentos y sustancias dietéticas para uso médico alimentos para bebés, complementos alimenticios para personas.</t>
  </si>
  <si>
    <t>DERIAN WILSON LONDOÑO HERNANDEZ, CRA 15 # 6-16, CHINCHINA, CALDAS, CO</t>
  </si>
  <si>
    <t>FARMABASE TREOXIN TX</t>
  </si>
  <si>
    <t>5. Medicamentos para uso animal en el tratamiento de enfermedades respiratorias en porcinos o cerdos.</t>
  </si>
  <si>
    <t>VITACETAMOL</t>
  </si>
  <si>
    <t>LEVET003</t>
  </si>
  <si>
    <t>VITACOR PHARMA S.A.S, Cra 78 # 17 - 55 OFC 508, BOGOTÁ, D.C., CO</t>
  </si>
  <si>
    <t>5. Medicamentos; medicamentos analgésicos; medicamentos para uso humano; medicamentos para uso médico.</t>
  </si>
  <si>
    <t>Astrid Carolina  Saavedra Prada, Cra 77 # 19 - 87 TO 6 AP 203, BOGOTÁ, D.C., CO</t>
  </si>
  <si>
    <t>SUPRA VIT</t>
  </si>
  <si>
    <t>5. Complementos alimenticios a base de minerales; complementos alimenticios a base de oligoelementos; complementos alimenticios de vitaminas y minerales; complementos alimenticios minerales para seres humanos; complementos de vitaminas para productos alimenticios de consumo humano; complementos dietéticos a base de minerales; complementos dietéticos a base de oligoelementos; complementos dietéticos de vitaminas; complementos minerales; complementos nutricionales y alimenticios; complementos vitamínicos; complementos vitamínicos y minerales.</t>
  </si>
  <si>
    <t>VITALMINE</t>
  </si>
  <si>
    <t>5. Complementos alimenticios a base de minerales; complementos alimenticios a base de oligoelementos; complementos alimenticios de vitaminas y minerales; complementos alimenticios dietéticos en forma de cápsulas, que no sean para uso médico; complementos alimenticios minerales; complementos alimenticios minerales para seres humanos; complementos alimenticios para seres humanos; complementos alimenticios para uso médico a base de aminoácidos, minerales y oligoelementos; complementos de oligoelementos para productos alimenticios de consumo humano; complementos de vitaminas para productos alimenticios de consumo humano; complementos dietéticos a base de minerales; complementos dietéticos a base de oligoelementos; complementos dietéticos de vitaminas; complementos minerales; complementos nutricionales para seres humanos; complementos vitamínicos; complementos vitamínicos y minerales.</t>
  </si>
  <si>
    <t>NEFROPET</t>
  </si>
  <si>
    <t>24 jun. 2022</t>
  </si>
  <si>
    <t>5. Preparaciones nutricionales para uso veterinario.</t>
  </si>
  <si>
    <t>ADRIANA DURAN, www.duranfernandez.com, BOGOTÁ, D.C., CO</t>
  </si>
  <si>
    <t>Waou, by sanipets</t>
  </si>
  <si>
    <t>ROYAL SM, S.A., AVENIDA FEDERICO BOYD, CONDOMINIO ALFARO PISO 6, PANAMÁ, PANAMÁ, PANAMA, PANAMA, PA</t>
  </si>
  <si>
    <t>5. Tapetes absorbentes desechables para la educación higiénica de animales de compañía; pañales desechables para animales de compañía; pañales para animales de compañía; envolturas sanitarias (pañales para animales de compañía);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</si>
  <si>
    <t>CONSUL</t>
  </si>
  <si>
    <t>Agroquímicos Semillas y Equipos de Riego S.A.S Agroser S.A.S, Carrera 16 A No. 78-11 Ofc. 401, BOGOTÁ, D.C., CO</t>
  </si>
  <si>
    <t>5. Fungicidas, herbicidas.</t>
  </si>
  <si>
    <t>HECTOR ARCADIO GARCIA ALVAREZ, CARRERA 16 No. 94-37, OFICINA 504, BOGOTÁ, D.C., CO</t>
  </si>
  <si>
    <t>VIROX</t>
  </si>
  <si>
    <t>23 jun. 2022</t>
  </si>
  <si>
    <t>5. DESINFECTANTES; BACTERICIDAS; BIOCIDAS BIODEGRADABLES; PRODUCTOS PARA ELIMINAR ANIMALES DAÑINOS; INSECTICIDAS, FUNGICIDAS Y HERBICIDAS.</t>
  </si>
  <si>
    <t>PAULA YISETH ALVAREZ FARFAN, Calle 2 No 92D-30 Torre 36 Apto 203, BOGOTÁ, D.C., CO</t>
  </si>
  <si>
    <t>VIROX FUMIGENO</t>
  </si>
  <si>
    <t>ULTRA FACTORS</t>
  </si>
  <si>
    <t>GUSTAVO ADOLFO FRANCO LEAL, Carrera 40a No. 16 - 25, VILLAVICENCIO, META, CO</t>
  </si>
  <si>
    <t>AFTIX</t>
  </si>
  <si>
    <t>28 jun. 2022</t>
  </si>
  <si>
    <t>MA31248-AFTIX</t>
  </si>
  <si>
    <t>Andrés Felipe   Bautista Moya, carrera 83 a #115-72, BOGOTÁ, D.C., CO</t>
  </si>
  <si>
    <t>5. Productos farmacéuticos, preparaciones para uso médico y veterinario; productos higiénicos y sanitarios para uso médico; alimentos y sustancias dietéticas para uso médico o veterinario, alimentos para bebés; suplementos alimenticios para personas o animales; probióticos, emplastos, material para apósitos; material para empastes e impresiones dentales; desinfectantes; productos para eliminar animales dañinos; fungicidas, herbicidas.</t>
  </si>
  <si>
    <t>TUOM</t>
  </si>
  <si>
    <t>JOSE JOAQUIN BITAR NAME S.A.S., CRR. 16 NO. 22-64 OF. 202, SINCELEJO, SUCRE, CO</t>
  </si>
  <si>
    <t>5. Preparaciones y suplementos para la salud; suplementos alimenticios; suplementos alimenticios dietéticos; suplementos alimenticios dietéticos en forma de cápsulas, que no sean para uso médico; suplementos dietéticos; cápsulas para medicamentos; medicamentos; medicamentos bioquímicos; medicamentos fitoterapéuticos para el consumo humano; medicamentos y agentes terapéuticos.</t>
  </si>
  <si>
    <t>Jose Joaquin Bitar Name, Carrera 36 a # 25 a - 40, SINCELEJO, SUCRE, CO</t>
  </si>
  <si>
    <t>BRONC TOS</t>
  </si>
  <si>
    <t>BRONCEL</t>
  </si>
  <si>
    <t>EDGAR LARA MUÑOZ, Calle 38c bis #79f - 35 sur, BOGOTÁ, D.C., CO</t>
  </si>
  <si>
    <t>5. MEDICAMENTOS FITOTERAPEUTICOS.</t>
  </si>
  <si>
    <t>MIDEXEL</t>
  </si>
  <si>
    <t>EXELTIS HEALTHCARE, S.L. , Avdª. Miralcampo, 7 – P.I. Miralcampo 19200 AZUQUECA DE HENARES (GUADALAJARA) ESPAÑA, AZUQUECA DE HENARES, GUADALAJARA, ES</t>
  </si>
  <si>
    <t>5. Productos farmacéuticos sedantes y relajantes para aliviar la ansiedad y tensión muscular.</t>
  </si>
  <si>
    <t>ARTRX REUM</t>
  </si>
  <si>
    <t>ARTRXEL</t>
  </si>
  <si>
    <t>WIZARDMAX</t>
  </si>
  <si>
    <t>VENZOTECH CO S.A.S., Transversal 43 # 26 - 103, GIRON, SANTANDER, CO</t>
  </si>
  <si>
    <t>SANTIAGO MORA RESTREPO, CARRERA 7 # 127-48 Of. 803, BOGOTÁ, D.C., CO</t>
  </si>
  <si>
    <t>CICA3+</t>
  </si>
  <si>
    <t>LUXOTICAL</t>
  </si>
  <si>
    <t>HIDROACTIV</t>
  </si>
  <si>
    <t>TIFFON</t>
  </si>
  <si>
    <t>RUSTER</t>
  </si>
  <si>
    <t>DANTE</t>
  </si>
  <si>
    <t>Bonnat Personal Care</t>
  </si>
  <si>
    <t>SD - BONNAT</t>
  </si>
  <si>
    <t>Valentina Arias Buritica, Calle 65 # 46 A - 98, ITAGUI, ANTIOQUIA, CO</t>
  </si>
  <si>
    <t>BRONPOL</t>
  </si>
  <si>
    <t>320495287201</t>
  </si>
  <si>
    <t>JULIAN ALBERTO VALENCIA HINCAPIE, CALLE 24 No. 10-19, PEREIRA, RISARALDA, CO</t>
  </si>
  <si>
    <t>5. Complementos alimenticios a base de polen; complementos alimenticios; suplementos alimenticios a base de polen; suplementos alimenticios a base de propóleos.</t>
  </si>
  <si>
    <t>ESTEBAN  CADAVID BEDOYA, CALLE 13 No. 14-62 of 112 ed. balcones de la plaza , SANTA ROSA DE CABAL, RISARALDA 661020, CO</t>
  </si>
  <si>
    <t>BARBARIAN</t>
  </si>
  <si>
    <t>BIGA</t>
  </si>
  <si>
    <t>COUPON</t>
  </si>
  <si>
    <t>OXY.CLOR ALTO PODER DESINFECTANTE</t>
  </si>
  <si>
    <t>26 jun. 2022</t>
  </si>
  <si>
    <t>OXI.CLOR</t>
  </si>
  <si>
    <t>MANALUR S.A.S., CL 50 # 17-16, ARMENIA, QUINDIO, CO</t>
  </si>
  <si>
    <t>5. Desinfectantes; desinfectantes domésticos; desinfectantes multiuso; desinfectantes para piscinas; desinfectantes para uso doméstico; desinfectantes para uso higiénico; desinfectantes para uso médico; desinfectantes para uso sanitario; desinfectantes para uso veterinario; desinfectantes para inodoros químicos; desinfectantes para instrumental médico; desinfectantes para lentes de contacto; desinfectantes y antisépticos; preparaciones desinfectantes para uso doméstico; preparaciones desinfectantes para uso hospitalario; productos de limpieza desinfectantes para el baño; productos de limpieza desinfectantes para inodoros; productos desinfectantes para lavarse las manos.</t>
  </si>
  <si>
    <t>Sara Daniela Diaz Castilla, carrera 68C # 22B 61, BOGOTÁ, D.C., CO</t>
  </si>
  <si>
    <t>Colagen-Rose</t>
  </si>
  <si>
    <t>27 jun. 2022</t>
  </si>
  <si>
    <t>LABORATORIO LAURANG ROSE SAS, Carrera 112 No. 23 B-10, BOGOTÁ, D.C., CO</t>
  </si>
  <si>
    <t>MAURO DE JESUS LEON DUSSAN, KRA 112 # 23B - 10 FONTIBON, BOGOTA, CUNDINAMARCA, CO</t>
  </si>
  <si>
    <t>KAY ACTIGEL</t>
  </si>
  <si>
    <t>COLO-21390-701-004-4</t>
  </si>
  <si>
    <t>Ecolab USA Inc., 1 Ecolab Place St. Paul, Minnesota 55102 , SAINT PAUL, MINNESOTA, US</t>
  </si>
  <si>
    <t>3. Preparaciones para limpiar, pulir, fregar y raspar; detergente; jabones; geles no medicinales.
5. Desinfectantes; preparaciones desinfectantes; antisépticos; germicidas; productos antimicrobianos.</t>
  </si>
  <si>
    <t>10 jul. 2023</t>
  </si>
  <si>
    <t>PROPOGEN</t>
  </si>
  <si>
    <t>MARIA DEL MAR  GOMEZ ESCOBAR, CARRERA 72 A 49A 66, BOGOTÁ, D.C., CO</t>
  </si>
  <si>
    <t>5. Suplementos alimenticios a base de propóleos; suplementos nutricionales y alimenticios; productos farmacéuticos.</t>
  </si>
  <si>
    <t>TIZANYLQRP</t>
  </si>
  <si>
    <t>RV FARMACEUTICA LTDA, CALLE 68 57 -82 PISO 2, BOGOTÁ, D.C., CO</t>
  </si>
  <si>
    <t>SAMUEL  MENDOZA MOYANO, CRA 31 A NO 2A-77, BOGOTÁ, D.C., CO</t>
  </si>
  <si>
    <t>KAY</t>
  </si>
  <si>
    <t>01 jul. 2022</t>
  </si>
  <si>
    <t>COLO-21390-701-005-1</t>
  </si>
  <si>
    <t>3. Productos blanqueadores y otras sustancias para lavar la ropa; preparaciones para limpiar, pulir, fregar y raspar; productos desengrasantes; quitamanchas; detergentes; detergentes para lavar los platos; detergente para baños; productos desoxidantes; detergente para alfombras; limpiadores de hornos; polvo descontaminante; paños de limpieza impregnados con detergente; preparaciones para limpiar pisos; lavado de piso; soluciones decapantes; encáusticos.
5. Desinfectantes; desinfectantes y preparaciones higienizantes; toallitas desinfectantes; antisépticos; germicidas; fungicidas; desinfectantes para uso higiénico; desinfectantes y productos antimicrobianos; desodorantes de ambiente; productos para purificar el aire; bactericidas; preparaciones de desodorización para alfombras; ambientadores.</t>
  </si>
  <si>
    <t>RED CANNABIS MEDICINAL VETERINARIA VETCANN</t>
  </si>
  <si>
    <t>31 ago. 2022</t>
  </si>
  <si>
    <t>RED CANNABIS MEDICINAL VETERINARIA S.A.S  VETCANN</t>
  </si>
  <si>
    <t>RED CANNABIS MEDICINAL VETERINARIA S.A.S, Carrera 33 No. 99A -15, MANIZALES, CALDAS 170017, CO</t>
  </si>
  <si>
    <t>5. Cannabis medicinal en forma de aceites para facilitar la administración de fármacos; cannabis medicinal en forma de tisanas; cannabis medicinal en forma de tisanas para uso medicinal.</t>
  </si>
  <si>
    <t>ALEIDA PATRICIA  ARCHILA DURAN, Carrera 33 No.99A -15, MANIZALES, CALDAS 055447, CO</t>
  </si>
  <si>
    <t>27 feb. 2023</t>
  </si>
  <si>
    <t>EMBOPAG</t>
  </si>
  <si>
    <t>PAZMAK ABOGADOS ASOCIADOS S.A.S</t>
  </si>
  <si>
    <t>XINETIX PHARMA S A S, CRA 7 A BIS NO. 123 - 52 OF 501, BOGOTÁ, D.C., CO</t>
  </si>
  <si>
    <t>5. PRODUCTOS FARMACEUTICOS; PREPARACIONES PARA USO MEDICO; MEDICAMENTOS PARA USO MEDICO; PASTILLAS PARA USO FARMACEUTICO; PREPARACIONES BACTERIANASA DE USO MEDICO; PREPARACIONES BIOLOGICAS PARA USO MEDICO;PREPARACIONES FARMACEUTICAS;PREPARACIONES QUIMICAS PARA USO FARMACEUTICO; PREPARACIONES QUIMICAS PARA USO MEDICO; PREPARACIONES QUIMICO - FARMACEUTICAS; MEDICAMENTO DE USO HUMANO PARA AUMENTAR EL RECUENTO DE PLAQUETAS Y REDUCIR HEMORRAGIAS CON PURPURA TROMBOCOTOPENICA INMUNITARIA CRONICA PREVIAMENTE TRATADA; MEDICAMENTO DE USO HUMANO INDICADO PARA EL TRATAMIENTO DE LA TROMBOCITOPENIA EN PACIENTES CON INFECCION CRONICA POR EL VIRUS DE LA HEPATITIS C PARA PERMITIR EL TRATAMIENTO CON INTERFERON Y OPTIMIZAR EL TRATAMIENTO CON INTERFERON; MEDICAMENTO DE USO HUMANO INDICADO PARA EL TRATAMIENTO DE LAS CITOPENIAS CON ANEMIA APLASIVA SEVERA QUE HAN TENIDO UNA RESPUESTA INSUFICIENTE AL TRATAMIENTO INMUNOSUPRESOR.</t>
  </si>
  <si>
    <t>LEONARDO EMILIO PAZ MATUK, Calle 21 # 13-37 casa 2 B Conj. Residencial Covadonga, CHIA, CUNDINAMARCA, CO</t>
  </si>
  <si>
    <t>Colombia Origins Honey</t>
  </si>
  <si>
    <t>12 jul. 2022</t>
  </si>
  <si>
    <t>honey</t>
  </si>
  <si>
    <t>RIOSIERRA SAS, cra 1c #22-58 of 604 edificio bahia centro, SANTA MARTA, MAGDALENA, CO</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</si>
  <si>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30. Té y cacao; arroz; tapioca y sagú; harinas y preparaciones a base de cereales; pan, productos de pastelería y confitería; helados; azúcar, miel, jarabe de melaza; levadura, polvos de hornear; sal; mostaza; vinagre, salsas (condimentos); especias; hielo.</t>
  </si>
  <si>
    <t>anderson alberto rondano gomez, carrera 1C # 22-58 edificio bahia centro of 604, SANTA MARTA, MAGDALENA, CO</t>
  </si>
  <si>
    <t>PAINCOXIB</t>
  </si>
  <si>
    <t>02 jul. 2022</t>
  </si>
  <si>
    <t>5. PRODUCTOS FARMACEUTICOS; PREPARACIONES PARA USO MEDICO; MEDICAMENTOS DE USO MEDICO; PASTILLAS PARA USO FARMACEUTICO; MEDICAMENTOS ANALGESICOS; MEDICAMENTOS ANESTESICOS; MEDICAMENTOS CALMANTES; PREPARACIONES FARMACEUTICAS; PREPARACIONES QUIMICAS PARA USO FARMACEUTICO; PREPARACIONES QUIMICAS PARA USO MÉDICO; PREPARACIONES QUIMICO - FARMACEUTICAS; MEDICAMENTO DE USO HUMANO EN EL MANEJO A CORTO PLAZO DEL DOLOR AGUDO POSOPERATORIO EN ADULTOS.</t>
  </si>
  <si>
    <t>CRYSTHOIDEX</t>
  </si>
  <si>
    <t>06 jul. 2022</t>
  </si>
  <si>
    <t>JESUS ESTEBAN MONTES PINZON, calle 66B N°57B-20, BOGOTÁ, D.C., CO</t>
  </si>
  <si>
    <t>5. Productos farmacéuticos y medicinales;drogas,medicamentos y fitomedicamentos, suplementos dietarios.</t>
  </si>
  <si>
    <t>MARINO SERNA DUQUE, calle 53B No. 24-08, BOGOTÁ, D.C., CO</t>
  </si>
  <si>
    <t>Be-Bindio</t>
  </si>
  <si>
    <t>07 jul. 2022</t>
  </si>
  <si>
    <t>JHON JAIRO SALAZAR VALLEJO, CLL 54 NO. 49-25 Parque Bolivar, MEDELLIN, ANTIOQUIA, CO</t>
  </si>
  <si>
    <t>5. Complementos y Suplementos alimenticios, complementos nutricionales, elaborados de productos naturales para personas.</t>
  </si>
  <si>
    <t>TADOLOX</t>
  </si>
  <si>
    <t>5. Medicamentos para el tratamiento de las patologías del sistema nervioso central.</t>
  </si>
  <si>
    <t>Diol</t>
  </si>
  <si>
    <t>Tang Morales y Asociados SAS, Cra 16 # 82-90, BOGOTÁ, D.C., CO</t>
  </si>
  <si>
    <t>5. Aceite de cáñamo para uso veterinario; aceites antirreumáticos; aceites medicinales para bebés; aceites medicinales para masajes; aceites para el cuidado de la piel [medicinales]; aceites para el cuidado de la piel, medicinales; aceites para el tratamiento de reumatismo; aceites para el tratamiento de reumatosis; aceites para uso médico; cannabis medicinal en forma de aceites para facilitar la administración de fármacos; soluciones de aceites medicinales.</t>
  </si>
  <si>
    <t>Enrique Guillermo Tang Villanueva, carrera 16 No. 82-90, BOGOTA, CUNDINAMARCA 110111, CO</t>
  </si>
  <si>
    <t>LOXA</t>
  </si>
  <si>
    <t>Tatiana Rosa Lara Espitia, altos del nuevo bosque mz E lote 2, CARTAGENA, BOLIVAR, CO</t>
  </si>
  <si>
    <t>5. Lociones capilares medicinales; lociones faciales medicinales.</t>
  </si>
  <si>
    <t>ZENTI</t>
  </si>
  <si>
    <t>OLGA BEATRIZ SALAZAR OBANDO, Av 7 No. 66N - 15, CALI, VALLE DEL CAUCA 760046, CO</t>
  </si>
  <si>
    <t>5. Velas de masaje medicinales; velas de masaje para uso terapéutico.</t>
  </si>
  <si>
    <t>JUAN FERNANDO ARIAS HERRERA, Km2 vía Puerto Tejada, CALI, VALLE DEL CAUCA 760000, CO</t>
  </si>
  <si>
    <t>Pol-bDelt</t>
  </si>
  <si>
    <t>ALAMM MAKA</t>
  </si>
  <si>
    <t>11 jul. 2022</t>
  </si>
  <si>
    <t>REGISTRO DE MARCA ALAMM MAKA</t>
  </si>
  <si>
    <t>NATALIE VICTORIA ESCUDERO SANCHEZ, Calle 45 # 98b 65, CALI, VALLE DEL CAUCA, CO</t>
  </si>
  <si>
    <t>5. Complementos alimenticios a base de maca; suplementos alimenticios; suplementos dietéticos; suplementos nutricionales; suplementos probióticos; suplementos alimenticios para humanos; suplementos alimenticios dietéticos.</t>
  </si>
  <si>
    <t>KAREN JULIETH  FRAGOSO VANEGAS, Av 5 centro comercial LECS, CUCUTA, NORTE DE SANTANDER, CO</t>
  </si>
  <si>
    <t>TOSFLEM</t>
  </si>
  <si>
    <t>BIOQUIMICO PHARMA S.A., TRANSVERSAL 76 B NO. 47-14, BOGOTÁ, D.C., CO</t>
  </si>
  <si>
    <t>5. PRODUCTOS FARMACÉUTICOS DE USO MÉDICO.</t>
  </si>
  <si>
    <t>MUCOFLEM</t>
  </si>
  <si>
    <t>MECTIMAX GOLD AGENER</t>
  </si>
  <si>
    <t>13 jul. 2022</t>
  </si>
  <si>
    <t>5. Preparaciones farmacéuticas, médicas y veterinarias; medicamentos para uso humano; preparaciones farmacéuticas; medicamentos para uso veterinario; preparaciones veterinarias; acaricidas; parasiticidas; insecticidas; preparaciones para exterminar larvas; preparaciones para destruir animales nocivos; vermífugos/antihelmínticos; preparaciones para destruir alimañas.</t>
  </si>
  <si>
    <t>DORAX PLUS PASTA AGENER</t>
  </si>
  <si>
    <t>5. Preparaciones farmacéuticas veterinarias; medicamentos para uso veterinario; preparaciones veterinarias; acaricidas; parasiticidas; insecticidas; preparaciones para exterminar larvas; preparaciones para destruir animales nocivos; vermífugos/antihelmínticos para uso veterinario; preparaciones para destruir alimañas.</t>
  </si>
  <si>
    <t>CALMIUN AGENER</t>
  </si>
  <si>
    <t>5. Preparaciones farmacéuticas, médicas y veterinarias; medicamentos para uso humano; preparaciones farmacéuticas; medicamentos para uso veterinario; preparaciones veterinarias; sedantes; anestésicos; analgésicos; tranquilizantes; relajantes musculares.</t>
  </si>
  <si>
    <t>Juven AT Wound care</t>
  </si>
  <si>
    <t>JUAN PABLO CAÑON GORDILLO, Carrera  8D  No. 155-54, BOGOTÁ, D.C., CO</t>
  </si>
  <si>
    <t>DORMIUN V AGENER</t>
  </si>
  <si>
    <t>14 jul. 2022</t>
  </si>
  <si>
    <t>5. Preparaciones farmacéuticas, médicas y veterinarias; medicamentos para uso humano; preparaciones farmacéuticas; medicamentos para uso veterinario; preparaciones veterinarias; sedantes; anestésicos; tranquilizantes; analgésicos.</t>
  </si>
  <si>
    <t>ULTIMATUN MIX</t>
  </si>
  <si>
    <t>15 jul. 2022</t>
  </si>
  <si>
    <t>MARCA AGROACTIVA</t>
  </si>
  <si>
    <t>AGROACTIVA JVR S.A.S., CALLE 47 1-28 PISO 3, TUNJA, BOYACA 15001, CO</t>
  </si>
  <si>
    <t>5. Fungicidas; fungicidas biológicos; fungicidas para uso agrícola; fungicidas, herbicidas; preparaciones herbicidas y plaguicidas; herbicidas; herbicidas biológicos; herbicidas para uso agrícola.</t>
  </si>
  <si>
    <t>VICTOR URIEL AMEZQUITA AVILA, CALLE 47 1-28 PISO 3, TUNJA, BOYACA 15001, CO</t>
  </si>
  <si>
    <t>ORALDINE</t>
  </si>
  <si>
    <t>TOSFLEM DUO</t>
  </si>
  <si>
    <t>RIFADIN</t>
  </si>
  <si>
    <t>HOECHST &amp; HORMONA PLOUGH</t>
  </si>
  <si>
    <t>COLGENERICOS S.A., CRA 12 No.17-67, BOGOTÁ, D.C., CO</t>
  </si>
  <si>
    <t>5. PRODUCTOS FARMACÉUTICOS DE USO MÉDICO.
35. COMPRA, VENTA, IMPORTACIÓN, EXPORTACIÓN DE PRODUCTOS FARMACEUTICOS.</t>
  </si>
  <si>
    <t>NAGEIA DISPENSARIO</t>
  </si>
  <si>
    <t>Nageia Dispensario</t>
  </si>
  <si>
    <t>NATURABIS GROUP S.A.S., Carrera 74 D # 75-19 Ed. Dinamarca Int 203, MEDELLIN, ANTIOQUIA 050001, CO</t>
  </si>
  <si>
    <t>5. Cánnabis médico; cánnabis para uso médico; cannabis medicinal en forma de aceites para facilitar la administración de fármacos; cannabis medicinal en forma de tisanas; cannabis medicinal en forma de tisanas para uso medicinal; cannabis para uso médico; adyuvantes para uso médico; extractos de hierbas medicinales para uso médico; preparaciones de hierbas para uso médico; marihuana para uso médico; parches transdérmicos que facilitan el suministro de marihuana para uso médico.</t>
  </si>
  <si>
    <t>Santiago Martínez Lujan, Carrera 74 D # 75-19 Ed. Dinamarca Int 203, MEDELLIN, ANTIOQUIA 050001, CO</t>
  </si>
  <si>
    <t>PROVECA</t>
  </si>
  <si>
    <t>349</t>
  </si>
  <si>
    <t>Proveca Limited, Wework No1 Spinningfields, Quay Street, Manchester, England M3 3JE, MANCHESTER, INGLATERRA, GB</t>
  </si>
  <si>
    <t>5, 40, 42, 44</t>
  </si>
  <si>
    <t>5. Reactivos de diagnóstico químico para uso médico; reactivos para diagnóstico clínico; agentes diagnósticos para uso farmacéuticos; preparaciones para diagnóstico; drogas para fines médicos; reactivos para diagnóstico médico; medicinas; medicinas para fines humanos; medicinas para uso específico con niños; drogas farmacéuticas; vacunas; vacunas para uso humano; vacunas virales; ninguno de los mencionados para uso en el tratamiento de venas varicosas o malformaciones arteriovenosas.
40. Fabricación personalizada de medicamentos farmacéuticos, vacunas y tratamientos para uso humano; ninguno de los anteriores para el uso en el tratamiento de venas varicosas o malformaciones arteriovenosas.
42. Investigación clínica; realización de ensayos clínicos para productos farmacéuticos; consultoría relacionada con la investigación y el desarrollo farmacéutico; desarrollo y modificación de medicinas existentes, vacunas y tratamientos para garantizar que son adecuados para uso con grupos específicos por ejemplo niños; desarrollo de preparaciones farmacéuticas y medicinas; investigación médica; servicios de desarrollo de drogas farmacéuticas; análisis de productos farmacéuticos; evaluación de productos farmacéuticos; investigación y desarrollo de vacunas y medicinas; investigación de farmacéuticos; ensayos de químicos; ensayos de farmacéuticos; ninguno de los mencionados para uso en el tratamiento de venas varicosas o malformaciones arteriovenosas.
44. Provisión de información relacionada con la medicina; consultoría farmacéutica; provisión de información farmacéutica; provisión de información relacionada con farmacéuticos; servicios de asesoría relacionados con farmacéuticos; ninguno de los mencionados para uso en el tratamiento de venas varicosas o malformaciones arteriovenosas.</t>
  </si>
  <si>
    <t>JULIANA  ECHEVERRI MOLINA, Calle 67 4 15, BOGOTÁ, D.C., CO</t>
  </si>
  <si>
    <t>AM1 AMERICAN NATURAL NUTRITION</t>
  </si>
  <si>
    <t>18 jul. 2022</t>
  </si>
  <si>
    <t>SOLICITUD AM1 AMERICAN NUTRITION</t>
  </si>
  <si>
    <t>KLEY DARIO ZAMBRANO DUEÑAS, Guayacanes Mz.40 v.15, GUAYAQUIL, GUAYAS, EC</t>
  </si>
  <si>
    <t>5. Productos farmacéuticos, preparaciones para uso médico y veterinario.; Productos higiénicos y sanitarios para uso médico.; Productos para eliminar animales dañinos.; Aditivos alimentarios medicinales para uso farmacéutico.; Alimentos y sustancias dietéticas para uso médico o veterinario.; Aditivos minerales para productos alimenticios de consumo humano.; Alcaloides para uso médico.; Alimentos dietéticos para uso médico.; Alimentos y bebidas dietéticos para uso médico.; Barras energéticas utilizadas como complementos alimenticios.; Complementos alimenticios para personas o animales.; Complementos alimenticios.; Complementos alimenticios dietéticos en cápsulas.; Complementos alimenticios minerales.; Complementos alimenticios para humanos.; Complementos dietéticos.; Complementos minerales.; Complementos nutricionales.; Complementos vitamínicos.; Complementos vitamínicos para productos alimenticios de consumo humano.; Complementos vitamínicos y minerales.; Cápsulas a base de hierbas para potenciar la sexualidad masculina.; Fármacos.; Medicamentos para uso humano.; Medicamentos sin prescripción médica.; Medicamentos sin receta.; Preparaciones de diagnóstico o tratamiento de trastornos relacionados con la fertilidad y reproducción sexual.; Preparaciones de testosterona.; Preparaciones hormonales mixtas.; Preparaciones para aumentar el deseo sexual.; Preparaciones para aumentar la excitación sexual.; Preparaciones para mejorar la prestación sexual.; Preparaciones y complementos para la salud.; Preparaciones y suplementos para la salud.; Preparaciones y sustancias medicinales.; Preparados farmacéuticos que contienen hormonas para seres humanos.; Preparados inyectables para el tratamiento de la impotencia sexual.; Preparados medicinales para uso en cuanto aditivos alimenticios para consumo humano.; Preparados para mejorar la prestación sexual.; Preparados vitamínicos para el consumo humano.; Productos farmacéuticos para el tratamiento de trastornos de la erección.; Productos farmacéuticos para tratar la disfunción eréctil.; Productos farmacéuticos para uso humano.; Suplementos alimenticios.; Suplementos alimenticios a base de proteínas.; Suplementos alimenticios para humanos.; Suplementos de proteínas para personas..</t>
  </si>
  <si>
    <t>DANIEL LUQUE RESTREPO, Cra 77 #41-31 Ed. Montecarlo. Apto. 1105, MEDELLIN, ANTIOQUIA, CO</t>
  </si>
  <si>
    <t>TROYA XXL FORTE</t>
  </si>
  <si>
    <t>SOLICITUD TROYA XXL</t>
  </si>
  <si>
    <t>5. Productos farmacéuticos, preparaciones para uso médico y veterinario.; Productos higiénicos y sanitarios para uso médico.; Productos para eliminar animales dañinos.; Aditivos alimentarios medicinales para uso farmacéutico.; Alimentos y sustancias dietéticas para uso médico o veterinario.; Aditivos minerales para productos alimenticios de consumo humano.; Alcaloides para uso médico.; Alimentos dietéticos para uso médico.; Alimentos y bebidas dietéticos para uso médico.; Barras energéticas utilizadas como complementos alimenticios.; Complementos alimenticios para personas o animales.; Complementos alimenticios.; Complementos alimenticios dietéticos en cápsulas.; Complementos alimenticios minerales.; Complementos alimenticios para humanos.; Complementos dietéticos.; Complementos minerales.; Complementos nutricionales.; Complementos vitamínicos.; Complementos vitamínicos para productos alimenticios de consumo humano.; Complementos vitamínicos y minerales.; Cápsulas a base de hierbas para potenciar la sexualidad masculina.; Fármacos.; Medicamentos para uso humano.; Medicamentos sin prescripción médica.; Medicamentos sin receta.; Preparaciones de diagnóstico o tratamiento de trastornos relacionados con la fertilidad y reproducción sexual.; Preparaciones de testosterona.; Preparaciones hormonales mixtas.; Preparaciones para aumentar el deseo sexual.; Preparaciones para aumentar la excitación sexual.; Preparaciones para mejorar la prestación sexual.; Preparaciones y complementos para la salud.; Preparaciones y suplementos para la salud.; Preparaciones y sustancias medicinales.; Preparados farmacéuticos que contienen hormonas para seres humanos.; Preparados inyectables para el tratamiento de la impotencia sexual.; Preparados medicinales para uso en cuanto aditivos alimenticios para consumo humano.; Preparados para mejorar la prestación sexual.; Preparados vitamínicos para el consumo humano.; Productos farmacéuticos para el tratamiento de trastornos de la erección.; Productos farmacéuticos para tratar la disfunción eréctil.; Productos farmacéuticos para uso humano.; Suplementos alimenticios.; Suplementos alimenticios a base de proteínas.; Suplementos alimenticios para humanos.; Suplementos de proteínas para personas.</t>
  </si>
  <si>
    <t>EL PATRON</t>
  </si>
  <si>
    <t>FARMAVIT EMPRESA ASOCIATIVA DE TRABAJO, SIN ESTABLECER, CALI, VALLE DEL CAUCA 110000, CO</t>
  </si>
  <si>
    <t>5. Suplementos alimenticios.</t>
  </si>
  <si>
    <t>LUIS EUGENIO  VILLEGAS VASQUEZ, CARRERA 86 No 75 A 85 APTO 210, BOGOTA, CUNDINAMARCA 110000, CO</t>
  </si>
  <si>
    <t>CURALANCHA</t>
  </si>
  <si>
    <t>INTEROC S.A, KM 16 1/2 VIA A DAULE, GUAYAQUIL, ECUADOR, GUAYAQUIL, GUAYAS, EC</t>
  </si>
  <si>
    <t>5. Productos para eliminar animales dañinos; fungicidas, herbicidas.</t>
  </si>
  <si>
    <t>maria camila  escobar ortegon, carrera 7 # 156-78 Piso 11, BOGOTÁ, D.C. 11001, CO</t>
  </si>
  <si>
    <t>SKINVIVE</t>
  </si>
  <si>
    <t>LLC42182</t>
  </si>
  <si>
    <t>ALLERGAN HOLDINGS FRANCE SAS, Tour CBX, 1 passerelle des Reflets, COURBEVOIE, HAUTS-DE-SEINE 92400, FR</t>
  </si>
  <si>
    <t>5. Productos farmacéuticos para el tratamiento de líneas del entrecejo, arrugas faciales, asimetrías y defectos y condiciones de la piel humana; implantes dérmicos biológicos, a saber, soluciones de visco-suplementación para rellenar arrugas.
10. Aparatos para el tratamiento de líneas del entrecejo, arrugas faciales, asimetrías y defectos y condiciones de la piel humana.</t>
  </si>
  <si>
    <t>S SKINVIVE BY JUVÉDERM</t>
  </si>
  <si>
    <t>LLC42183</t>
  </si>
  <si>
    <t>16 feb. 2023</t>
  </si>
  <si>
    <t>D´care</t>
  </si>
  <si>
    <t>21 jul. 2022</t>
  </si>
  <si>
    <t>153121</t>
  </si>
  <si>
    <t>GENERAL DOLLAR SOURCING INC., Edificio PH Art &amp; Yoo, Local 2, Avenida Balboa, CIUDAD DE PANAMA, PANAMA, PA</t>
  </si>
  <si>
    <t>3, 5, 8, 21</t>
  </si>
  <si>
    <t>3. Shampoo, acondicionador, cremas corporales, gel de ducha, jabón líquido, jabón de manos, productos de cuidado personal, cremas faciales, toallitas impregnadas de preparaciones desmaquillantes, desodorantes, spray (rociadores) corporales [cosméticos], limpiadores faciales, gel de afeitar, crema para depilar, cremas dentales, perfumería (body spray), productos para el cabello, tintes para cabello, esmaltes, quitaesmaltes, mascarillas faciales, ceras corporales (depilatorias), jabón corporal de barra, preparaciones exfoliantes, aceites corporales, cremas reductoras [preparaciones cosméticas adelgazantes], desodorantes en spray y talco para pies, enjuagues bucales que no sean para uso médico, preparaciones de higiene íntima para uso sanitario.
5. Desinfectantes, enjuague bucal (para uso médico), compresas higiénicas, toallas sanitarias, jabones íntimos medicinales.
8. Rasuradoras, cortaúñas eléctricos o no, alicates, limas de uñas.
21. Cepillos de dientes.</t>
  </si>
  <si>
    <t>Trizoliv</t>
  </si>
  <si>
    <t>ALPHALAB S.A.S., Carrera  19 34-14 Local  2, BOGOTÁ, D.C., CO</t>
  </si>
  <si>
    <t>5. Cremas medicamentosas; cremas medicamentosas para la piel.</t>
  </si>
  <si>
    <t>hector torres noguera, calle 68 bis # 74 11, BOGOTÁ, D.C., CO</t>
  </si>
  <si>
    <t>ONDA FITNESS</t>
  </si>
  <si>
    <t>JUAN DAVID  CAMACHO ARCINIEGAS , Calle 17 N 5n #39, Versalles, CALI, VALLE DEL CAUCA, VALLE DEL CAUCA 7600046, CO</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</si>
  <si>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suplementos vitamínicos como proteínas, te, vitaminas Colágeno, aminoácidos,creatina.</t>
  </si>
  <si>
    <t>daniela  sarria guerrero, calle 22a #121-223, CALI, VALLE DEL CAUCA 760001, CO</t>
  </si>
  <si>
    <t>06 feb. 2023</t>
  </si>
  <si>
    <t>TOTTUS 35 SC</t>
  </si>
  <si>
    <t>TOTTUS</t>
  </si>
  <si>
    <t>MESSIS S.A.S., Calle 4 Norte # 1N - 10 Of 1103 , CALI, VALLE DEL CAUCA, CO</t>
  </si>
  <si>
    <t>1. Abonos para uso agrícola; acondicionadores de suelos con fines agrícolas; acondicionadores de suelos para uso agrícola; aditivos prebióticos para uso en el crecimiento de productos agrícolas y plantas; cal agrícola; caliza granulada para uso agrícola; caliza pulverizada para uso agrícola; fertilizantes para uso agrícola; fertilizantes sintéticos para uso agrícola; genes de origen biotecnológico destinados a la producción de semillas agrícolas; genes de origen biotecnológico para ser utilizados en la fabricación de semillas agrícolas; genes de semillas para la producción agrícola; genes derivados de la biotecnología para ser utilizados en la fabricación de semillas agrícolas; genes derivados de la biotecnología para uso en la elaboración de semillas agrícolas; giberelinas para uso agrícola; hollín para uso agrícola o industrial; productos para enmendar suelos de uso agrícola; productos químicos de tratamiento de semillas para uso agrícola; productos químicos para uso agrícola, excepto fungicidas, herbicidas, insecticidas y parasiticidas; productos químicos para uso agrícola, hortícola y forestal, excepto fungicidas, herbicidas, insecticidas y parasiticidas; reguladores de crecimiento vegetal para uso agrícola; reguladores del crecimiento vegetal para uso agrícola.
5. Acaricidas para uso agrícola; alguicidas para uso agrícola; fungicidas para uso agrícola; herbicidas para uso agrícola; insecticidas para uso agrícola.</t>
  </si>
  <si>
    <t>SAMIR JOSE ESCOBAR SALAZAR, CALLE 22N # 6AN - 24 OFI 901 ED. SANTA MONICA CENTRAL, CALI, VALLE DEL CAUCA, CO</t>
  </si>
  <si>
    <t>NUTRABIOTICS RELIVA CBD</t>
  </si>
  <si>
    <t>reliva</t>
  </si>
  <si>
    <t>NUTRABIOTICS S.A.S, AV. 13 N° 232-35 LOCAL 4-005 C.CIAL. BIMA, BOGOTÁ, D.C., CO</t>
  </si>
  <si>
    <t>NUTRABIOTICS INFLANEX CBD</t>
  </si>
  <si>
    <t>INFLANEX</t>
  </si>
  <si>
    <t>FACINIB</t>
  </si>
  <si>
    <t>22 jul. 2022</t>
  </si>
  <si>
    <t>LOGISTICS BUSINESS SERVICES COLOMBIA SAS, Calle 85a No. 28b-34, BOGOTÁ, D.C. 111211, CO</t>
  </si>
  <si>
    <t>TEBIRA</t>
  </si>
  <si>
    <t>KRYSTEM</t>
  </si>
  <si>
    <t>WF 21524</t>
  </si>
  <si>
    <t>JILOCA INDUSTRIAL,S.A, Antigua Azucarera, s/n;  44360 SANTA EULALIA DEL CAMPO , TERUEL, TERUEL, ES</t>
  </si>
  <si>
    <t>5. PRODUCTOS PARA LA DESTRUCCIÓN DE ANIMALES DAÑINOS; INSECTICIDAS, FUNGICIDAS, HERBICIDAS, Y PLAGUICIDAS PARA USO AGRÍCOLA, COMERCIAL Y DOMESTICO. GERMICIDAS.</t>
  </si>
  <si>
    <t>ataka</t>
  </si>
  <si>
    <t>TNC Pharma SAS, cra 49b No. 76-151, BARRANQUILLA, ATLÁNTICO, CO</t>
  </si>
  <si>
    <t>5. Multivitaminas.</t>
  </si>
  <si>
    <t>Diana Margarita Araujo Colley, Cra 57 82-83, BARRANQUILLA, ATLÁNTICO 08002, CO</t>
  </si>
  <si>
    <t>EKOMAX</t>
  </si>
  <si>
    <t>23 jul. 2022</t>
  </si>
  <si>
    <t>CENTRO CIENTIFICO INTERNACIONAL DE MEDICINA BIOLOGICA SAS, CRA 24 # 45A33, BOGOTÁ, D.C., CO</t>
  </si>
  <si>
    <t>CARMEN ELISA ARDILA VELANDIA, SIN ESTABLECER, BOGOTÁ, D.C., CO</t>
  </si>
  <si>
    <t>LINCRET-M</t>
  </si>
  <si>
    <t>25 jul. 2022</t>
  </si>
  <si>
    <t>JUL-25-02-LINCRET-M</t>
  </si>
  <si>
    <t>MSN LABORATORIES PRIVATE LIMITED, Plot No: C-24 Industrial Estate, Sanathnagar Hyderabad - Telangana, INDIA, HYDERABAD, ANDHRA PRADESH 500018, IN</t>
  </si>
  <si>
    <t>5. Medicamentos; medicamentos para uso médico; medicamentos y agentes terapéuticos; drogas para uso médico.</t>
  </si>
  <si>
    <t>SERGIO ALONSO  Flórez Acosta, Carrera 72c #10-11, BOGOTÁ, D.C., CO</t>
  </si>
  <si>
    <t>SANSAGE</t>
  </si>
  <si>
    <t>M025624</t>
  </si>
  <si>
    <t>AXEEN PHARMA S.A.R.L., 5 rue du Gabian, Immeuble “Le Triton”, Bloc B – 2ème étage, MÓNACO, MÓNACO 98000 , MC</t>
  </si>
  <si>
    <t>5. Preparaciones farmacéuticas; Complementos dietéticos; Complementos nutricionales; Sustancias dietéticas para uso médico; Complementos alimenticios para consumo humano en forma de comprimidos y cápsulas; productos farmacéuticos para uso humano en forma de comprimidos y cápsulas; extractos de polen y extractos de plantas vendidos como componentes de suplementos alimenticios y preparaciones farmacéuticas; polen y extractos de polen para uso médico, farmacéutico o nutricional.</t>
  </si>
  <si>
    <t>LINCRET</t>
  </si>
  <si>
    <t>lorganique</t>
  </si>
  <si>
    <t>27 jul. 2022</t>
  </si>
  <si>
    <t>1088287847</t>
  </si>
  <si>
    <t>Ivonne  Carvajal Marin, carrera 83 aa #17-78, MEDELLIN, ANTIOQUIA, CO</t>
  </si>
  <si>
    <t>3. Champús capilares; champúes para el cabello; champús para el cabello; champús no medicinales; champús para el cabello humano; champús para el cabello y el cuerpo; champús y acondicionadores; champús no medicinales contra la caspa; champúes para bebés; cremas cosméticas para el tratamiento de los labios; preparaciones cosméticas para el tratamiento de la piel; preparaciones para tratamientos capilares; preparados cosméticos para el tratamiento de la piel; productos y tratamientos para el cabello; cosméticos para tratamiento de belleza cosméticos para el cuidado de belleza; cremas no medicinales para el tratamiento del cuero cabelludo; preparaciones cosméticas no medicinales para tratamientos capilares; preparaciones cosméticas no medicamentosas para tratamientos capilares.
5. Champú para el crecimiento del cabello.
42. Investigación en laboratorio en el ámbito de los productos cosméticos; desarrollo y pruebas de métodos de producción química.</t>
  </si>
  <si>
    <t>ENERGY PET</t>
  </si>
  <si>
    <t>28 jul. 2022</t>
  </si>
  <si>
    <t>Solicitud de marca ENERGY PET</t>
  </si>
  <si>
    <t>CEDRIT</t>
  </si>
  <si>
    <t>ALEXANDER FORERO TORRES, CAR 62 # # 99 -73, BOGOTÁ, D.C., CO; STELLA ROCIO  JARAMILLO GARZON, calle 20 sur # 52C-38 , BOGOTÁ, D.C., CO</t>
  </si>
  <si>
    <t>5. Suplementos dietarios.</t>
  </si>
  <si>
    <t>SATIMAX</t>
  </si>
  <si>
    <t>ALLEM ANGELICA HUERTAS SIPAGAUTA, DIAGONAL 3 No. 22 - 11, FUSAGASUGA, CUNDINAMARCA 252211, CO</t>
  </si>
  <si>
    <t>5. Productos farmacéuticos homeopáticos.</t>
  </si>
  <si>
    <t>26 ene. 2023</t>
  </si>
  <si>
    <t>QUADRIDERM</t>
  </si>
  <si>
    <t>DIANA MILENA BELTRAN ROZO, CALLE 24 # 14-74 Barrio Santa Lucia , TUNJA, BOYACA, CO</t>
  </si>
  <si>
    <t>GARAMICINA</t>
  </si>
  <si>
    <t>exercross</t>
  </si>
  <si>
    <t>Ivanna Charlotte Sanchez Gonzalez, Cra 103#11-40, CALI, VALLE DEL CAUCA 760031, CO</t>
  </si>
  <si>
    <t>5. Proteínas de suero de leche en polvo en cuanto complementos nutricionales; proteínas de suero de leche en polvo [complementos nutricionales]; proteínas de suero de leche [complementos nutricionales]; proteínas de suero de leche en cuanto complementos nutricionales; complementos nutricionales.</t>
  </si>
  <si>
    <t>TRI</t>
  </si>
  <si>
    <t>30 jul. 2022</t>
  </si>
  <si>
    <t>EUROFARMA COLOMBIA S.A.S., AV. CARRERA  68 NO. 17 - 64, BOGOTÁ, D.C., CO</t>
  </si>
  <si>
    <t>5. Medicamentos; medicamentos para uso médico; medicamentos y agentes terapéuticos; preparaciones farmacéuticas para uso humano; productos farmacéuticos; productos farmacéuticos, preparaciones para uso médico.</t>
  </si>
  <si>
    <t>MARIA DOLORES MOSQUERA CASAS, CARRERA 14 No.127A48 AP402, BOGOTÁ, D.C., CO</t>
  </si>
  <si>
    <t>HEPTAR</t>
  </si>
  <si>
    <t>MAITE</t>
  </si>
  <si>
    <t>CARBOLITIUM</t>
  </si>
  <si>
    <t>MUCLEAR</t>
  </si>
  <si>
    <t>03 ago. 2022</t>
  </si>
  <si>
    <t>Registro MUCLEAR</t>
  </si>
  <si>
    <t>5. Productos farmacéuticos, preparaciones para uso médico; preparaciones sanitarias para uso médico; alimentos y sustancias dietéticas para uso médico, alimentos para bebés; suplementos alimenticios para seres humanos; drogas para uso médico.</t>
  </si>
  <si>
    <t>Bradiclos</t>
  </si>
  <si>
    <t>02 ago. 2022</t>
  </si>
  <si>
    <t>105210/1 Bradiclos</t>
  </si>
  <si>
    <t>MEGA LABS S.A., Ruta 101 Km. 23.500, Parque de las Ciencias, Edificio Mega Pharma, Piso 3, 14.000, CANELONES, CANELONES, UY</t>
  </si>
  <si>
    <t>5. Medicamentos oncológicos, incluyendo citostáticos, antineoplásicos, tratamiento de leucemia y de metástasis. Medicamentos obtenidos mediante procesos biotecnológicos, incluyendo tecnología de ADN recombinante.</t>
  </si>
  <si>
    <t>MATIZ</t>
  </si>
  <si>
    <t>Royal Dog PET</t>
  </si>
  <si>
    <t>ROYAL DOG PET</t>
  </si>
  <si>
    <t>DISVET VETERINARIA SAS, CR 15 Su No 47 C - 27, BARRANQUILLA, ATLÁNTICO, CO</t>
  </si>
  <si>
    <t>5. Alimentos dietéticos para uso veterinario; complementos alimenticios para uso farmacéutico y veterinario; preparaciones farmacéuticas y veterinarias para uso médico; preparaciones veterinarias; preparaciones y sustancias veterinarias; complementos alimenticios para seres humanos; medicamentos para uso humano; suplementos alimenticios medicinales para consumo humano; suplementos alimenticios para humanos; alimentos y bebidas dietéticos para uso veterinario; alimentos y sustancias dietéticas para uso médico o veterinario; almidón para uso dietético y farmacéutico; complementos dietéticos para personas y animales; complementos dietéticos y nutricionales; preparaciones dietéticas para uso médico; suplementos dietéticos.</t>
  </si>
  <si>
    <t>EVIDENCE</t>
  </si>
  <si>
    <t>04 ago. 2022</t>
  </si>
  <si>
    <t>COMERCIALIZADORA MONSERRATH S.A.S. , calle 66b #57B-20, BOGOTÁ, D.C., CO</t>
  </si>
  <si>
    <t>ICANN GROUP</t>
  </si>
  <si>
    <t>ICANN GROUP S.A.S, calle 33 No 74 e 30 , MEDELLIN, ANTIOQUIA, CO</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</si>
  <si>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42. Servicios científicos y tecnológicos, así como servicios de investigación y diseño en estos ámbitos; servicios de análisis e investigación industriales; diseño y desarrollo de equipos informáticos y de software.</t>
  </si>
  <si>
    <t>ANDRES  FRANCO RENDON, diagonal 29 25 sur 80 ap 513, ENVIGADO, ANTIOQUIA, CO</t>
  </si>
  <si>
    <t>BEKEMV</t>
  </si>
  <si>
    <t>08 ago. 2022</t>
  </si>
  <si>
    <t>153222</t>
  </si>
  <si>
    <t>AMGEN INC., ONE AMGEN CENTER DRIVE, THOUSAND OAKS, CALIFORNIA 91320-1799, U.S.A., THOUSAND OAKS, CALIFORNIA, US</t>
  </si>
  <si>
    <t>5. Preparaciones y sustancias farmacéuticas utilizadas en el tratamiento de enfermedades y trastornos hematológicos, autoinmunes, inflamatorios y respiratorios; preparaciones y sustancias farmacéuticas para el tratamiento de cáncer y enfermedades y trastornos cardiovasculares; preparaciones y sustancias farmacéuticas utilizadas para el tratamiento de enfermedades y trastornos de glóbulos y vasos sanguíneos; preparaciones y sustancias farmacéuticas para el tratamiento de enfermedades y trastornos oncológicos, y oftálmicos; preparaciones y sustancias farmacéuticas para el tratamiento de trastornos inflamatorios del sistema nervioso central; preparaciones y sustancias farmacéuticas utilizadas para el tratamiento de anemia hemolítica, trombocitopenia e insuficiencia renal.</t>
  </si>
  <si>
    <t>VITAFEX</t>
  </si>
  <si>
    <t>16 ago. 2022</t>
  </si>
  <si>
    <t>8815 (VITAFEX)</t>
  </si>
  <si>
    <t>NATURAL MEDY DISTRIBUCIONES S.A.S., Calle 38 norte # 3 CN - 122, CALI, VALLE DEL CAUCA, CO</t>
  </si>
  <si>
    <t>5. Productos farmacéuticos; preparaciones para uso médico y veterinario; productos higiénicos y sanitarios para uso médico; alimentos y sustancias dietéticas para uso médico o veterinario; complementos alimenticios para personas o animales; desinfectantes.</t>
  </si>
  <si>
    <t>Fonte S.A.S., avenida 6a norte No. 25N- 22, CALI, VALLE DEL CAUCA, CO</t>
  </si>
  <si>
    <t>K-RAN</t>
  </si>
  <si>
    <t>REGISTRO DE MARCA K-RAN</t>
  </si>
  <si>
    <t>SUMIKOL S.A.S, CR 7 NO. 56 33 OF 602, BOGOTÁ, D.C., CO</t>
  </si>
  <si>
    <t>JOHANA VERGEL BERMUDEZ, Avenida 5 No. 11-63 local 212 Centro Comercial LECS, CUCUTA, NORTE DE SANTANDER, CO</t>
  </si>
  <si>
    <t>SITARMET</t>
  </si>
  <si>
    <t>MA31421-SITARMET</t>
  </si>
  <si>
    <t>DIABETRICS HEALTHCARE S.A.S, CALLE 80 No. 78 B 201, BARRANQUILLA, ATLÁNTICO, CO</t>
  </si>
  <si>
    <t>5. Productos farmacéuticos; preparaciones veterinarias; medicamentos para uso médico; medicamentos para uso veterinario; algodón para uso médico; desinfectantes para uso higiénico; productos para esterilizar; pañales para bebés; tampones para la menstruación;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</si>
  <si>
    <t>SEMATIDE</t>
  </si>
  <si>
    <t>MA31421-SEMATIDE</t>
  </si>
  <si>
    <t>Mega We care NAT-C ESTER</t>
  </si>
  <si>
    <t>12 ago. 2022</t>
  </si>
  <si>
    <t>Registro Mega We care NAT C ESTER</t>
  </si>
  <si>
    <t>5. Productos farmacéuticos y preparaciones médicas; Alimentos dietéticos y sustancias adaptadas para uso médico; Suplementos dietéticos para seres humanos; Medicamentos con fines médicos; Complemento alimenticio contiene vitaminas, minerales; Productos farmacéuticos y preparados médicos para estimular la función inmune, proteger contra los radicales libres y mantener la función de salud; Vitaminas Preparaciones para uso medicinal.</t>
  </si>
  <si>
    <t>MSNAPETO</t>
  </si>
  <si>
    <t>MSN APETO TIPO MIXTA-AGOSTO 12-2022</t>
  </si>
  <si>
    <t>5. Drogas para uso médico; medicamentos; medicamentos para uso médico; medicamentos y agentes terapéuticos.</t>
  </si>
  <si>
    <t>LMG</t>
  </si>
  <si>
    <t>14 ago. 2022</t>
  </si>
  <si>
    <t>LMG BIO LLC, 7325 SW 152ND ST, PALMETTO, FLORIDA 33157, US</t>
  </si>
  <si>
    <t>ALBA PATRICIA MUÑOZ DAZA, CALLE 85 No. 19B-22 OFC. 303, BOGOTÁ, D.C., CO</t>
  </si>
  <si>
    <t>ALLPET AMOR POR LAS MASCOTAS</t>
  </si>
  <si>
    <t>15 ago. 2022</t>
  </si>
  <si>
    <t>MARCA ALLPET</t>
  </si>
  <si>
    <t>Valeria Escobar Sanchez, Calle 160 #72 -34, BOGOTÁ, D.C. 111111, CO</t>
  </si>
  <si>
    <t>5. Aditivos alimentarios medicinales para uso veterinario; alimentos complementarios para uso veterinario; alimentos dietéticos para uso veterinario; complementos alimenticios para animales de uso veterinario; complementos de uso veterinario para piensos; complementos nutricionales para uso veterinario; desinfectantes para uso veterinario; medicamentos para uso veterinario; preparaciones biológicas para uso veterinario; preparaciones bioquímicas para uso veterinario; preparaciones higiénicas para uso veterinario; preparaciones químicas para uso veterinario; preparaciones sanitarias para uso veterinario; suplementos alimenticios para animales de uso veterinario; ungüentos para uso veterinario; medicamentos fitoterapéuticos para el consumano animal; aditivos en forma de vitaminas y minerales para alimentos para animales de compañía; alimentos dietéticos medicinales para animales; alimentos medicinales para animales; alimentos y bebidas dietéticos para uso veterinario; complementos medicinales para alimentos destinados a los animales; complementos nutricionales para alimentos de animales; suplementos minerales para alimentos.
35. Servicios de tiendas mayoristas de artículos veterinarios; servicios de venta mayorista de preparaciones y artículos veterinarios; servicios de venta al por menor o al por mayor de medicamentos; servicios de distribución comercial al por mayor de alimentos; distribución de anuncios publicitarios y comerciales; distribución de folletos, material impreso y muestras con fines publicitarios; distribución de productos con fines publicitarios; distribución y difusión de material publicitario; promoción de los productos y servicios de terceros mediante la distribución de material publicitario por diversos medios; servicios de distribución comercial; servicios de registro de razas de animales; servicios de tiendas mayoristas de artículos de cama para animales; servicios de tiendas mayoristas de instrumentos higiénicos para animales; servicios de tiendas mayoristas de piensos para animales; servicios de tiendas mayoristas de preparaciones para el aseo de animales; servicios de tiendas mayoristas en línea de artículos de cama para animales; servicios de venta mayorista de instrumentos de belleza para animales; servicios de venta mayorista de instrumentos higiénicos para animales; coordinación y realización de ferias con fines comerciales o publicitarios; organización de eventos, exposiciones, ferias y espectáculos con fines comerciales, de promoción y publicitarios; organización de exposiciones y ferias con fines comerciales y publicitarios; organización de ferias comerciales; organización de ferias de muestras; organización de ferias de negocios; organización de ferias mercantiles; organización de ferias y de exposiciones con fines comerciales y publicitarios; servicios de venta al por menor o al por mayor de medicamentos veterinarios; asesoramiento de negocios en gestión empresarial; asesoramiento empresarial en relación con marketing estratégico; asesoramiento en organización de empresas; asistencia empresarial; compra de productos y servicios para otras empresas; consultoría de negocios en gestión empresarial; consultoría en marketing empresarial; gestión de empresas; gestión de proyectos empresariales; gestión de proyectos empresariales para terceros; gestión empresarial de empresas; gestión y administración de empresas; marketing empresarial.</t>
  </si>
  <si>
    <t>CANNABIO</t>
  </si>
  <si>
    <t>PAULA ANDREA FRÍAS MARTÍNEZ, CONDOMINIO RUITOQUE LAGUITO CABAÑA 86, FLORIDABLANCA, SANTANDER, CO</t>
  </si>
  <si>
    <t>5. Productos farmacéuticos, complementos alimenticios para personas o animales; desinfectantes.</t>
  </si>
  <si>
    <t>ANDREA KATHERÍN  ORDÓNEZ CALDERÓN, Autopista piedecuesta Km 7 costado ordiental via mantilla 180 CR balcones de ruitoque T - 4 Apto 602, BUCARAMANGA, SANTANDER, CO</t>
  </si>
  <si>
    <t>PROCAPS KETOVID</t>
  </si>
  <si>
    <t>22 ago. 2022</t>
  </si>
  <si>
    <t>MA31395-PROCAPS KETOVID</t>
  </si>
  <si>
    <t>WINDMILL HEALTH PRODUCTS</t>
  </si>
  <si>
    <t>WINDMILL</t>
  </si>
  <si>
    <t>SUPLEMENTOS Y SALUD S.A.S., CAlle 172 A 8- 20, BOGOTÁ, D.C. 110011, CO</t>
  </si>
  <si>
    <t>dora ines gaviria valencia, cra 7 No 1-71 torre 9 apartametno 502, LA CALERA, CUNDINAMARCA 251201, CO</t>
  </si>
  <si>
    <t>VITATOR</t>
  </si>
  <si>
    <t>8815 (VITATOR)</t>
  </si>
  <si>
    <t>MANUEL EDUARDO TOBAR BARRETO, avenida 6 a norte # 25N-22, CALI, VALLE DEL CAUCA, VALLE DEL CAUCA, CO</t>
  </si>
  <si>
    <t>QUINDI</t>
  </si>
  <si>
    <t>MC-01937</t>
  </si>
  <si>
    <t>FARMEX S.A., CALLE DEAN VALDIVIA 148 PISO 7 - SAN ISIDRO, LIMA, DISTRITO DE SAN ISIDRO, LIMA, PE</t>
  </si>
  <si>
    <t>1. Productos químicos para la industria, la ciencia y la fotografía, así como para la agricultura, la horticultura y la silvicultura; resinas artificiales en bruto, materias plásticas en bruto; abonos para el suelo; composiciones extintoras; preparaciones para templar y soldar metales; productos químicos para conservar alimentos; materias curtientes; adhesivos (pegamentos) para la industria.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</si>
  <si>
    <t>18 ago. 2022</t>
  </si>
  <si>
    <t>MENTICOL 3D 5</t>
  </si>
  <si>
    <t>BELLEZA EXPRESS S.A., Calle 36 No.134-201 Km.6 Vía Jamundí, CALI, VALLE DEL CAUCA, CO</t>
  </si>
  <si>
    <t>El Señor de las Abejas</t>
  </si>
  <si>
    <t>APIEXPORT E.U, Calle 13 9-14, SOCORRO, SANTANDER, CO</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</si>
  <si>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30. Café, té, cacao y sucedáneos del café; arroz; tapioca y sagú; harinas y preparaciones a base de cereales; pan, productos de pastelería y confitería; helados; azúcar, miel, jarabe de melaza; levadura, polvos de hornear; sal; mostaza; vinagre, salsas (condimentos); especias; hielo.</t>
  </si>
  <si>
    <t>Miguel Ángel Linares Bautista, Calle 13 9-14, SOCORRO, SANTANDER, CO</t>
  </si>
  <si>
    <t>20 dic. 2022</t>
  </si>
  <si>
    <t>NEXDIA</t>
  </si>
  <si>
    <t>5. Limitado a productos farmacéuticos para uso humano destinados al tratamiento del sistema nervioso central. Se excluyen expresamente hormonas femeninas y en particular productos destinados a ajustar el ciclo menstrual.</t>
  </si>
  <si>
    <t>MARBOGAN</t>
  </si>
  <si>
    <t>Registro MARBOGAN</t>
  </si>
  <si>
    <t>COMPAÑÍA CALIFORNIA S.A., CALLE 17 NO 34-64, BOGOTÁ, D.C., CO</t>
  </si>
  <si>
    <t>5. Productos farmacéuticos y preparaciones para uso veterinario; productos veterinarios; medicamentos para uso veterinario.</t>
  </si>
  <si>
    <t>ZULMA XIMENA CLAVIJO ORJUELA , CALLE 17 No. 34 - 64, BOGOTÁ, D.C., CO</t>
  </si>
  <si>
    <t>VEAUTY CARE</t>
  </si>
  <si>
    <t>SUPERTIENDAS CAÑAVERAL S.A.S., CALLE 18A 56 65 LOCAL 10, CALI, VALLE DEL CAUCA, CO</t>
  </si>
  <si>
    <t>3. Gel de baño; gel de lavanda; jabones cosméticos; jabones de baño; jabones de baño en forma líquida, sólida o de gel; jabones de ducha; jabones de tocador; jabones en forma líquida; jabones faciales; jabones líquidos; jabones líquidos para el baño; jabones líquidos para el cabello y el cuerpo; jabones líquidos para las manos y el rostro; jabones líquidos para las manos, el rostro y el cuerpo; jabones no medicados para el cuerpo; jabones no medicados para las manos; jabones para la ducha; jabones para las manos; jabones para uso personal; jabones*; jabón de baño; jabón en polvo; jabón líquido para el cuerpo; pastillas de jabón; pastillas de jabón para el cuerpo; champús*; acondicionadores de cabello; acondicionadores labiales; acondicionadores para la piel; champús acondicionadores; champús en seco*; jabón en seco; jabones en crema; jabones en crema para el cuerpo; gel para baño y ducha; geles de baño y de ducha; geles de ducha; geles para la ducha; geles, cremas y aceites de ducha; líquidos para lavarse las manos no medicinales a base de jabón; jabones para la piel.
5. Jabones antibacterianos; jabones antibacterianos para la piel; lociones antibacterianas para las manos; productos antibacterianos para lavar las manos; toallitas antibacterianas; toallitas impregnadas de preparaciones antibacterianas; geles antibacterianos; geles desinfectantes antibacterianos a base de alcohol para la piel.</t>
  </si>
  <si>
    <t>RUBIELA ARIAS DE FAJARDO, CARRERA 7 # 32 - 33. OFICINA 1501. EDIFICIO FENIX. TELESENTINEL, BOGOTÁ, D.C., CO</t>
  </si>
  <si>
    <t>VEAUTY SENSE</t>
  </si>
  <si>
    <t>21 ago. 2022</t>
  </si>
  <si>
    <t>3. Gel de baño; gel de lavanda; jabones antitranspirantes; jabones corporales no medicados; jabones cosméticos; jabones de baño; jabones de baño en forma líquida, sólida o de gel; jabones de ducha; jabones de tocador; jabones de tocador no medicinales; jabones desodorantes; jabones en forma líquida; jabones faciales; jabones líquidos; jabones líquidos no medicinales; jabones líquidos para el baño; jabones líquidos para las manos, el rostro y el cuerpo; jabones no medicados para el cuerpo; jabones no medicados para las manos; jabones no medicinales; jabones para el cuerpo; jabones para el cuidado del cuerpo; jabones para la ducha; jabones para la piel; jabones para las manos; jabones para uso personal; jabones perfumados; jabones*; pastillas de jabón; pastillas de jabón para el cuerpo; geles cosméticos; geles de baño; geles de baño no medicinales; geles de baño y de ducha; geles de ducha; geles de ducha y de baño; geles de lavanda; geles para el baño [no medicinales]; geles para el cuerpo [cosméticos]; geles para el cuerpo y la cara [cosméticos]; geles para la ducha; geles para uso cosmético; jabones líquidos para las manos y el rostro; líquidos para lavarse las manos no medicinales a base de jabón; champús en seco*; jabón en seco; champús en barritas sólidas; acondicionadores para la piel; acondicionadores para uso en el cabello; champús acondicionadores; champús y acondicionadores; productos cosméticos de baño y ducha; productos cosméticos para el baño y la ducha; productos cosméticos para el cuidado de la piel.
5. Geles antibacterianos; geles desinfectantes antibacterianos a base de alcohol para la piel; aerosoles antibacterianos; espráis antibacterianos; jabones antibacterianos; jabones antibacterianos para la piel; limpiadores faciales antibacterianos medicinales; productos antibacterianos para lavar las manos; jabones desinfectantes; toallitas desinfectantes; lociones antibacterianas para las manos; toallitas antibacterianas; toallitas impregnadas de lociones antibacterianas; toallitas impregnadas de preparaciones antibacterianas.</t>
  </si>
  <si>
    <t>JMX NUTRITION</t>
  </si>
  <si>
    <t>REGISTRO JMX NUTRITION</t>
  </si>
  <si>
    <t>JIMEX PHARMA DE ALEMANIA S.A.S., CARRERA 66 #18A-05, CALI, VALLE DEL CAUCA, VALLE DEL CAUCA, CO</t>
  </si>
  <si>
    <t>FRANCIA ELENA LASSO VALLECILLA, Carrera 66 No. 18 A - 05, CALI, VALLE DEL CAUCA 760033, CO</t>
  </si>
  <si>
    <t>ALLORA</t>
  </si>
  <si>
    <t>MC-01936</t>
  </si>
  <si>
    <t>FLUMITE INTEROC</t>
  </si>
  <si>
    <t>FLUMITE</t>
  </si>
  <si>
    <t>1. Productos químicos para la agricultura.
5. Productos para eliminar animales dañinos.</t>
  </si>
  <si>
    <t>L ESSENSA</t>
  </si>
  <si>
    <t>26 ago. 2022</t>
  </si>
  <si>
    <t>L ESSENSA COLOMBIA SAS  SIGLA. L'ESANS , Calle 71 A #22- 14, BOGOTÁ, D.C., CO</t>
  </si>
  <si>
    <t>5. Medicamentos homeopáticos; medicinas homeopáticas; productos farmacéuticos homeopáticos.</t>
  </si>
  <si>
    <t>MONTANA</t>
  </si>
  <si>
    <t>AGROQUIMICOS SEMILLAS Y EQUIPOS DE RIEGO SA</t>
  </si>
  <si>
    <t>SKIN HELP BY FAGRON</t>
  </si>
  <si>
    <t>SOLICITUD SKIN HELP BY FAGRON (MIXTA), Cl 3 y 5</t>
  </si>
  <si>
    <t>FAGRON COLOMBIA SAS, Calle 163 A 19A 88, BOGOTÁ, D.C., CO</t>
  </si>
  <si>
    <t>MARIA PATRICIA LONDOÑO JADAD, CALLE 123 No. 7-51/57 OFC. 1202, BOGOTÁ, D.C., CO</t>
  </si>
  <si>
    <t>PICLORAM JEGO 240SL</t>
  </si>
  <si>
    <t>JEGO CHEMICAL S.A.S., AUTOPISTA ANILLO VIAL, MEDITERRANE, LA TOSCANA, CASA 73 , FLORIDABLANCA, SANTANDER, CO</t>
  </si>
  <si>
    <t>5. Herbicidas para uso agrícola.</t>
  </si>
  <si>
    <t>TRESSOR</t>
  </si>
  <si>
    <t>24 ago. 2022</t>
  </si>
  <si>
    <t>VARAN</t>
  </si>
  <si>
    <t>VARANCOL</t>
  </si>
  <si>
    <t>VARAN FARMA S.A.S, KM 1,1 VIA COTA - SIBERIA (CALLE 80) CENTRO EMPRESARIAL LOS ROBLES, EDF. PANASONIC PISO 2 , COTA, CUNDINAMARCA 250017, CO</t>
  </si>
  <si>
    <t>5. Agentes de liberación de medicamentos; baños medicamentosos para uso terapéutico; cremas labiales medicamentosas; cremas medicamentosas; cremas medicamentosas para hidratar la piel; cremas medicamentosas para la hidratación de la piel; cremas medicamentosas para la piel; cremas medicamentosas para la protección de la piel; cremas medicamentosas protectoras; cápsulas para medicamentos; eritropoyetina humana recombinante en cuanto medicamento biofarmacéutico; gasas impregnadas de cremas medicamentosas; jarabes en cuanto medicamentos; lociones y cremas medicamentosas para el cuerpo, piel, cara y manos; lociones y cremas medicamentosas para el cuerpo, piel, rostro y manos; líquidos medicamentosos para cigarrillos electrónicos [e-liquid]; líquidos medicamentosos para cigarrillos electrónicos [e-liquid] que contienen vitaminas; medicamento para la tos; medicamentos; medicamentos a base de hierbas; medicamentos analgésicos; medicamentos antimicóticos; medicamentos antitranspirantes; medicamentos antitumorales; medicamentos autónomos para uso médico; medicamentos bioquímicos; medicamentos contra el acné; medicamentos contra el mareo; medicamentos contra la alergia; medicamentos contra la diarrea; medicamentos crudos; medicamentos de prevención contra los nematodos parásitos de animales de compañía; medicamentos de prevención contra los nematodos parásitos de mascotas; medicamentos de venta libre; medicamentos en forma de comprimidos; medicamentos en forma de pastillas; medicamentos en forma de píldoras; medicamentos en forma de tabletas; medicamentos fitoterapéuticos para el consumano animal; medicamentos fitoterapéuticos para el consumo humano; medicamentos herbarios; medicamentos homeopáticos; medicamentos líquidos; medicamentos para ajustar el ciclo menstrual; medicamentos para aliviar las alergias; medicamentos para el estreñimiento; medicamentos para el tratamiento de enfermedades cardiovasculares y cerebrovasculares; medicamentos para el tratamiento de enfermedades gastrointestinales; medicamentos para el tratamiento de quemaduras; medicamentos para el tratamiento de trastornos intestinales; medicamentos para el tratamiento del mareo; medicamentos para la constipación [estreñimiento]; medicamentos para regular el ciclo menstrual; medicamentos para uso humano; medicamentos para uso médico; medicamentos para uso odontológico; medicamentos para uso veterinario; medicamentos sin prescripción médica; medicamentos sin receta; medicamentos sueroterapéuticos; medicamentos y agentes terapéuticos; pomadas labiales medicamentosas; preparaciones medicamentosas para el baño de pies; preparaciones medicamentosas para el cuidado de los labios; siropes en cunato medicamentos; sulfamidas [medicamentos]; sulfonamidas en cuanto medicamentos; toallitas impregnadas de cremas medicamentosas; toallitas o gasas impregnadas de cremas medicamentosas; tónicos reconstituyentes [medicamentos].</t>
  </si>
  <si>
    <t>Jenny Mahyly  Vargas Quintero, Complejo Logístico Industrial Siberia - CLIS . Vereda Vuelta Grande a 150 m de la Glorieta de Siberia / Vía Cota - Chía Municipio de Cota, COTA, CUNDINAMARCA 250017, CO</t>
  </si>
  <si>
    <t>HIGADOSAN</t>
  </si>
  <si>
    <t>25 ago. 2022</t>
  </si>
  <si>
    <t>Helmunt Alexander Hernandez Barrera, carrera 66 4d 83, BOGOTÁ, D.C. 000000, CO</t>
  </si>
  <si>
    <t>5. Suplementos dietéticos a base de hierbas.</t>
  </si>
  <si>
    <t>ALPHARM POMADA</t>
  </si>
  <si>
    <t>ONLYPHARM S.A.S., PARQUE INDUSTRIAL GRAN SABANA VDA TIBITO BG M 34, TOCANCIPA, CUNDINAMARCA, CO</t>
  </si>
  <si>
    <t>5. Producto farmacéutico veterinario, semisólido, crema, gel, polvo, líquido. Antiflogístico y analgésico. Coadyuvante en el tratamiento de procesos inflamatorios. También como Cicatrizante, secante, desinfectante y repelente de insectos.</t>
  </si>
  <si>
    <t>Suralan</t>
  </si>
  <si>
    <t>AGROVET MARKET S.A., AV. CANADA 3798-3798, SAN LUIS-LIMA, SAN LUIS, LIMA, PE</t>
  </si>
  <si>
    <t>TERRAPHARM</t>
  </si>
  <si>
    <t>5. Antibiótico para el tratamiento de enfermedades infecciosas producidas por gérmenes sensibles a las tetraciclinas.</t>
  </si>
  <si>
    <t>URSOX</t>
  </si>
  <si>
    <t>SALUS PHARMA LABS SAS, CALLE 24D NO 44A - 39, BOGOTÁ, D.C., CO</t>
  </si>
  <si>
    <t>VIRGINIA GOMEZ FERNANDEZ, Calle 14 No. 15-51 Of. 301, BOGOTÁ, D.C. 11101, CO</t>
  </si>
  <si>
    <t>ISOBLEND</t>
  </si>
  <si>
    <t>S - SD - ISOBLEND</t>
  </si>
  <si>
    <t>ANDREA VALENTINA BECERRA CANTOR, Calle 150 # 7G - 21 , BOGOTÁ, D.C., CO</t>
  </si>
  <si>
    <t>5. Suplementos nutricionales alimenticios y de deporte, alimentos y sustancias dietéticas para uso médico o veterinario, alimentos para bebés, complementos alimenticios para personas o animales, Productos farmacéuticos, preparaciones para uso médico y veterinario; productos higiénicos y sanitarios para uso médico.
30. Harinas y preparaciones a base de cereales, preparaciones a base de harinas, preparaciones a base de avena, barras alimenticias, barritas energéticas, productos de pastelería y confitería, helados.</t>
  </si>
  <si>
    <t>WHEYBLEND SHAKE</t>
  </si>
  <si>
    <t>S - SD - WHEYBLEND SHAKE</t>
  </si>
  <si>
    <t>EAAS MIX RECOVERY BLEND</t>
  </si>
  <si>
    <t>S - SD - EAAS MIX RECOVERY BLEND</t>
  </si>
  <si>
    <t>INMUNOREL</t>
  </si>
  <si>
    <t>29 ago. 2022</t>
  </si>
  <si>
    <t>Solicitud de registro marca INMUNOREL (NOMINATIVA) clase 5</t>
  </si>
  <si>
    <t>ASPIGEN INC, 150 SE 2ND AVE SUITE 404, FL 33131, MIAMI, FLORIDA, US</t>
  </si>
  <si>
    <t>5. Producto farmacéutico de uso humano para tratamiento de inmunodeficiencias en enfermedades autoinmunes.</t>
  </si>
  <si>
    <t>EQQUIVERTEL</t>
  </si>
  <si>
    <t>AGROQUIMICOS ARROCEROS DE COLOMBIA S.A. AGROZ S.A., Km 1 Vía Espinal - Ibague, ESPINAL, TOLIMA, CO</t>
  </si>
  <si>
    <t>PILAR EMELLY  BOADA CASTRO, CARRERA 100 25H 55, BOGOTA, CUNDINAMARCA, CO</t>
  </si>
  <si>
    <t>Green Fit8</t>
  </si>
  <si>
    <t>yulieth gamarra henao, calle 5 sur 29d 55, crra 32 2bsur 87, MEDELLIN, ANTIOQUIA +57, CO</t>
  </si>
  <si>
    <t>5. Alimentos y sustancias dietéticas para uso médico o veterinario, complementos alimenticios para personas.</t>
  </si>
  <si>
    <t>LUZ ANGELA GOMEZ ARIAS, CARRERA 43B 14-51 OF 703, MEDELLIN, ANTIOQUIA, CO</t>
  </si>
  <si>
    <t>MUSSYL</t>
  </si>
  <si>
    <t>MARTHA LUZ LIÑAN PACHECO, calle 143 #7-31 ofn 508, BOGOTÁ, D.C. 110111, CO</t>
  </si>
  <si>
    <t>5. Jarabes antitusígenos; jarabes contra la tos; jarabes en cuanto medicamentos; jarabes para la tos; jarabes para uso farmacéutico; antioxidantes [complementos dietéticos]; bacterias probióticas [complementos alimenticios]; bebidas nutricionales en cuanto complementos alimenticios; bebidas utilizadas como complementos dietéticos; complementos a base de hierbas; complementos alimenticios; complementos alimenticios a base de aminoácidos; complementos alimenticios a base de caseína; complementos alimenticios a base de chlorella; complementos alimenticios a base de cáñamo; complementos alimenticios a base de enzimas; complementos alimenticios a base de germen de trigo; complementos alimenticios a base de glucosa; complementos alimenticios a base de isoflavona de soja; complementos alimenticios a base de jalea real; complementos alimenticios a base de lecitina; complementos alimenticios a base de levadura; complementos alimenticios a base de levadura de cerveza; complementos alimenticios a base de linaza; complementos alimenticios a base de maca; complementos alimenticios a base de minerales; complementos alimenticios a base de oligoelementos; complementos alimenticios a base de polen; complementos alimenticios a base de polen de pino; complementos alimenticios a base de propóleos; suplementos alimenticios a base de glucosa; malta para uso farmacéutico; pastillas de miel de hierbas para la garganta.</t>
  </si>
  <si>
    <t>30 dic. 2022</t>
  </si>
  <si>
    <t>BICAMET XR</t>
  </si>
  <si>
    <t>02 sept. 2022</t>
  </si>
  <si>
    <t>MA31480-BICAMET XR</t>
  </si>
  <si>
    <t>5. Productos farmacéuticos; preparaciones veterinarias; medicamentos para uso médico; medicamentos para uso veterinario; algodón para uso médico; desinfectantes para uso higiénico; productos para esterilizar; pañales para bebés; tampones para la menstruación; Productos de protección menstrual para la higiene íntima femenina, a saber: toallas sanitarias, protectores diarios;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</si>
  <si>
    <t>Sitared</t>
  </si>
  <si>
    <t>MA31480-Sitared</t>
  </si>
  <si>
    <t>NERTA</t>
  </si>
  <si>
    <t>LAPISA S.A. DE C.V., CARRETERA LA PIEDAD - GUADALAJARA KM. 5.5 CAMELINAS, MICHOACÁN C.P. 59375 MÉXICO, GUADALAJARA, JALISCO, MX</t>
  </si>
  <si>
    <t>5. Preparaciones para destruir animales dañinos; insecticidas, herbicidas, bactericidas, fungicidas, rodenticidas.</t>
  </si>
  <si>
    <t>LAPISA ZELK</t>
  </si>
  <si>
    <t>Klausii</t>
  </si>
  <si>
    <t>01 sept. 2022</t>
  </si>
  <si>
    <t>TRI-ATTACK</t>
  </si>
  <si>
    <t>5. Productos veterinarios (antimicrobianos) a base de amoxicilina.</t>
  </si>
  <si>
    <t>COLNATURAL</t>
  </si>
  <si>
    <t>MARCACOLNATURAL</t>
  </si>
  <si>
    <t>Katerine Andrea  Garcia Julio, Cll 19 Este #14-56, VALLEDUPAR, CESAR 200001, CO</t>
  </si>
  <si>
    <t>5. Complementos y preparaciones dietéticas; complementos y preparaciones nutricionales; preparaciones a base de hierbas para uso médico; preparaciones a base de minerales para uso médico; preparaciones alimenticias para bebés y lactantes; preparaciones dietéticas para uso médico; preparaciones enzimáticas para uso médico; preparaciones farmacológicas para cuidar la piel; preparaciones farmacéuticas; preparaciones farmacéuticas para el tratamiento de la diabetes; preparaciones herbarias para uso médico; preparaciones medicinales; preparaciones medicinales para adelgazar; preparaciones multivitamínicas; preparaciones que contienen vitamina a; preparaciones que contienen vitamina b; preparaciones que contienen vitamina c; preparaciones que contienen vitamina d; preparaciones y suplementos para la salud; preparaciones y sustancias medicinales; preparaciones y sustancias vitamínicas; suplementos y preparaciones dietéticas; suplementos y preparaciones nutricionales; suplementos alimenticios.</t>
  </si>
  <si>
    <t>ADRENOLYT</t>
  </si>
  <si>
    <t>EELHOE</t>
  </si>
  <si>
    <t>03 sept. 2022</t>
  </si>
  <si>
    <t>Proceso de Registro de Marca EELHOE</t>
  </si>
  <si>
    <t>DUVAN ALEXANDER GIRALDO GÓMEZ, CARRERA 53 # 45-50 PISO 11. BODEGA 1109, MEDELLIN, ANTIOQUIA, CO</t>
  </si>
  <si>
    <t>3. Preparaciones para blanquear y otras sustancias para lavar la ropa; preparaciones para limpiar, pulir, desengrasar y raspar; jabones no medicinales; productos de perfumería, aceites esenciales, cosméticos no medicinales, lociones capilares no medicinales; cremas blanqueadoras para los dientes; geles de limpieza para los dientes; geles para la limpieza de los dientes; pasta de dientes fácil de ingerir; pastas de dientes no medicinales; pastas de dientes*; pastas para blanquear los dientes; preparados blanqueadores de dientes.
5. Productos farmacéuticos, preparaciones para uso médico y veterinario; productos higiénicos y sanitarios para uso médico; preparaciones dermocosméticas.</t>
  </si>
  <si>
    <t>RODRIGO  VANEGAS GAVIRIA, CALLE 52 # 47-28 OF.329, MEDELLIN, ANTIOQUIA 050001, CO</t>
  </si>
  <si>
    <t>MAXX</t>
  </si>
  <si>
    <t>05 sept. 2022</t>
  </si>
  <si>
    <t>MAXX, CL. 5 Y CL.10</t>
  </si>
  <si>
    <t>NULCAPEY S.A., Misiones 1381, escritorio 802 , MONTEVIDEO, MONTEVIDEO, UY</t>
  </si>
  <si>
    <t>5. CÁPSULAS A BASE DE HIERBAS PARA POTENCIAR LA SEXUALIDAD MASCULINA; CREMAS ESPERMICIDAS; ESPERMICIDAS; ESPERMICIDAS PARA SU APLICACIÓN EN PRESERVATIVOS; GELES ANTIBACTERIANOS; GELES DE ESTIMULACIÓN SEXUAL; GELES ESPERMICIDAS; GELES LUBRICANTES PARA USO PERSONAL; GELES PARA LA ESTIMULACIÓN SEXUAL; HIERBAS MEDICINALES; LUBRICANTES ACUOSOS PARA USO PERSONAL; LUBRICANTES DE SILICONA PARA USO PERSONAL; LUBRICANTES HIGIÉNICOS; LUBRICANTES ÍNTIMOS; LUBRICANTES SEXUALES; LUBRICANTES VAGINALES; PREPARADOS PARA FACILITAR EL APAREAMIENTO SEXUAL; PREPARADOS PARA SU USO COMO LUBRICANTE VAGINAL; SUPLEMENTO DIETÉTICO MINERAL PARA PERSONAS; SUPLEMENTOS ALIMENTICIOS SIN UNA FINALIDAD MÉDICA; SUPLEMENTOS DIETÉTICOS PARA HUMANOS.
10. CONDONES, APARATOS, DISPOSITIVOS Y ARTÍCULOS PARA ACTIVIDADES SEXUALES; JUGUETES SEXUALES; MUÑECAS ERÓTICAS [MUÑECAS SEXUALES]; PRESERVATIVOS; PRESERVATIVOS CON PROPIEDADES ESPERMICIDAS; PRESERVATIVOS CON UNA FINALIDAD HIGIÉNICA; PRESERVATIVOS CON UNA FINALIDAD MÉDICA; PRESERVATIVOS CON UNA FINALIDAD PROFILÁCTICA; PRESERVATIVOS ESPERMICIDAS; ACCESORIOS SEXUALES PARA ADULTOS; VIBRADORES, COMO AYUDA SEXUAL PARA ADULTOS, COPAS MENSTRUALES.</t>
  </si>
  <si>
    <t>ANDRÉS FELIPE ZAPATA OCAMPO, Crr 11 # 86 -32 Ofc 602, BOGOTÁ, D.C., CO</t>
  </si>
  <si>
    <t>29 nov. 2022</t>
  </si>
  <si>
    <t>Colores Pantone 2602 C,  Pantone 360 C y Pantone 2582 C.</t>
  </si>
  <si>
    <t>TMA041923-CO-NF</t>
  </si>
  <si>
    <t>5. Antiinfecciosos; Antiinflamatorios; productos farmacéuticos antibacterianos; antibióticos; preparaciones antimicóticas; antivirales; productos farmacéuticos cardiovasculares; preparaciones farmacéuticas dermatológicas; preparaciones farmacéuticas para inhalar destinadas al tratamiento de enfermedades y trastornos respiratorios; preparaciones farmacéuticas para el sistema nervioso central; preparaciones y sustancias farmacéuticas para el tratamiento de enfermedades gastrointestinales; preparaciones farmacéuticas para la prevención y el tratamiento de enfermedades y trastornos del sistema autoinmune, el sistema metabólico, el sistema endocrino, el sistema musculo-esquelético y el sistema genitourinario; preparaciones farmacéuticas para su uso en hematología y en trasplante de tejidos y órganos; preparaciones farmacéuticas para la prevención y el tratamiento de enfermedades y afecciones oculares; preparaciones farmacéuticas para la prevención y el tratamiento de trastornos del ritmo cardíaco; preparaciones farmacéuticas para la prevención y el tratamiento de enfermedades y trastornos relacionados con el sistema inmune; preparaciones farmacéuticas para la prevención y el tratamiento de enfermedades; renales; preparaciones farmacéuticas para la prevención y el tratamiento de la diabetes; preparaciones farmacéuticas para la prevención y el tratamiento de la hipertensión; preparaciones farmacéuticas para la prevención y el tratamiento de trastornos de la piel; preparaciones farmacéuticas para su uso en dermatología; preparaciones farmacéuticas para su uso en urología; preparaciones farmacéuticos para uso oftalmológico; preparaciones farmacéuticos para la prevención y el tratamiento del cáncer y los tumores; preparaciones farmacéuticas para la prevención y el tratamiento de alergias; preparaciones farmacéuticos para la prevención y el tratamiento de enfermedades óseas; preparaciones farmacéuticos para la prevención y el tratamiento de enfermedades respiratorias y el asma.</t>
  </si>
  <si>
    <t>29 may. 2023</t>
  </si>
  <si>
    <t>ORGAN 100%</t>
  </si>
  <si>
    <t>12 sept. 2022</t>
  </si>
  <si>
    <t>3Q SAS, Calle 1H No. 30 - 21, BOGOTÁ, D.C., CO</t>
  </si>
  <si>
    <t>5. Complementos de vitaminas para productos alimenticios de consumo humano.</t>
  </si>
  <si>
    <t>CARLOS DANIEL GÓMEZ GARCÍA, Calle 1H No. 30 - 21, BOGOTÁ, D.C., CO</t>
  </si>
  <si>
    <t>Colores Pantone 2602 C, Pantone 360 C y Pantone 2582 C.</t>
  </si>
  <si>
    <t>TMA041923-CO-NF02</t>
  </si>
  <si>
    <t>5. Antiinfecciosos; Antiinflamatorios; productos farmacéuticos antibacterianos; antibióticos; preparaciones antimicóticas; antivirales; productos farmacéuticos cardiovasculares; preparaciones farmacéuticas dermatológicas; preparaciones farmacéuticas para inhalar destinadas al tratamiento de enfermedades y trastornos respiratorios; preparaciones farmacéuticas para el sistema nervioso central; preparaciones y sustancias farmacéuticas para el tratamiento de enfermedades gastrointestinales; preparaciones farmacéuticas para la prevención y el tratamiento de enfermedades y trastornos del sistema autoinmune, el sistema metabólico, el sistema endocrino, el sistema musculo-esquelético y el sistema genitourinario; preparaciones farmacéuticas para su uso en hematología y en trasplante de tejidos y órganos; preparaciones farmacéuticas para la prevención y el tratamiento de enfermedades y afecciones oculares; preparaciones farmacéuticas para la prevención y el tratamiento de trastornos del ritmo cardíaco; preparaciones farmacéuticas para la prevención y el tratamiento de enfermedades y trastornos relacionados con el sistema inmune; preparaciones farmacéuticas para la prevención y el tratamiento de enfermedades renales; preparaciones farmacéuticas para la prevención y el tratamiento de la diabetes; preparaciones farmacéuticas para la prevención y el tratamiento de la hipertensión; preparaciones farmacéuticas para la prevención y el tratamiento de trastornos de la piel; preparaciones farmacéuticas para su uso en dermatología; preparaciones farmacéuticas para su uso en urología; preparaciones farmacéuticos para uso oftalmológico; preparaciones farmacéuticos para la prevención y el tratamiento del cáncer y los tumores; preparaciones farmacéuticas para la prevención y el tratamiento de alergias; preparaciones farmacéuticos para la prevención y el tratamiento de enfermedades óseas; preparaciones farmacéuticos para la prevención y el tratamiento de enfermedades respiratorias y el asma.</t>
  </si>
  <si>
    <t>EFECTO MARIPOSA -TIENDA ECOLÓGICA-</t>
  </si>
  <si>
    <t>Registro marca efecto mariposa</t>
  </si>
  <si>
    <t>YURANY MARCELA PACHON SOACHA, Lote #1 Vereda La trinidad, FUSAGASUGA, CUNDINAMARCA, CO; CAMILA ANDREA ORTIZ APOLINAR, Calle 21A # 10-11 barrio nuevo Balmoral, FUSAGASUGA, CUNDINAMARCA, CO</t>
  </si>
  <si>
    <t>4, 5, 22</t>
  </si>
  <si>
    <t>4. Velas perfumadas de aromaterapia; velas perfumadas; velas para árboles de Navidad; velas de soja para aromaterapia; velas de soja perfumadas.
5. Almohadillas de lactancia reutilizables; ambientadores [desodorantes] para coches; ambientadores [desodorantes] para el hogar; champús insecticidas para animales; champús medicinales anticaspa; champús medicinales para animales de compañía; desodorantes para calzado; desodorantes para cuartos de baño; desodorantes para prendas de vestir; desodorantes para textiles; enjuagues bucales antisépticos; enjuagues bucales para uso veterinario; lociones medicinales contra la dermatitis del pañal; lociones y cremas medicinales para el cuerpo, piel, cara y manos; polvos antipulgas para animales; polvos medicinales para bebés; polvos medicinales para el cuerpo; polvos medicinales para los pies; pomadas labiales medicinales; pomadas para uso médico; tapetes de papel para cambiar pañales; tónicos medicinales para la piel; jabones y detergentes medicinales y desinfectantes; jabones medicinales; jabones desinfectantes perfumados; jabones desinfectantes; champús medicinales; champús en seco medicinales; insecticidas; toallas sanitarias; pañales de tela.
22. Bolsas de tela multiusos.</t>
  </si>
  <si>
    <t>08 sept. 2023</t>
  </si>
  <si>
    <t>Dermopet</t>
  </si>
  <si>
    <t>Nicolas  Garrido Achury, Cra 21 #70A-39, BOGOTÁ, D.C., CO</t>
  </si>
  <si>
    <t>Iliren</t>
  </si>
  <si>
    <t>Chichican</t>
  </si>
  <si>
    <t>SUMMIT AGRO</t>
  </si>
  <si>
    <t>07 sept. 2022</t>
  </si>
  <si>
    <t>SUMMIT 2022</t>
  </si>
  <si>
    <t>SUMMIT AGRO COLOMBIA S.A.S., CARRERA 7 # 127-48, OFICINA 808, BOGOTÁ, D.C., CO</t>
  </si>
  <si>
    <t>1, 2, 5, 17, 29, 31, 35, 39</t>
  </si>
  <si>
    <t>1. Productos químicos para uso industrial; productos químicos para uso agrícola, hortícola y forestal, excepto fungicidas, herbicidas, insecticidas y parasiticidas; productos químicos para uso hortícola, excepto fungicidas, herbicidas, insecticidas y parasiticidas; productos químicos para la silvicultura, excepto fungicidas, herbicidas, insecticidas y parasiticidas; aditivos químicos para insecticidas; aditivos químicos para fungicidas; feromonas, que no sean para uso médico; reguladores de crecimiento vegetal para uso agrícola; reguladores del crecimiento vegetal para uso agrícola; fertilizantes.
2. Resinas naturales en bruto.
5. Preparaciones farmacéuticas; preparaciones veterinarias; antiparasitarios; adyuvantes para uso médico; preparaciones químicas de uso sanitario; insecticidas; germicidas; fungicidas; repelentes de insectos; herbicidas; antisépticos; suplementos dietéticos; pañales para animales de compañía.
17. Resinas sintéticas semielaboradas para la fabricación de micropartículas destinadas a la industria agroindustrial; resinas sintéticas semielaboradas para la fabricación de nanopartículas destinadas a la industria agroindustrial.
29. Productos agrícolas, acuícolas, hortícolas y silvícolas procesados.
31. Productos agrícolas; productos agrícolas, acuícolas, hortícolas y forestales en bruto y sin procesar; granos y semillas en bruto o sin procesar; productos alimenticios y bebidas para animales.
35. Servicios de oficina; trabajos de oficina.
39. Almacenamiento de productos agrícolas.</t>
  </si>
  <si>
    <t>VIVIAN ANDREA BOHORQUEZ TORRES, Carrera 20 No. 134 - 38, BOGOTA, CUNDINAMARCA, CO</t>
  </si>
  <si>
    <t>ACTELTO</t>
  </si>
  <si>
    <t>ACTIFARMA S.A., CL 147 19 50 OF 39, BOGOTÁ, D.C., CO</t>
  </si>
  <si>
    <t>5. PRODUCTOS FARMACEUTICOS; PREPARACIONES PARA USO MEDICO; PRODUCTOS HIGIENICOS Y SANITARIOS PARA USO MEDICO; MEDICAMENTOS PARA USO MEDICO; PASTILLAS PARA USO FARMACEUTICO; PREPARACIONES FARMACEUTICAS; PREPARACIONES QUIMICAS PARA USO FARMACEUTICO; PREPARACIONES QUIMICAS PARA USO MEDICO; PREPARACIONES QUIMICO - FARMACEUTICAS; MEDICAMENTO DE USO HUMANO PARA LA PREVENCION DEL ACCIDENTE CEREBRO VASCULAR Y DE EMBOLISMO SISTEMICO EN PACIENTES CON FIBRILACION AURICULAR NO VALVULAR CON FACTORES DE RIESGO EN EL TRATAMIENTO DEL TROMBOEMBOLISMO VENOSO PROFUNDO Y EN LA PREVENCION DEL TROMBOEMBOLISMO VENOSO PROFUNDO RECURRENTE Y EN EMBOLISMO PULMONAR; MEDICAMENTO DE USO HUMANO EN LA PREVENCIÓN DE LA TROMBOEMBOLIA VENOSA EN PACIENTES SOMETIDOS A UNA INTERVENCION QUIRURGICA ORTOPEDICA MAYOR DE LAS EXTREMIDADES INFERIORES.</t>
  </si>
  <si>
    <t>SUMMIT SIN LOGO</t>
  </si>
  <si>
    <t>1. Productos químicos para uso industrial; productos químicos para uso agrícola, excepto fungicidas, herbicidas, insecticidas y parasiticidas; productos químicos para uso hortícola, excepto fungicidas, herbicidas, insecticidas y parasiticidas; productos químicos para la silvicultura, excepto fungicidas, herbicidas, insecticidas y parasiticidas; aditivos químicos para insecticidas; feromonas, que no sean para uso médico; reguladores de crecimiento vegetal para uso agrícola; fertilizantes; productos químicos para uso agrícola, hortícola y forestal, excepto fungicidas, herbicidas, insecticidas y parasiticidas; aditivos químicos para fungicidas.
2. Resinas naturales en bruto.
5. Preparaciones farmacéuticas; preparaciones veterinarias; antiparasitarios; adyuvantes para uso médico; preparaciones químicas de uso sanitario; insecticidas; germicidas; fungicidas; repelentes de insectos; herbicidas; antisépticos; suplementos dietéticos; pañales para animales de compañía.
17. Resinas sintéticas semielaboradas para la fabricación de micropartículas destinadas a la industria agroindustrial; resinas sintéticas semielaboradas para la fabricación de nanopartículas destinadas a la industria agroindustrial.
29. Productos agrícolas, acuícolas, hortícolas y silvícolas procesados.
31. Productos agrícolas; productos agrícolas, acuícolas, hortícolas y forestales en bruto y sin procesar; productos agrícolas, acuícolas, hortícolas y forestales en bruto; productos agrícolas, acuícolas, hortícolas y forestales sin procesar; productos agrícolas, acuícolas, hortícolas y silvícolas en bruto; productos agrícolas, acuícolas, hortícolas y silvícolas en bruto y sin procesar; productos agrícolas, acuícolas, hortícolas y silvícolas sin procesar; granos y semillas en bruto o sin procesar; productos alimenticios y bebidas para animales.
35. Servicios de oficina; trabajos de oficina.
39. Almacenamiento de productos agrícolas.</t>
  </si>
  <si>
    <t>CLARIXA</t>
  </si>
  <si>
    <t>5. PRODUCTOS FARMACEUTICOS; PREPARACIONES PARA USO MEDICO; MEDICAMENTOS PARA LA PREVENCION Y EL TRATAMIENTO DE INFECCIONES; MEDICAMENTOS ANTIBIOTICOS; MEDICAMENTOS ANTIVIRALES; MEDICAMENTOS PARA USO MEDICO; PASTILLAS PARA USO FARMACEUTICO; PREPARACIONES BACTERIANAS PARA USO MEDICO; PREPARACIONES BIOLOGICAS PARA USO MEDICO; PREPARACIONES DE MICROORGANISMOS PARA USO MEDICO; PREPARACIONES FARMACEUTICAS; PREPARACIONES QUIMICAS PARA USO FARMACEUTICO; PREPARACIONES QUIMICAS PARA USO MEDICO; PREPARACIONES QUIMICO - FARMACEUTICAS; PRODUCTOS PARA ELIMINAR PARASITOS; REMEDIOS PARA USO MEDICO; PREPARACIONES FARMACEUTICAS EN PRESENTACION DE JERINGAS PARA EL TRATAMIENTO DE ENFERMEDADES; MEDICAMENTO DE USO HUMANO PARA EL TRATAMIENTO DE INFECCIONES DEBIDAS A ORGANISMOS SUSCEPTIBLES; MEDICAMENTO DE USO HUMANO PARA EL TRATAMIENTO DE INFECCIONES DEL TRACTO RESPIRATORIO INFERIOR; MEDICAMENTO DE USO HUMANO PARA EL TRATAMIENTO DE LA BRONQUITIS; MEDICAMENTO DE USO HUMANO PARA EL TRATAMIENTO DE LA NEUMONIA; MEDICAMENTO DE USO HUMANO PARA EL TRATAMIENTO DE INFECCIONES DEL TRACTO RESPIRATORIO SUPERIOR; MEDICAMENTO DE USO HUMANO PARA EL TRATAMIENTO DE LA FARINGUITIS; MEDICAMENTO DE USO HUMANO PARA EL TRATAMIENTO DE LA SINUSITIS; MEDICAMENTO DE USO HUMANO PARA EL TRATAMIENTO DE LA FOLICULITIS; MEDICAMENTO DE USO HUMANO PARA EL TRATAMIENTO DE LA CELULITIS; MEDICAMENTO DE USO HUMANO PARA EL TRATAMIENTO DE LA ERISIPELA; MEDICAMENTO DE USO HUMANO PARA EL TRATAMIENTO DE LAS INFECCIONES MICROBACTERIANAS DESEMINADAS O LOCALIZADAS DEBIDAS A MICOBACTERIUM AVIUM O MICOBACTERIUMINTRECELLULARE; MEDICAMENTO DE USO HUMANO PARA EL TRATAMIENTO DE INFECCIONES LOCALIZADAS DEBIDAS A MYCOBACTERIUM CHELONAE O MYCOBACTERIUM FORTUITUM O MYCOBACTERIUM KANSAII.</t>
  </si>
  <si>
    <t>ADBIOTICS</t>
  </si>
  <si>
    <t>08 sept. 2022</t>
  </si>
  <si>
    <t>5. Alimentos y suplementos alimenticios sin gluten, todos adecuados a fines médicos; antioxidantes utilizados como suplementos alimenticios; bacterias probióticas [suplementos alimenticios]; bacterias probióticas en cuanto suplementos alimenticios; bebidas de leche malteada en cuanto suplementos alimenticios para bebés; bebidas de leche malteada en cuanto suplementos alimenticios para minusválidos; bebidas nutricionales en cuanto suplementos alimenticios;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proteínas de suero de leche [suplementos alimenticios]; proteínas de suero de leche en cuanto suplementos alimenticios; suplementos alimenticios;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probióticos.</t>
  </si>
  <si>
    <t>IMPROMUNEMX</t>
  </si>
  <si>
    <t>M19788</t>
  </si>
  <si>
    <t>BIOIBERICA, S.A.U., c. Antic Camí de Tordera, 109-119, PALAFOLLS, BARCELONA 08389 , ES</t>
  </si>
  <si>
    <t>5. Preparaciones para uso veterinario; complementos nutricionales y sustancias dietéticas para uso veterinario; medicamentos para uso veterinario.</t>
  </si>
  <si>
    <t>Ansugeld</t>
  </si>
  <si>
    <t>5. Cremas medicamentosas para la piel.</t>
  </si>
  <si>
    <t>08 may. 2023</t>
  </si>
  <si>
    <t>3iMarketing ¡NOPiK!</t>
  </si>
  <si>
    <t>13 sept. 2022</t>
  </si>
  <si>
    <t>nopik</t>
  </si>
  <si>
    <t>andres felipe  gomez sanchez, cr2 #44-27 bis , IBAGUE, TOLIMA 730001, CO</t>
  </si>
  <si>
    <t>NUTRIDELI MIX</t>
  </si>
  <si>
    <t>NATURLAB S.A.S., Carrera 72 J Bis 36 54 Sur, BOGOTÁ, D.C., CO</t>
  </si>
  <si>
    <t>5. Suplementos nutricionales complementos nutricionales; complementos vitamínicos; complementos alimenticios de vitaminas y minerales; bebidas utilizadas como complementos dietéticos; mezclas para bebidas utilizadas como sustitutos de las comidas y complementos dietéticos para uso médico, bebida nutricional en polvo con proteína, omega, fibra, vitaminas y minerales; alimento nutricional en polvo con proteína, omega, fibra, vitaminas y minerales; mezcla nutricional en polvo con proteína, omega, fibra, vitaminas y minerales; mezcla en polvo con proteína, omega, fibra, vitaminas y minerales para preparar bebida.</t>
  </si>
  <si>
    <t>Karen Milena Valencia Sanchez, Diagonal 53 C No. 24 - 10 Oficina 304, BOGOTÁ, D.C., CO</t>
  </si>
  <si>
    <t>TIOMIDOL</t>
  </si>
  <si>
    <t>ANGLO PHARMA  S.A., CRA 24 NO.76-35, BOGOTÁ, D.C., CO</t>
  </si>
  <si>
    <t>LUIS EMIRO GONZALEZ CAMACHO, CARRERA 37 N 25-52, BOGOTÁ, D.C., CO</t>
  </si>
  <si>
    <t>UNIFEMME NOVADOXINA</t>
  </si>
  <si>
    <t>M025740</t>
  </si>
  <si>
    <t>5. Productos farmacéuticos para uso humano para el tratamiento del hipotiroidismo.</t>
  </si>
  <si>
    <t>UNIFEMME PROBANOVA</t>
  </si>
  <si>
    <t>M025741</t>
  </si>
  <si>
    <t>5. Productos farmacéuticos para uso humano, a saber, hormonas para uso médico, terapia hormonal.</t>
  </si>
  <si>
    <t>M MUSSA</t>
  </si>
  <si>
    <t>daniela ines bracho omaña, diagonal 10 N 22 bis 163, VALLEDUPAR, CESAR, CO</t>
  </si>
  <si>
    <t>3, 5, 35, 44</t>
  </si>
  <si>
    <t>3. Bálsamos [cremas] para disimular las imperfecciones de la piel; cosméticos en forma de cremas;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noche; cremas de protección capilar, no medicinales; cremas de protección para el cabello; cremas de protección para el cabello, no medicinales; cremas de pureza; cremas depilatorias; cremas desmaquillantes; cremas emolientes reparadoras para el cuidado diario de la piel; cremas evanescentes; cremas exfoliantes; cremas exfoliantes para uso cosmético; cremas faciales; cremas faciales para uso cosmético; cremas hidratantes para la piel [cosméticos]; cremas limpiadoras; cremas limpiadoras [cosméticos]; cremas limpiadoras [productos cosméticos]; cremas limpiadoras no medicadas para uso personal; cremas limpiadoras para la piel; cremas limpiadoras para uso cosmético; cremas multiactivas para el contorno de los ojos;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orgánicas de estiramiento facial; cremas para aclarar la piel; cremas para atenuar las manchas de la vejez de uso cosmético; cremas para cutículas; cremas para dar firmeza al cuerpo; cremas para después de afeitar (no medicinales); cremas para el cabello; cremas para el cabello de uso cosmético; cremas para el cabello para uso cosmético; cremas para el cuerpo cosméticas; cremas para el cuidado de la piel que no sean de uso médico; cremas para el cuidado de la piel que no sean para uso médico;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las manos; cremas para las uñas; cremas para los labios; cremas para los labios de uso cosmético; cremas para los ojos; cremas para los ojos de uso cosmético; cremas perfumadas; cremas perfumadas para uso cosmético; cremas regeneradoras; cremas reparadoras para contornos de ojos; cremas reparadoras para la piel [cosméticos]; cremas solares para bebés.
5. Cremas labiales medicamentosas; cremas labiales medicinales.
35. Servicios de publicidad online.
44. Servicios médicos; servicios veterinarios; tratamientos de higiene y de belleza para personas o animales; servicios de agricultura, horticultura y silvicultura.</t>
  </si>
  <si>
    <t>PROGLYGOR</t>
  </si>
  <si>
    <t>14 sept. 2022</t>
  </si>
  <si>
    <t>0722</t>
  </si>
  <si>
    <t>GORAM LABORATORIOS S.A.S, CALLE 101 # 70-38, BOGOTÁ, D.C., CO</t>
  </si>
  <si>
    <t>FEDERICO GOMEZ ROSERO, calle 101 #70B-44, BOGOTÁ, D.C., CO</t>
  </si>
  <si>
    <t>YOU’RE NATURAL</t>
  </si>
  <si>
    <t>S - SD - YOU'RE NATURAL (N)</t>
  </si>
  <si>
    <t>YULIANA MARIA TORRE GELVIZ, Avenida 40 # 16B - 159 Local 54 CC Villacentro, VILLAVICENCIO, META, CO</t>
  </si>
  <si>
    <t>5. Productos farmacéuticos, preparaciones para uso médico y veterinario; productos higiénicos y sanitarios para uso médico; alimentos y sustancias dietéticas para uso médico o veterinario, alimentos para bebés; complementos alimenticios, suplementos alimenticios.</t>
  </si>
  <si>
    <t>EKOSEPSIA</t>
  </si>
  <si>
    <t>16 sept. 2022</t>
  </si>
  <si>
    <t>COLO-26178-701-002-2</t>
  </si>
  <si>
    <t>SOSTELI GROUP S.A.S., FINCA EL SAUZAL, VEREDA LOS SALADOS, EL RETIRO, ANTIOQUIA, CO</t>
  </si>
  <si>
    <t>5. Desinfectantes industriales excluyendo expresamente los desinfectantes para uso higiénico y los jabones desinfectantes.</t>
  </si>
  <si>
    <t>VITALDIN</t>
  </si>
  <si>
    <t>19 sept. 2022</t>
  </si>
  <si>
    <t>Vitaldin</t>
  </si>
  <si>
    <t>5. Productos farmacéuticos. Preparaciones farmacéuticas. Medicamentos . Suplementos dietarios. Suplementos nutricionales / complementos nutricionales. Alimentos y sustancias dietéticas. Aminoácidos para uso médico. Suplementos alimenticios a base de aminoácidos / complementos alimenticios a base de aminoácidos. Suplementos alimenticios para personas. Alimentos dietéticos para uso médico. Alimentos para bebés. Sustancias dietéticas para uso médico. Preparaciones alimenticias. Preparaciones de vitaminas. Preparaciones nutracéuticas para uso terapéutico o médico. Preparaciones de oligoelementos para el consumo. Preparaciones enzimáticas para uso médico. Harinas para uso farmacéutico. Suplementos alimenticios a base de linaza / complementos alimenticios a base de linaza. Suplementos alimenticios a base de albúmina / complementos alimenticios a base de albúmina. Suplementos alimenticios a base de alginatos / complementos alimenticios a base de alginatos. Suplementos alimenticios a base de caseína / complementos alimenticios a base de caseína. Suplementos alimenticios a base de enzimas / complementos alimenticios a base de enzimas. Suplementos alimenticios a base de germen de trigo / complementos alimenticios a base de germen de trigo. Suplementos alimenticios a base de glucosa / complementos alimenticios a base de glucosa. Suplementos alimenticios a base de jalea real / complementos alimenticios a base de jalea real. Suplementos alimenticios a base de lecitina / complementos alimenticios a base de lecitina. Suplementos alimenticios a base de levadura / complementos alimenticios a base de levadura. Suplementos alimenticios a base de polen / complementos alimenticios a base de polen. Suplementos alimenticios a base de propóleos / complementos alimenticios a base de propóleos. Suplementos alimenticios a base de proteínas / complementos alimenticios a base de proteínas. Suplementos alimenticios a base de acai en polvo / complementos alimenticios a base de acai en polvo. Suplementos alimenticios con efecto cosmético / complementos alimenticios con efecto cosmético. Suplementos alimenticios de levadura de cerveza / complementos alimenticios de levadura de cerveza. Suplementos alimenticios de proteína de suero de leche / complementos alimenticios de proteína de suero de leche. Suplementos alimenticios minerales / complementos alimenticios minerales.
30. Café, té, cacao y sus sucedáneos; arroz, pastas alimenticias y fideos; tapioca y sagú; harinas y preparaciones a base de cereales; pan, productos de pastelería y confitería; chocolate; helados cremosos, sorbetes y otros helados; azúcar, miel, jarabe de melaza; levadura, polvos de hornear; sal, productos para sazonar, especias, hierbas en conserva; vinagre, salsas y otros condimentos; hielo. Preparaciones a base de cereales. Alimentos a base de avena. Barritas de cereales ricas en proteínas. Barras de cereales. Alimento en polvo a base de proteína aislada de soya con otros ingredientes. Alimento en polvo a base de cereales. Alimento en polvo a base de maltodextrina con otros ingredientes. Alimento en polvo a base de quinoa con otros ingredientes. Alimento en polvo a base cereales con otros ingredientes.</t>
  </si>
  <si>
    <t>MAMA-LINA</t>
  </si>
  <si>
    <t>Mama.lina</t>
  </si>
  <si>
    <t>3. Cosméticos; cosméticos no medicinales; jabones cosméticos; jabones de tocador no medicinales; jabones no medicinales; preparaciones de higiene en cuanto productos de tocador; lociones capilares no medicinales; productos de perfumería, aceites esenciales; dentífricos no medicinales.
5. Productos farmacéuticos. preparaciones farmacéuticas. Medicamentos . Suplementos nutricionales / complementos nutricionales. Alimentos y sustancias dietéticas. Suplementos alimenticios para personas. Suplementos dietarios. Alimentos dietéticos para uso médico. Alimentos para bebés. Sustancias dietéticas para uso médico. Preparaciones alimenticias. Preparaciones de vitaminas. Preparaciones nutracéuticas para uso terapéutico o médico.</t>
  </si>
  <si>
    <t>Vecheck</t>
  </si>
  <si>
    <t>M19799</t>
  </si>
  <si>
    <t>BIONOTE, INC., 22, Samsung 1-ro 4-gil, HWASEONG-SI, GYEONGGI-DO, KR</t>
  </si>
  <si>
    <t>5. Preparaciones para pruebas de embarazo de uso doméstico; reparaciones para diagnosticar tuberculosis; vacunas para uso veterinario; reactivos de diagnóstico para enfermedades de inmunización; vacunas; adyuvantes para vacunas; caldos de cultivo para uso bacteriológico; preparaciones y sustancias veterinarias; reactivos para pruebas genéticas veterinarias; anticuerpos para uso veterinario; reactivos químicos para uso veterinario; preparaciones farmacéuticas y veterinarias; reactivos para uso médico; reactivos de diagnóstico para uso médico o veterinario; preparaciones biológicas para uso médico o veterinario; fermentos para uso médico o veterinario; reactivos y medios para diagnóstico médico y veterinario; drogas para uso médico; reactivos para diagnóstico clínico.</t>
  </si>
  <si>
    <t>ZYKADIA</t>
  </si>
  <si>
    <t>5. Preparaciones farmacéuticas para uso en oncología y hematología.</t>
  </si>
  <si>
    <t>BASIC FOODING MILKO</t>
  </si>
  <si>
    <t>21 sept. 2022</t>
  </si>
  <si>
    <t>Juan Esteban Caviedes, CARRERA 15 #7N-11, ARMENIA, QUINDIO 63000, CO</t>
  </si>
  <si>
    <t>5, 30, 31, 32</t>
  </si>
  <si>
    <t>5. Complementos alimenticios en polvo a base de proteinas; suplementos alimenticios en polvo a base de proteinas; suplementos alimenticios en polvo a base de proteinas.
30. Alimentos para picar a base de granola; barritas a base de granola; barritas de cereales probióticos a base de granola; barritas de granola; granola; almendras recubiertas de chocolate; barras de chocolate; bebidas a base de chocolate que contienen leche; frutos secos recubiertos de chocolate; helados cremosos no lácteos; helados no lácteos; harina de frutos secos; pastas para untar a base de chocolate con frutos secos; salsas que contienen frutos secos; galletas [bizcochos]; galletas [panecillos]; galletas con pepitas de chocolate; galletas de almendras; galletas de arroz; galletas de avena; galletas de cereales; galletas de frutas; galletas saladas (crackers) de yuca; galletas saladas (crackers) sin gluten; galletas sin gluten; bases de empanadas; empanadas; empanadas de camarones; empanadas de carne; empanadas de cerdo; empanadas de pollo; masa para panqueque; pan de ajo; pan de arroz; pan de avena; pan de frutas; pan de hierbas; pan de jengibre; pan de quinua; pan integral; pan sin gluten; panecillos sin gluten; tostones [pan frito]; wraps de pan; aromatizantes de coco para alimentos o bebidas, que no sean aceites esenciales; aromatizantes de coco, que no sean aceites esenciales, para alimentos o bebidas; harina de coco para la alimentación humana; rocas de coco; almendras bañadas en chocolate; pasta de almendras; productos de confitería a base de almendras; productos de pastelería a base de almendras; bizcochos de chocolate y nueces; galletas de nueces de pecán; cápsulas con infusiones de hierbas; infusiones de hierbas; infusiones de hierbas que no sean para uso médico; preparaciones aromáticas para infusiones no medicinales; té para infusiones.
31. Frutas, verduras, hortalizas y legumbres, frutos secos y semillas en cuanto productos frescos y sin procesar; frutas, verduras, hortalizas y legumbres, frutos secos y semillas frescas y sin procesar; frutos secos no procesados; frutos secos sin procesar; legumbres y frutos secos preparado para la alimentación animal; galletas para animales; cocos; cocos frescos; almendras [frutos]; pistachos frescos; nueces de brasil frescas; nueces frescas; pescado, marisco y moluscos frescos.
32. Agua de coco; agua de coco [bebidas]; bebidas a base de coco; bebidas de agua de coco; jugo de coco; zumo de coco; zumo de coco [bebidas].</t>
  </si>
  <si>
    <t>IMGRAFT BONE GRAFT.</t>
  </si>
  <si>
    <t>Santiago Rojas Benavides, Calle 134D 46-36, BOGOTÁ, D.C. 111111, CO</t>
  </si>
  <si>
    <t>5. Implantes biodegradables para uso en la regeneración tisular guiada; implantes biológicos formados por tejidos conjuntivos humanos o animales; implantes quirúrgicos compuestos de tejidos vivos; materiales de implantes dentales.
10. Apoyos de implantes para uso dental; implantes [prótesis] para cirugía dental; implantes [prótesis] para cirugía ósea; implantes [prótesis] para uso en cirugía de mandíbula; implantes [prótesis] para uso en cirugía facial; implantes [prótesis] para uso en cirugía maxilar; implantes [prótesis] para uso en cirugía oral; implantes [prótesis] para uso en el cuerpo; implantes [prótesis] para uso en odontología; implantes protésicos; implantes quirúrgicos compuestos de materiales artificiales para uso en la regeneración tisular guiada.</t>
  </si>
  <si>
    <t>27 mar. 2023</t>
  </si>
  <si>
    <t>9R LAVETEC</t>
  </si>
  <si>
    <t>LAVETEC CIA. LTDA., Avenida Manuel Córdova Galarza Km20, vía a CALACALÍ – PICHINCHA, QUITO, QUITO, EC</t>
  </si>
  <si>
    <t>5. PREPARACIONES BIOLÓGICAS PARA USO VETERINARIO Y VACUNAS PARA LA AVICULTURA.</t>
  </si>
  <si>
    <t>EDUARDO CORTES MARTINEZ, AVENIDA JIMENEZ No. 9-43 OFC 315, BOGOTÁ, D.C., CO</t>
  </si>
  <si>
    <t>LAVETEC APOYANDO TU INVERSIÓN</t>
  </si>
  <si>
    <t>5. PRODUCTOS FARMACÉUTICOS, PREPARACIONES PARA USO MÉDICO Y VETERINARIO; PRODUCTOS HIGIÉNICOS Y SANITARIOS PARA USO MÉDICO; ALIMENTOS Y SUSTANCIAS DIETÉTICAS PARA USO MÉDICO VETERINARIO, SUPLEMENTOS ALIMENTICIOS PARA ANIMALES; EMPLASTOS, MATERIAL PARA APÓSITOS; MATERIAL PARA EMPASTES E IMPRESIONES DENTALES; DESINFECTANTES; PRODUCTOS PARA ELIMINAR ANIMALES DAÑINOS; FUNGICIDAS, HERBICIDAS. PREPARACIONES BIOLÓGICAS Y VACUNAS PARA USO VETERINARIO. HORMONAS, TÓNICOS RECONSTITUYENTES, ANTIBIÓTICOS, ANTINFLAMATORIOS, DESPARASITANTES INTERNOS Y EXTERNOS, MULTIVITAMÍNICOS, SUEROS, ANESTESICOS.</t>
  </si>
  <si>
    <t>SANNOS</t>
  </si>
  <si>
    <t>Marca SANNOS (Nominativa), clases 5 y 30</t>
  </si>
  <si>
    <t>SUPLEMENTOS ALIMENTICIOS DE COLOMBIA S.A.S, CALLE 80 sur # 47D 163 Bodega 1, ITAGUI, ANTIOQUIA, CO</t>
  </si>
  <si>
    <t>5. Alimentos y sustancias dietéticas para uso médico o veterinario, alimentos para bebés; suplementos alimenticios para personas o animales.
30. Edulcorantes naturales; Harinas y preparaciones a base de cereales; azúcar; miel; jarabe de melaza; Alimentos enriquecidos comprendidos en esta clase.</t>
  </si>
  <si>
    <t>VITA SANNA</t>
  </si>
  <si>
    <t>Marca VITA SANNA (Nominativa), clases 5 y 30</t>
  </si>
  <si>
    <t>5. Alimentos y sustancias dietéticas para uso médico o veterinario, alimentos para bebés; suplementos alimenticios para personas o animales.
30. Edulcorantes naturales. Harinas y preparaciones a base de cereales; azúcar, miel, jarabe de melaza; alimentos enriquecidos comprendidos en esta clase.</t>
  </si>
  <si>
    <t>ELYVERSE By Ely Rodas</t>
  </si>
  <si>
    <t>22 sept. 2022</t>
  </si>
  <si>
    <t>SOCIEDAD DERMALUXXOR SAS, QUINTA AVE # 6A-19 OF 206 CENTRO MEDICO BOCAGRANDE BARRIO BOCAGRANDE, CARTAGENA, BOLIVAR, CO</t>
  </si>
  <si>
    <t>3, 5, 25</t>
  </si>
  <si>
    <t>3. Cosméticos.
5. Suplementos alimenticios; suplementos dietéticos.
25. Ropa de deporte; ropa de mujer; ropa informal; ropa interior; ropa interior de mujer; ropa interior femenina; ropa*.</t>
  </si>
  <si>
    <t>WILMAR DE JESUS POLO VEGA,  QUINTA AVENIDA AV 6 A 19 OF 206, CARTAGENA, BOLIVAR, CO</t>
  </si>
  <si>
    <t>TIOBAC</t>
  </si>
  <si>
    <t>VICAR FARMACEUTICA S.A., Calle 17A No 68-82, BOGOTÁ, D.C., CO</t>
  </si>
  <si>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</si>
  <si>
    <t>NUTRADOSE WELLNESS</t>
  </si>
  <si>
    <t>COLO-27418-701-001-3</t>
  </si>
  <si>
    <t>NUTRADOSE LABS LLC, 3811 NW 2ND Av, , MIAMI, FLORIDA 33127, US</t>
  </si>
  <si>
    <t>5. Productos Nutraceúticos.</t>
  </si>
  <si>
    <t>TRIBIOL - Th05</t>
  </si>
  <si>
    <t>27 sept. 2022</t>
  </si>
  <si>
    <t>LABORATORIO PRODUCCIÓN DE ENTOMOPATÓGENOS BIOPROTECCION S.A.S., Zona Industrial Juanchito Terraza 10 Bodega 3, MANIZALES, CALDAS, CO</t>
  </si>
  <si>
    <t>5. PRODUCTOS PARA ELIMINAR ANIMALES DAÑINOS; INSECTICIDAS BIOLÓGICOS, FUNGICIDAS BIOLÓGICOS Y HERBICIDAS BIOLÓGICOS PARA USO AGRÍCOLA.</t>
  </si>
  <si>
    <t>BIO - MA - Ma01</t>
  </si>
  <si>
    <t>BIOBACT - COMPLEX</t>
  </si>
  <si>
    <t>AMOX C BZ</t>
  </si>
  <si>
    <t>23 sept. 2022</t>
  </si>
  <si>
    <t>Solicitud de marca AMOX C</t>
  </si>
  <si>
    <t>BIO ZOO S.A. DE C.V., CARRETERA A SANTA ANA TEPETITLAN 2200, COL. SANTA ANA TEPETITLAN , ZAPOPAN, JALISCO C.P. 45230, MX</t>
  </si>
  <si>
    <t>5. Producto farmacéutico de uso veterinario indicado en perros y gatos para el tratamiento de infecciones de piel y tejidos blandos tales como heridas, celulitis y pioderma superficial juvenil y profundo; causadas por cepas susceptibles de los siguientes organismos: Staphylococcus sp., Streptococcus sp., Escherichia coli y Pasteurella sp.</t>
  </si>
  <si>
    <t>16 ene. 2023</t>
  </si>
  <si>
    <t>COLO-27418-701-002-1</t>
  </si>
  <si>
    <t>HIDRALYTE MAX</t>
  </si>
  <si>
    <t>5. PRODUCTOS FARMACEUTICOS.
32. AGUAS MINERALES Y OTRAS BEBIDAS NO ALCOHOLICAS, BEBIDAS Y ZUMOS DE FRUTAS, SIROPES Y OTRAS PREPARACIONES PARA HACER BEBIDAS, CERVEZAS.</t>
  </si>
  <si>
    <t>NANCY MILENA  SANDOVAL VALBUENA, Cra 40 No  29 a - 11 sur , BOGOTÁ, D.C., CO</t>
  </si>
  <si>
    <t>HIDRALYTE PLUSS</t>
  </si>
  <si>
    <t>JOSE ALONSO VANEGAS CUERVO, DIAGONAL 15 B SUR NO. 11 A 49 ESTE INTERIOR 2 APT 301, BOGOTÁ, D.C., CO</t>
  </si>
  <si>
    <t>DIANA ALEJANDRA  MORENO BEJARANO, Calle 64 # 9-05 Oficina 302, BOGOTÁ, D.C., CO</t>
  </si>
  <si>
    <t>HIDRALYTE</t>
  </si>
  <si>
    <t>5. PRODUCTOS FARMACEUTICOS.</t>
  </si>
  <si>
    <t>VICARPEN</t>
  </si>
  <si>
    <t>26 sept. 2022</t>
  </si>
  <si>
    <t>PET GOODIES</t>
  </si>
  <si>
    <t>LABORATORIOS SERVINSUMOS S.A, PARQUE INDUSTRIAL GRAN SABANA BODEGA M24, TOCANCIPA, CUNDINAMARCA, CO</t>
  </si>
  <si>
    <t>5. Complementos alimenticios para animales.</t>
  </si>
  <si>
    <t>Mariana Gutierrez, calle 11 sur No. 14c-422, CAJICA, CUNDINAMARCA 00000, CO</t>
  </si>
  <si>
    <t>RE´NOVO</t>
  </si>
  <si>
    <t>004</t>
  </si>
  <si>
    <t>5. Hidrolizados de proteína de suero de leche [complementos dietéticos]; hidrolizados de proteína de suero de leche [suplementos dietéticos]; hidrolizados de proteína de suero de leche en cuanto complementos dietéticos; hidrolizados de proteína de suero de leche en cuanto suplementos dietéticos; cápsulas de gelatina para productos farmacéuticos; cápsulas de gelatina vacías para productos farmacéuticos; ejiao [gelatina de cuero de asno] para uso en la medicina china; gelatina para uso médico; aislados de proteína de suero de leche [complementos dietéticos]; aislados de proteína de suero de leche [suplementos dietéticos]; aislados de proteína de suero de leche en cuanto complementos dietéticos; aislados de proteína de suero de leche en cuanto suplementos dietéticos; comementos de proteína de suero de leche;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complementos alimenticios en polvo a base de proteinas; suplementos alimenticios en polvo a base de proteinas.</t>
  </si>
  <si>
    <t>JUST LIKE ME</t>
  </si>
  <si>
    <t>SOLICITUD PR - JUST LIKE ME</t>
  </si>
  <si>
    <t>Pure Romance, LLC, 655 Plum Street, CINCINNATI, OHIO 45202, US</t>
  </si>
  <si>
    <t>5. Productos para el cuidado corporal, como, lubricantes tópicos para uso personal.</t>
  </si>
  <si>
    <t>ANDRES  MEJIA AGUIRRE, Carrera 32 No. 13 - 49, Edificio C13, Oficina 608 , MEDELLIN, ANTIOQUIA, CO</t>
  </si>
  <si>
    <t>XTREME BULL</t>
  </si>
  <si>
    <t>COMPANY INFINITY BULL S.A.S, AV 6 NORTE 29A 28, CALI, VALLE DEL CAUCA 760001, CO</t>
  </si>
  <si>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</si>
  <si>
    <t>CARLOS ARTURO CASTAÑEDA CIFUENTES, AV 6 # 29 A NORTE 28, CALI, VALLE DEL CAUCA, CO</t>
  </si>
  <si>
    <t>GOLD ELTO-RO</t>
  </si>
  <si>
    <t>ENERGY BULL</t>
  </si>
  <si>
    <t>GOLD ELPA-TRON</t>
  </si>
  <si>
    <t>NATURAL SUPPLY PROPOLI MIEL</t>
  </si>
  <si>
    <t>28 sept. 2022</t>
  </si>
  <si>
    <t>SD - PROPOLI MIEL</t>
  </si>
  <si>
    <t>DISMENAT S.A.S., Calle 50 No. 67 - 73 local 103 , MEDELLIN, ANTIOQUIA, CO</t>
  </si>
  <si>
    <t>YiARA</t>
  </si>
  <si>
    <t>YIARA</t>
  </si>
  <si>
    <t>Daniela  Duque Arias, Carrera 17 # 22 - 42, Lorena 4, Bloque 6, apto 4b, PEREIRA, RISARALDA, CO</t>
  </si>
  <si>
    <t>5. Medicamentos homeopáticos.</t>
  </si>
  <si>
    <t>Mi Amore</t>
  </si>
  <si>
    <t>INVERSIONES X  HOBBIES S.A.S., CL 45 53 50, MEDELLIN, ANTIOQUIA, CO</t>
  </si>
  <si>
    <t>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t>
  </si>
  <si>
    <t>MEDICARE</t>
  </si>
  <si>
    <t>Solicitud de registro marca MEDICARE (mixta) clase 5</t>
  </si>
  <si>
    <t>OPTION S.A., AUTOPISTA MEDELLIN, KM. 1 VIA SIBERIA, COTA, CUNDINAMARCA, CO</t>
  </si>
  <si>
    <t>5. Sedas dentales.</t>
  </si>
  <si>
    <t>MENPR0S®</t>
  </si>
  <si>
    <t>29 sept. 2022</t>
  </si>
  <si>
    <t>biomag</t>
  </si>
  <si>
    <t>Marco Antonio Gallego Trujillo, calle 98 #22-64, BOGOTÁ, D.C. 110111, CO</t>
  </si>
  <si>
    <t>5. Suplementos nutricionales líquidos; suplementos nutricionales y alimenticios; bebidas nutricionales en cuanto complementos alimenticios; bebidas nutricionales en cuanto suplementos alimenticios.</t>
  </si>
  <si>
    <t>UT BALANCE</t>
  </si>
  <si>
    <t>SUMIMASCOTAS SAS, CALLE 47N # 3F - 03, CALI, VALLE DEL CAUCA 760050, CO</t>
  </si>
  <si>
    <t>5. Complementos nutricionales para uso veterinario.</t>
  </si>
  <si>
    <t>JACQUELINE ROMERO CAICEDO, CALLE 47N 3F 03, BARRIO VIPASA, CALI, VALLE DEL CAUCA 760050, CO</t>
  </si>
  <si>
    <t>TEA CHECE</t>
  </si>
  <si>
    <t>David Alejandro  Romero Tunjano , Calle 33 #6 -09  Apto 501, BOGOTÁ, D.C. 110911, CO</t>
  </si>
  <si>
    <t>5. Cigarrillos de imitación para uso médico; cigarrillos de imitación utilizados como dispositivos de ayuda para parar de fumar; cigarrillos sin tabaco para uso médico; líquidos medicamentosos para cigarrillos electrónicos [e-liquid]; líquidos medicamentosos para cigarrillos electrónicos [e-liquid] que contienen vitaminas; líquidos medicinales para cigarrillos electrónicos; soluciones líquidas medicinales que contienen vitaminas, para los cigarrillos electrónicos; cannabis medicinal en forma de aceites para facilitar la administración de fármacos; cannabis medicinal en forma de tisanas; cannabis medicinal en forma de tisanas para uso medicinal; cannabis para uso médico.</t>
  </si>
  <si>
    <t>G-XIRECELL</t>
  </si>
  <si>
    <t>MN-2248-GXIR</t>
  </si>
  <si>
    <t>LABORATORIOS GUSING 100% PRODUCTOS NATURALES Y HOMEOPATICOS S.A.S., CARRERA 10 ESTE NO. 30-03 SAN MATEO, SOACHA, CUNDINAMARCA, CO</t>
  </si>
  <si>
    <t>5. Productos farmacéuticos, productos farmacéuticos homeopáticos, suplementos y complementos dietarios, nutricionales o alimenticios, todos para uso humano, en forma de gotas, ungüentos, jarabes, cápsulas, tabletas, polvos o suspensiones.</t>
  </si>
  <si>
    <t>LILIANA RODRIGUEZ ACOSTA, Cra. 72 C # 23-40, ofic.312, BOGOTÁ, D.C., CO</t>
  </si>
  <si>
    <t>ALFEN</t>
  </si>
  <si>
    <t>04 oct. 2022</t>
  </si>
  <si>
    <t>BD FARMA SAS, Carrera 49 91-28, BOGOTÁ, D.C. 111211, CO</t>
  </si>
  <si>
    <t>5. Medicamentos para uso humano.</t>
  </si>
  <si>
    <t>MIGUEL HERNANDO OSSA OROZCO, Cra 49 91-28, BOGOTÁ, D.C. 11001, CO</t>
  </si>
  <si>
    <t>NYBOL</t>
  </si>
  <si>
    <t>DIART</t>
  </si>
  <si>
    <t>HALCONES DE LA NUTRICIÓN</t>
  </si>
  <si>
    <t>05 oct. 2022</t>
  </si>
  <si>
    <t>HANPROTEIN COLOMBIA S.A.S., CARRERA 51 # 76 - 199, BARRANQUILLA, ATLÁNTICO, CO</t>
  </si>
  <si>
    <t>5. Complementos dietéticos; complementos dietéticos y nutricionales; complementos minerales nutricionales; complementos nutricionales; complementos nutricionales y alimenticios; mezclas de complementos nutricionales en polvo para bebidas; suplementos nutricionales líquidos; alimentos dietéticos para uso médico; complementos alimenticios a base de proteínas de soja; complementos alimenticios a base de proteínas.</t>
  </si>
  <si>
    <t>VOMDEP</t>
  </si>
  <si>
    <t>OCTUBRE-5-VOMDEP</t>
  </si>
  <si>
    <t>5. Drogas para uso médico; medicamentos; medicamentos y agentes terapéuticos; medicamentos para uso médico.</t>
  </si>
  <si>
    <t>DIALPEN</t>
  </si>
  <si>
    <t>GASTROVER</t>
  </si>
  <si>
    <t>06 oct. 2022</t>
  </si>
  <si>
    <t>DISTRIBUIDORA TIENDA NATURISTA CASA VERDE SAS, KM2 VIA CIRCASIA, ARMENIA, QUINDIO, CO</t>
  </si>
  <si>
    <t>PATRICIA LONDOÑO TRIANA, KM 2 VIA CIRCASIA, ARMENIA, QUINDIO, CO</t>
  </si>
  <si>
    <t>TILEY</t>
  </si>
  <si>
    <t>ABBOTT OPERATIONS URUGUAY S.R.L., ROUTE 8, KM 17,500, CELEBRA BUILDING, OFFICE 503, MONTEVIDEO, URUGUAY, MONTEVIDEO, MONTEVIDEO, UY</t>
  </si>
  <si>
    <t>5. Productos farmacéuticos y preparaciones médicas; preparaciones sanitarias para fines médicos; alimentos dietéticos y sustancias adaptadas para uso médico, suplementos dietéticos y nutricionales para humanos; preparaciones a base de vitaminas; emplastos, materiales para apósitos.</t>
  </si>
  <si>
    <t>YULIANA ANDREA SALAMANCA JARAMILLO , Carrera 50 no. 124- 46 apto 506, BOGOTÁ, D.C., CO</t>
  </si>
  <si>
    <t>CARILUM</t>
  </si>
  <si>
    <t>CALOSIA</t>
  </si>
  <si>
    <t>FOSFACYL</t>
  </si>
  <si>
    <t>250</t>
  </si>
  <si>
    <t>DVA DE COLOMBIA LTDA, Km 1,5 vía Chía-Cajicá Centro Empresarial Oxus Of 509  , CHIA, CUNDINAMARCA 11001, CO</t>
  </si>
  <si>
    <t>1. Fertilizantes.
5. Fungicidas, herbicidas.</t>
  </si>
  <si>
    <t>JOHN FERNANDO BAYONA MOLANO, CARRERA 38 A NO. 125 A - 25 OFICINA 102 INT. 3, BOGOTÁ, D.C., CO</t>
  </si>
  <si>
    <t>BRANGUS</t>
  </si>
  <si>
    <t>M025778</t>
  </si>
  <si>
    <t>Polaquimia S.A. de C.V., Azahares N° 26, Col. Santa Maria Insurgentes, Alcaldía Cuauhtémoc,, CIUDAD DE MEXICO, CIUDAD DE MEXICO  C.P. 06430, MX</t>
  </si>
  <si>
    <t>1. Productos químicos para la agricultura, la horticultura y la silvicultura.
5. Fungicidas, herbicidas, insecticidas, adyuvantes.</t>
  </si>
  <si>
    <t>DRIVER</t>
  </si>
  <si>
    <t>M025781</t>
  </si>
  <si>
    <t>MELOFOX</t>
  </si>
  <si>
    <t>TRIDEX FARMACEUTICA S.A.S., CARRERA 46 NO. 12 - 30, BOGOTÁ, D.C., CO</t>
  </si>
  <si>
    <t>CHAYANNE ELENA GARCES LEZAMA, CARRERA 46 # 12 30 , BOGOTÁ, D.C., CO</t>
  </si>
  <si>
    <t>CLO-B-ZOL</t>
  </si>
  <si>
    <t>VITAVER MAX</t>
  </si>
  <si>
    <t>FLUXIMEZ</t>
  </si>
  <si>
    <t>HISLAT F</t>
  </si>
  <si>
    <t>CLOZOL EX</t>
  </si>
  <si>
    <t>DIVERGEL</t>
  </si>
  <si>
    <t>Marca DIVERGEL (Nominativa), clase 5</t>
  </si>
  <si>
    <t>LABORATORIOS ECAR S.A., CARRERA 44 NO 27-50, MEDELLIN, ANTIOQUIA, CO</t>
  </si>
  <si>
    <t>AIVIC SKIN</t>
  </si>
  <si>
    <t>07 oct. 2022</t>
  </si>
  <si>
    <t>AIDA VICTORIA  MERLANO MANZANEDA, Calle 117 # 42b 74 torre 4 apto 102, BARRANQUILLA, ATLÁNTICO, CO</t>
  </si>
  <si>
    <t>EDWARD ANDRES  GUZMAN BARCELO, Calle 57 32-44, BARRANQUILLA, ATLÁNTICO, CO</t>
  </si>
  <si>
    <t>Natuvital</t>
  </si>
  <si>
    <t>20 oct. 2022</t>
  </si>
  <si>
    <t>NatuVital</t>
  </si>
  <si>
    <t>Cristian Leonardo  Antolinez Martinez, calle 8 14 55, PUERTO LOPEZ, META 502001, CO</t>
  </si>
  <si>
    <t>5. Antioxidantes [suplementos dietéticos]; antioxidantes utilizados como suplementos alimenticios; preparaciones y suplementos nutricionales para la salud; preparaciones y suplementos para la salud; suplementos alimenticios; suplementos alimenticios antioxidantes; suplementos alimenticios dietéticos en forma de cápsulas, que no sean para uso médico; suplementos alimenticios dietéticos y sustancias dietéticas para uso médico; suplementos alimenticios en polvo a base de proteínas vegetales; suplementos alimenticios para seres humanos; suplementos nutricionales y alimenticios; vitaminas, minerales y antioxidantes en cuanto suplementos nutricionales y dietéticos.</t>
  </si>
  <si>
    <t>31 jul. 2023</t>
  </si>
  <si>
    <t>Welife</t>
  </si>
  <si>
    <t>09 oct. 2022</t>
  </si>
  <si>
    <t>11306142280</t>
  </si>
  <si>
    <t>Stiven  Racines Bravo, calle 57 # 1b74 apt 501-2, CALI, VALLE DEL CAUCA 760032, CO</t>
  </si>
  <si>
    <t>5. Cremas medicamentosas para hidratar la piel; cremas medicamentosas para la hidratación de la piel; lociones y cremas medicamentosas para el cuerpo, piel, cara y manos; líquidos medicamentosos para cigarrillos electrónicos [e-liquid] que contienen vitaminas; medicamentos; medicamentos a base de hierbas; medicamentos de venta libre; medicamentos fitoterapéuticos para el consumano animal; medicamentos fitoterapéuticos para el consumo humano; medicamentos herbarios; medicamentos homeopáticos; medicamentos líquidos; medicamentos para el tratamiento de enfermedades cardiovasculares y cerebrovasculares; medicamentos para el tratamiento de enfermedades gastrointestinales; medicamentos para uso humano; medicamentos para uso veterinario; medicamentos sin prescripción médica; medicamentos sin receta; pomadas labiales medicamentosas; preparaciones medicamentosas para el cuidado de los labios.</t>
  </si>
  <si>
    <t>DOTERRA</t>
  </si>
  <si>
    <t>DHAKHAN S.A.S., Calle 5B # 141 156, CALI, VALLE DEL CAUCA 00000, CO</t>
  </si>
  <si>
    <t>15 ene. 2024</t>
  </si>
  <si>
    <t>NEWAGE</t>
  </si>
  <si>
    <t>PHARVET S.A.S., CRA 49C No. 91 - 31, BOGOTÁ, D.C., CO</t>
  </si>
  <si>
    <t>5. Productos farmacéuticos, preparaciones para uso médico y veterinario; productos higiénicos y sanitarios para uso médico o veterinario; alimentos y sustancias dietéticas para uso médico o veterinario, complementos alimenticios para personas o animales; preparaciones y sustancias veterinarias.</t>
  </si>
  <si>
    <t>EZAPRES</t>
  </si>
  <si>
    <t>14 oct. 2022</t>
  </si>
  <si>
    <t>Inventia Healthcare Limited, Unit 703 - 704, 7th Floor, Hubtown Solaris, N.S. Phadke Marg, Andheri (East) , MUMBAI, MAHARASHTRA 400069, IN</t>
  </si>
  <si>
    <t>5. Productos farmacéuticos, preparaciones para uso médico y veterinario; preparaciones sanitarias para uso médico; alimentos y sustancias dietéticas para uso médico o veterinario, alimentos para bebés; complementos alimenticios para personas o animales.</t>
  </si>
  <si>
    <t>ADRIANA PAOLA PEÑARANDA URBINA, Carrera 10A No. 121-48, Apto. 102, Edificio Pacandé, BOGOTÁ, D.C. 110111, CO</t>
  </si>
  <si>
    <t>ACEVIT</t>
  </si>
  <si>
    <t>DERKEN S.A.S., CALLE 84 # 42H - 13, BARRANQUILLA, ATLÁNTICO, CO</t>
  </si>
  <si>
    <t>5. Alimentos y suplementos alimenticios sin gluten, todos adecuados a fines médicos; suplementos alimenticios; parches de suplementos vitamínicos; suplementos vitamínicos líquidos; suplementos vitamínicos para productos alimenticios de consumo humano; fibra alimentaria como ingrediente para la fabricación de suplementos dietéticos; fibra alimentaria para facilitar la digestión; fibra alimenticia para tratar el estreñimiento; fibras alimentarias; aguas enriquecidas con vitaminas para uso médico; bebidas enriquecidas con vitaminas para uso médico; bebidas nutricionales enriquecidas con vitaminas para uso dietético; complementos alimenticios de vitaminas y minerales; complementos de vitaminas para productos alimenticios de consumo humano; complementos dietéticos de vitaminas; comprimidos de vitaminas; multivitaminas.</t>
  </si>
  <si>
    <t>SANDRA MARQUEZA FUENTES GONZALEZ, CL 84 No 42 H - 13, BARRANQUILLA, ATLÁNTICO, CO</t>
  </si>
  <si>
    <t>FEMMEVIT</t>
  </si>
  <si>
    <t>5. Alimentos y suplementos alimenticios sin gluten, todos adecuados a fines médicos; suplementos alimenticios; parches de suplementos vitamínicos; suplementos vitamínicos líquidos; suplementos vitamínicos para productos alimenticios de consumo humano; fibra alimentaria para facilitar la digestión; fibra alimenticia para tratar el estreñimiento; fibras alimentarias; fibras dietéticas para facilitar la digestión; aguas enriquecidas con vitaminas para uso médico; bebidas enriquecidas con vitaminas para uso médico; bebidas nutricionales enriquecidas con vitaminas para uso dietético; complementos de vitaminas para productos alimenticios de consumo humano; multivitaminas.</t>
  </si>
  <si>
    <t>FLEXLAGEN</t>
  </si>
  <si>
    <t>5. Alimentos y suplementos alimenticios sin gluten, todos adecuados a fines médicos; suplementos alimenticios; parches de suplementos vitamínicos; suplementos vitamínicos líquidos; suplementos vitamínicos para productos alimenticios de consumo humano; fibras alimentarias; fibras de semillas de lino molidas utilizadas como complementos dietéticos; fibras dietéticas para facilitar la digestión; aguas enriquecidas con vitaminas para uso médico; bebidas enriquecidas con vitaminas para uso médico; bebidas nutricionales enriquecidas con vitaminas para uso dietético; complementos alimenticios de vitaminas y minerales; complementos de vitaminas para productos alimenticios de consumo humano; comprimidos de vitaminas.</t>
  </si>
  <si>
    <t>BULL X</t>
  </si>
  <si>
    <t>15 oct. 2022</t>
  </si>
  <si>
    <t>ENERGY THE BULL</t>
  </si>
  <si>
    <t>ENERGY X BULL</t>
  </si>
  <si>
    <t>Fillers HA</t>
  </si>
  <si>
    <t>18 oct. 2022</t>
  </si>
  <si>
    <t>FILLERS AH</t>
  </si>
  <si>
    <t>maria fernanda  betancur hernandez, carrera 43 a # 45 b sur 81 casa 109, ENVIGADO, ANTIOQUIA, CO</t>
  </si>
  <si>
    <t>Fillers</t>
  </si>
  <si>
    <t>FILLERS</t>
  </si>
  <si>
    <t>Proage</t>
  </si>
  <si>
    <t>19 oct. 2022</t>
  </si>
  <si>
    <t>PROAGE</t>
  </si>
  <si>
    <t>ProduKtil</t>
  </si>
  <si>
    <t>Profiller</t>
  </si>
  <si>
    <t>Suika SUMMER</t>
  </si>
  <si>
    <t>Suika Summer</t>
  </si>
  <si>
    <t>Manuela  Carmona Mondragon, calle 49N # 6-96, CALI, VALLE DEL CAUCA, CO</t>
  </si>
  <si>
    <t>3, 5, 14, 25</t>
  </si>
  <si>
    <t>3. Tintes para los labios [productos cosméticos]; tiras blanqueadoras de dientes impregnadas con preparaciones blanqueadoras [cosméticos]; toallas de papel para las manos impregnadas de cosméticos; toallas de papel para las manos impregnadas de productos cosméticos; toallitas desechables impregnadas con preparados cosméticos para bebés; toallitas impregnadas con preparados cosméticos; toallitas impregnadas de productos cosméticos; tónicos cosméticos; tónicos cosméticos para el rostro; tónicos cosméticos para la cara; tónicos faciales [cosméticos]; veneno de abeja con fines cosméticos; hidrocremas intensiva; jabones en crema; jabones en crema para el cuerpo; leches, geles, lociones y cremas desmaquillantes; lociones y cremas corporales perfumadas; lociones, cremas y aceites de aplicación tópica para la piel y el cuerpo, de uso cosmético; lociones, cremas y preparaciones para el cuidado de la cara, cuerpo, cuero cabelludo, uñas y cabello; lociones, cremas y preparaciones para el cuidado del rostro, cuerpo, cuero cabelludo, uñas y cabello; maquillajes de base en crema; mascarillas corporales en forma de cremas; mascarillas corporales en forma de cremas para uso cosmético; polvos faciales en crema; productos cosméticos en forma de cremas.
5. Desodorantes para prendas de vestir; desodorantes para prendas de vestir y materias textiles; preparaciones neutralizadoras de olores para prendas de vestir y materias textiles; aerosoles y cremas de hierbas medicinales de uso externo; botiquines de primeros auxilios que comprenden principalmente esparadrapos, cremas o pastillas antihistamínicas, apósitos de gasa esterilizados y cremas o sprays antisépticos; botiquines de primeros auxilios que contienen principalmente esparadrapos, cremas o pastillas antihistamínicas, apósitos de gasa esterilizados y cremas o sprays antisépticos; cremas a base de hierbas para uso médico; cremas analgésicas para uso tópico; cremas analgésicas tópicas; cremas antibióticas; cremas antihistamínicas; cremas antimicóticas para uso médico; cremas antiprurito; cremas antisépticas; cremas de caléndula para erupciones cutáneas; cremas de hidrocortisona; cremas de hidrocortisona para erupciones cutáneas; cremas de masaje para uso médico; cremas de uso dermatológico; cremas dermatológicas a base de cortisona; cremas herbarias para uso médico; cremas labiales medicamentosas; cremas labiales medicinales; cremas medicamentosas; cremas medicamentosas para hidratar la piel; cremas medicamentosas para la hidratación de la piel; cremas medicamentosas para la piel; cremas medicamentosas para la protección de la piel; cremas medicamentosas protectoras;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cremas para callosidades y durezas; cremas para el cuidado de la piel, medicinales; cremas para la piel con hidrocortisona para uso dermatológico; cremas para uso dermatológico; espráis y cremas de hierbas medicinales de uso externo; gasas impregnadas de cremas medicamentosas; gasas impregnadas de cremas medicinales; geles, cremas y soluciones para uso dermatológico; kiits de primeros auxilios que contienen principalmente esparadrapos, cremas o pastillas antihistamínicas, apósitos de gasa esterilizados y cremas o sprays antisépticos; kits de primeros auxilios que comprenden principalmente esparadrapos, cremas o pastillas antihistamínicas, apósitos de gasa esterilizados y cremas o sprays antisépticos; lociones y cremas medicamentosas para el cuerpo, piel, cara y manos; lociones y cremas medicamentosas para el cuerpo, piel, rostro y manos; lociones y cremas medicinales para el cuerpo, piel, cara y manos; toallitas impregnadas de cremas medicamentosas; toallitas impregnadas de cremas medicinales; toallitas o gasas impregnadas de cremas medicamentosas; toallitas o gasas impregnadas de cremas medicinales; toallitas y pañitos impregnados de lociones y cremas farmacéuticas.
14. Alfileres [imitación de bisutería]; artículos de bisutería; artículos de bisutería de plástico; artículos de joyería, bisutería, piedras preciosas; bisutería [joyería]; bisutería de fantasía; bisutería de imitación; camafeos [artículos de bisutería]; camafeos [bisutería]; estrás [bisutería de fantasía]; pins [imitación de bisutería].
25. Trajes de baño; trajes de baño [bañadores]; trajes de baño con almohadilla absorbente incorporada; trajes de baño de una pieza; trajes de baño en forma de cola de sirena; trajes de baño para caballero; trajes de baño para niños; trajes de baño para señora; ajuares de bebé [prendas de vestir]; ajuares de prendas de vestir para bebés; babushkas [prendas de vestir]; balaclavas de esquí [prendas de vestir]; balaclavas de esquí en cuanto prendas de vestir; bandas abdominales para embarazadas [prendas de vestir]; bandas para la cabeza [prendas de vestir]; bermudas [prendas de vestir]; blusas [prendas de vestir]; bodys [prendas de vestir]; bolsillos de prendas de vestir; bragas para bebés [prendas de vestir]; calentadores [prendas de vestir]; calientamanos [mitones] en cuanto prendas de vestir; camperas rompeviento [prendas de vestir]; capuchas de esquí [prendas de vestir]; capuchas de esquí en cuanto prendas de vestir; casacas rompeviento [prendas de vestir]; chacabanas [prendas de vestir]; chalecos de punto [prendas de vestir]; chamarras rompeviento [prendas de vestir]; chaquetas en cuanto prendas de vestir; chaquetas rompeviento [prendas de vestir]; cinturones (prendas de vestir); cinturones [prendas de vestir]; cinturones billetero [prendas de vestir]; cinturones de materias textiles [prendas de vestir]; cinturones de tela [prendas de vestir]; cinturones monedero [prendas de vestir]; conjuntos para jugar [prendas de vestir]; cubrecaras de textiles en cuanto prendas de vestir; cuellos en cuanto prendas de vestir; delantales [prendas de vestir]; escudetes [partes de prendas de vestir]; escudetes para bañadores [partes de prendas de vestir]; escudetes para leotardos [partes de prendas de vestir]; escudetes para mallas de baño [partes de prendas de vestir]; escudetes para medias [partes de prendas de vestir]; escudetes para pantis [partes de prendas de vestir]; escudetes para ropa interior [partes de prendas de vestir]; forros confeccionados [partes de prendas de vestir]; fulares [prendas de vestir]; fulares en cuanto prendas de vestir; gabardinas [prendas de vestir]; gorros para fiestas [prendas de vestir]; guantes (prendas de vestir); guantes [prendas de vestir]; guantes en cuanto prendas de vestir militar; guardapolvos [prendas de vestir]; guayabanas [prendas de vestir]; guayaberas [prendas de vestir]; huípiles [prendas de vestir]; jerseys [prendas de vestir]; jorongos [prendas de vestir]; kitenges [prendas de vestir de colores vivos]; magoja [chaquetas exteriores coreanas para llevar sobre prendas de vestir básicas]; manguitos [prendas de vestir]; manguitos calentadores [prendas de vestir]; mascarillas de moda de tela [prendas de vestir]; mascarillas de moda de tela en cuanto prendas de vestir; mascarillas de tejido [prendas de vestir]; mascarillas de tela [prendas de vestir]; mascarillas faciales [prendas de vestir]; mascarillas faciales de punto en cuanto prendas de vestir; mitones en cuanto prendas de vestir; monos [prendas de vestir]; muñequeras en cuanto prendas de vestir; orejeras [prendas de vestir]; orejeras en cuanto prendas de vestir; paliacates [prendas de vestir]; pareos [prendas de vestir]; partes de prendas de vestir, a saber, escudetes de axila; partes de prendas de vestir, a saber, escudetes para axilas; pasamontañas de esquí [prendas de vestir]; pasamontañas de esquí en cuanto prendas de vestir; pañoletas [prendas de vestir]; pañuelos [prendas de vestir]; pañuelos de bolsillo [prendas de vestir]; pañuelos de bolsillo en cuanto prendas de vestir; pañuelos para la cabeza [prendas de vestir]; pieles [prendas de vestir]; pieles artificiales [prendas de vestir]; prendas de vestir biodegradables; prendas de vestir bordadas; prendas de vestir compostables; prendas de vestir cortaviento; prendas de vestir de cachemira; prendas de vestir de cuero; prendas de vestir de deporte; prendas de vestir de equitación, que no sean cascos de equitación; prendas de vestir de felpa; prendas de vestir de lana; prendas de vestir de lino; prendas de vestir de napa; prendas de vestir de peletería; prendas de vestir de piel artificial; prendas de vestir de plumas; prendas de vestir de plumón; prendas de vestir impermeables; prendas de vestir inteligentes con componentes digitales incorporados; prendas de vestir inteligentes con sensores de biochips; prendas de vestir inteligentes equipadas con dispositivos inalámbricos de comunicación de datos; prendas de vestir inteligentes equipadas con tecnología inalámbrica de comunicación de datos; prendas de vestir japonesas tradicionales; prendas de vestir para actividades al aire libre; prendas de vestir para bebés y niños pequeños; prendas de vestir para el cuello; prendas de vestir para hombres; prendas de vestir para la intemperie; prendas de vestir para mujeres; prendas de vestir para mujeres, hombres y niños; prendas de vestir para niños; prendas de vestir para niños pequeños; prendas de vestir para seres humanos; prendas de vestir que contienen sustancias adelgazantes; prendas de vestir resistentes al agua; prendas de vestir tejidas; prendas de vestir transformables en sudaderas con capucha; prendas de vestir transformables en vestidos; prendas de vestir térmicas; prendas de vestir*; prendas de vestir, calzado y artículos de sombrerería; prendas de vestir, calzado y artículos de sombrerería para bebés y niños pequeños; prendas de vestir, calzado y artículos de sombrerería para seres humanos; prendas de vestir, calzado, artículos de sombrerería; prendas de vestir, que no sean de protección, con elementos o materiales reflectantes o fluorescentes; pulseras en cuanto prendas de vestir; puños [prendas de vestir]; puños en cuanto prendas de vestir; rebozos [prendas de vestir]; sarapes [prendas de vestir]; shorts en cuanto prendas de vestir; sombreros de papel [prendas de vestir]; sombreros de papel en cuanto prendas de vestir; sombreros de papel utilizados como prendas de vestir; tiradores [prendas de vestir]; tirantes de ajustadores [partes de prendas de vestir]; tirantes de sostenes [partes de prendas de vestir]; tirantes de sujetadores [partes de prendas de vestir]; tirantes para sujetadores [partes de prendas de vestir]; tocas [prendas de vestir]; tops [prendas de vestir]; toquillas [prendas de vestir]; toquillas en cuanto prendas de vestir; trajes de tres piezas [prendas de vestir]; turbantes [prendas de vestir].</t>
  </si>
  <si>
    <t>Juan David Ortiz Betancur, Carrera 56B 49 51, MEDELLIN, ANTIOQUIA, CO</t>
  </si>
  <si>
    <t>NEUTRALIZADOR DE OLORES SIN FRAGRANCIA</t>
  </si>
  <si>
    <t>S.C. Johnson &amp; Son, Inc., 1525 Howe Street, RACINE, WISCONSIN WI 53403-2236, US</t>
  </si>
  <si>
    <t>3. Producto de limpieza y/o desengrasado; preparaciones para perfumar el aire; preparaciones para perfumar el aire; limpiador de inodoros; paños de limpieza desechables; jabón de manos; jabón en barra.
5. Preparaciones para purificar el aire; preparaciones para desinfectar el aire; preparaciones para neutralizar los olores; desodorantes que no son de uso personal; desodorizantes para habitaciones o atmósferas; desodorizantes para alfombras; desodorizantes para textiles; preparaciones germicidas; desinfectantes líquidos y en aerosol; desinfectantes para superficies; desinfectantes para manos; jabones desinfectantes para manos.</t>
  </si>
  <si>
    <t>PROVILIFE</t>
  </si>
  <si>
    <t>24 oct. 2022</t>
  </si>
  <si>
    <t>provilife</t>
  </si>
  <si>
    <t>PROVITA S.A.S., CALLE 38 B SUR # 46 A - 08, ENVIGADO, ANTIOQUIA, CO</t>
  </si>
  <si>
    <t>3. Productos cosméticos, aceites esenciales líneas de perfumería, Aceites de cáñamo a base de cbd para uso cosmético; preparaciones para el cuidado de la piel a base de cbd; preparados para el cuidado de la piel a base de cbd; productos cosméticos de cbd, artículos de aseo personal, productos de limpieza para el hogar, 	preparaciones de limpieza para el hogar, detergentes para el hogar.
5. Nutracéuticos para uso terapéutico, nutracéuticos utilizados como complementos dietéticos, parches transdérmicos que facilitan el suministro de nutracéuticos, productos farmacéuticos.</t>
  </si>
  <si>
    <t>ANDREA DONATO CASTILLO, Carrera 10 # 97 A- 13 oficina 202 torre B Edificio Bogotá Trade Center, BOGOTÁ, D.C., CO</t>
  </si>
  <si>
    <t>DR. JACK NUTRITION</t>
  </si>
  <si>
    <t>190338</t>
  </si>
  <si>
    <t>Alba Lucia Ceballos Arango, cra 54 45-b27, CALI, VALLE DEL CAUCA, CO</t>
  </si>
  <si>
    <t>5. Concentrados de proteína de suero de leche [suplementos dietéticos]; concentrados de proteína de suero de leche en cuanto suplementos dietéticos; suplementos alimenticios; suplementos alimenticios a base de minerales; suplementos alimenticios compuestos de aminoácidos; suplementos alimenticios dietéticos; suplementos alimenticios en polvo a base de proteinas; suplementos alimenticios para personas; complementos alimenticios de vitaminas y minerales; complementos de vitaminas para productos alimenticios de consumo humano; complementos dietéticos de vitaminas; comprimidos de vitaminas; pastillas de vitaminas; preparaciones de vitaminas y minerales; preparaciones de vitaminas*; suplementos de vitaminas para productos alimenticios de consumo humano; vitaminas; vitaminas, minerales y antioxidantes en cuanto suplementos nutricionales y dietéticos.</t>
  </si>
  <si>
    <t>17 abr. 2023</t>
  </si>
  <si>
    <t>WE LIFE THE WAY WE LIVE</t>
  </si>
  <si>
    <t>WE LIFE</t>
  </si>
  <si>
    <t>MEDIC ORGANICS S.A.S., CL 12 NORTE # 4 - 17, CALI, VALLE DEL CAUCA, CO</t>
  </si>
  <si>
    <t>5. Cannabis medicinal en forma de tisanas; cannabis medicinal en forma de tisanas para uso medicinal; cannabis para uso médico; complementos a base de hierbas; cremas a base de hierbas para uso médico; extractos de hierbas medicinales para uso médico; infusiones de hierbas medicinales.</t>
  </si>
  <si>
    <t>ANA CATALINA  DIAZ CARVAJAL, Calle 50 No. 13-15 , PEREIRA, RISARALDA, CO</t>
  </si>
  <si>
    <t>QUIMFAR XX-22</t>
  </si>
  <si>
    <t>TILOVET</t>
  </si>
  <si>
    <t>TRIMEBAC</t>
  </si>
  <si>
    <t>PIANTE</t>
  </si>
  <si>
    <t>MX22/098</t>
  </si>
  <si>
    <t>Sineria Holland BV., Randwycksingel 20-A015 Maastricht, Países Bajos, MAASTRICHT, LIMBURG, NL</t>
  </si>
  <si>
    <t>5. Pesticidas agrícolas; Insecticidas para uso agrícola; Fungicidas para uso agrícola; Herbicidas para uso agrícola; Alguicidas para uso agrícola; Acaricidas para uso agrícola; Bactericidas.</t>
  </si>
  <si>
    <t>CARILVIR</t>
  </si>
  <si>
    <t>MEDIC THERAPEUTICS</t>
  </si>
  <si>
    <t>25 oct. 2022</t>
  </si>
  <si>
    <t>HUB EMERGENCY SERVICES, LLC, 3069 TAFT STREET Hollywood FL 33021, US</t>
  </si>
  <si>
    <t>5. Crema deportiva para el alivio del dolor; preparaciones higienizantes de manos.</t>
  </si>
  <si>
    <t>LIZA MARÍA ERAZO MUÑOZ, Carrera 19 número 131-04 apto 503, BOGOTÁ, D.C., CO</t>
  </si>
  <si>
    <t>METZI</t>
  </si>
  <si>
    <t>26 oct. 2022</t>
  </si>
  <si>
    <t>M2022/000861</t>
  </si>
  <si>
    <t>IPPF/WHR INNOVA S.A. , Ave. Manuel Espinoza Batista, Antiguo Edif. NCR, Piso 1, Oficina 3, CIUDAD DE PANAMA, PANAMA, PA</t>
  </si>
  <si>
    <t>5. Productos farmacéuticos; anticonceptivos orales; kits de prueba de embarazo; soluciones medicinales inyectables; preparaciones anticonceptivas.</t>
  </si>
  <si>
    <t>MIXA B</t>
  </si>
  <si>
    <t>CARDAID</t>
  </si>
  <si>
    <t>04 nov. 2022</t>
  </si>
  <si>
    <t>5. Medicamentos fitoterapéuticos para el consumo humano; bebidas nutricionales en cuanto suplementos alimenticios; preparaciones y suplementos nutricionales para la salud; preparaciones y suplementos para la salud; suplementos alimenticios; suplementos alimenticios dietéticos.</t>
  </si>
  <si>
    <t>BABY CHIC</t>
  </si>
  <si>
    <t>baby chic</t>
  </si>
  <si>
    <t>SATIARE</t>
  </si>
  <si>
    <t>ECTOGARD</t>
  </si>
  <si>
    <t>14 dic. 2022</t>
  </si>
  <si>
    <t>Registro ECTOGARD</t>
  </si>
  <si>
    <t>5. Productos farmacéuticos, preparaciones para veterinario; productos higiénicos y sanitarios para uso veterinario; alimentos y sustancias dietéticas para uso veterinario; complementos alimenticios para animales; productos para eliminar parásitos; insecticida.</t>
  </si>
  <si>
    <t>07 mar. 2023</t>
  </si>
  <si>
    <t>LEPRINOL</t>
  </si>
  <si>
    <t>Registro LEPRINOL</t>
  </si>
  <si>
    <t>5. Productos farmacéuticos, preparaciones farmacéuticas para uso veterinario; productos higiénicos y sanitarios para uso veterinario; alimentos y sustancias dietéticas para uso veterinario; complementos alimenticios para animales; productos para eliminar parásitos; insecticida.”.</t>
  </si>
  <si>
    <t>18 ago. 2023</t>
  </si>
  <si>
    <t>CEREBIS</t>
  </si>
  <si>
    <t>9068100170REG</t>
  </si>
  <si>
    <t>KNIGHT THERAPEUTICS EUROPE S.A., 70 ROUTE D´ESCH, LUXEMBURGO, LUXEMBOURG 1470, LU</t>
  </si>
  <si>
    <t>5. Preparaciones farmacéuticas para el tratamiento de determinados trastornos del sistema nervioso central, incluyendo, pero no limitado a la demencia, depresión, epilepsia y otros trastornos nerviosos centrales.</t>
  </si>
  <si>
    <t>LA MILENARIA Salud y energía para tu familia</t>
  </si>
  <si>
    <t>LAMILENARIA22</t>
  </si>
  <si>
    <t>ALEX RICHARD FILIO ROJAS, CALLE 55 #23-31, MANIZALES, CALDAS, CO</t>
  </si>
  <si>
    <t>Jose Uribe Rojas, calle 55 23-31, MANIZALES, CALDAS, CO</t>
  </si>
  <si>
    <t>Cells4Vets</t>
  </si>
  <si>
    <t>Juanita Arroyave Giraldo, Calle 71 # 1-750 Florida Blanca casa 4, VILLAMARIA, CALDAS, CO</t>
  </si>
  <si>
    <t>5. Células madre; Células madre para uso veterinario; Preparados farmacéuticos que contienen células madre; Medicamentos para uso veterinario; Remedios para uso veterinario.
44. Almacenamiento células madre; Servicios terapéuticos a base de células madre; Servicios médicos relacionados con la extracción, el tratamiento y la transformación de células madre; Servicios veterinarios.</t>
  </si>
  <si>
    <t>NATALIA GARCIA GIRALDO, calle 55 # 25-169, MANIZALES, CALDAS, CO</t>
  </si>
  <si>
    <t>GAVITAL</t>
  </si>
  <si>
    <t>27 oct. 2022</t>
  </si>
  <si>
    <t>INBIONOVA S.A.S. BIC, VEREDA BOHEMIA KM 2 GRANJA LA ESPERANZA, CALARCA, QUINDIO, CO</t>
  </si>
  <si>
    <t>5. Complementos alimenticios a base de proteínas; complementos alimenticios para personas; complementos alimenticios para humanos; complementos alimenticios para seres humanos.</t>
  </si>
  <si>
    <t>LUZ MARINA GOMEZ SOTO, VEREDA BOHEMIA KM2 GRANJA ECOLOGICA LA ESPERANZA, CALARCA, QUINDIO, CO</t>
  </si>
  <si>
    <t>DIUTIN</t>
  </si>
  <si>
    <t>28 oct. 2022</t>
  </si>
  <si>
    <t>DIUTIN LLC,  1200 Brickell Avenue Suite 1950, MIAMI, FLORIDA, US</t>
  </si>
  <si>
    <t>5. Complementos alimenticios para personas; suplementos nutricionales enfocados en una nutrición clínica”.</t>
  </si>
  <si>
    <t>TGLESS DUO</t>
  </si>
  <si>
    <t>M025612</t>
  </si>
  <si>
    <t>5. Productos farmacéuticos para para uso humano para disminuir los niveles de triglicéridos en sangre que actúa como activador del receptor alfa activado por proliferadores de peroxisomas; productos farmacéuticos usado para disminuir el colesterol y otros lípidos sanguíneos mediante un inhibidor competitivo y selectivo de la HMG-CoA reductasa.</t>
  </si>
  <si>
    <t>BIOPRINCE</t>
  </si>
  <si>
    <t>BIOTROP PARTICIPAÇÕES S.A., AVENIDA CIDADE JARDIM, N. 803, 6TH FLOOR, ROOM 15 – DISTRICT: ITAIM BIBI, SÃO PAULO, SAO PAULO, BR</t>
  </si>
  <si>
    <t>1. Aditivos químicos para insecticidas; agentes conservantes para flores; compost; compuestos de bario; abonos nitrogenados; algas [fertilizantes]; apatita [mineral hexagonal, fluoro fosfato o cloro fosfato de calcio o ambos em mezcla – materia prima para la fabricación de fertilizantes fosfatados]; compuestos orgánicos para fertilización; compuestos orgánicos [fertilizantes]; harina de huesos utilizada como fertilizante; fertilizantes; fertilizante de harina de pescado; fertilizantes nitrogenados; fertilizantes a base de urea; fosfatos [fertilizantes]; yeso utilizado como fertilizante; reparaciones fertilizantes; preparaciones químicas de protección contra las enfermedades de las plantas de cereales; preparaciones para enmendar suelos; reparaciones para regular el crecimiento de las plantas; sales [fertilizantes]; productos químicos para uso agrícola, excepto fungicidas, herbicidas, insecticidas y parasiticidas; productos químicos para uso hortícola, excepto fungicidas, herbicidas, insecticidas y parasiticidas; productos químicos para la silvicultura, excepto fungicidas, herbicidas, insecticidas y parasiticidas; superfosfatos [fertilizantes]; turbas [fertilizantes]; substratos para cultivo fuera del suelo [agricultura].
5. Defensivo agrícola; defensivo agrícola biológico; preparados de microbios; productos biológicos para agricultura; preparaciones biológicas para agricultura; preparaciones químicas para prevenir infecciones patógenas em las plantas; fungicidas para uso agrícola; herbicidas para uso agrícola; insecticidas para uso agrícola; preparados para combatir malezas; preparaciones químicas para tratar las enfermedades de las plantas de cereales; preparaciones químicas para tratar el tizón del trigo.</t>
  </si>
  <si>
    <t>ATENA</t>
  </si>
  <si>
    <t>1. Aditivos químicos para insecticidas; agentes conservantes para flores; compost; compuestos de bario; abonos nitrogenados; algas [fertilizantes]; apatita [mineral hexagonal, fluoro fosfato o cloro fosfato de calcio o ambos em mezcla – materia prima para la fabricación de fertilizantes fosfatados]; compuestos orgánicos para fertilización; compuestos orgánicos [fertilizantes]; harina de huesos utilizada como fertilizante; fertilizantes; fertilizante de harina de pescado; fertilizantes nitrogenados; fertilizantes a base de urea; fosfatos [fertilizantes]; yeso utilizado como fertilizante; reparaciones fertilizantes; preparaciones químicas de protección contra las enfermedades de las plantas de cereales; preparaciones para enmendar suelos; preparaciones para regular el crecimiento de las plantas; sales [fertilizantes]; productos químicos para uso agrícola, excepto fungicidas, herbicidas, insecticidas y parasiticidas; productos químicos para uso hortícola, excepto fungicidas, herbicidas, insecticidas y parasiticidas; productos químicos para la silvicultura, excepto fungicidas, herbicidas, insecticidas y parasiticidas; superfosfatos [fertilizantes]; turbas [fertilizantes]; substratos para cultivo fuera del suelo [agricultura].
5. Defensivo agrícola; defensivo agrícola biológico; preparados de microbios; productos biológicos para agricultura; preparaciones biológicas para agricultura; preparaciones químicas para prevenir infecciones patógenas em las plantas; fungicidas para; uso agrícola; herbicidas para uso agrícola; insecticidas para uso agrícola; preparados para combatir malezas; preparaciones químicas para tratar las enfermedades de las plantas de cereales; preparaciones químicas para tratar el tizón del trigo.</t>
  </si>
  <si>
    <t>HALEON For Health. With Humanity.</t>
  </si>
  <si>
    <t>M 2022/33927</t>
  </si>
  <si>
    <t>Haleon UK IP Limited, Building 5, First Floor, The Heights, Weybridge, Surrey, WEYBRIDGE, INGLATERRA KT13 0NY, GB</t>
  </si>
  <si>
    <t>3. Preparaciones para limpiar, pulir, desengrasar y raspar; jabones; perfumería; aceites esenciales; cosméticos; champús para el cuero cabelludo y el cabello; preparaciones no medicinales para el cuidado y la limpieza de la piel; cremas para la piel, lociones para la piel y el cabello, geles para la piel, ungüentos para la piel, crema para el frío; preparaciones para el cuidado de la piel; preparaciones para la protección solar; preparaciones para blanquear la piel; dentífricos y colutorios no destinados a usos médicos; refrescantes del aliento; geles dentales; pastas dentífricas; preparaciones para el blanqueamiento dental, preparaciones para el pulido dental, preparaciones y aceleradores del blanqueamiento dental, preparaciones cosméticas para la eliminación de manchas dentales; preparaciones de tocador no medicadas; preparaciones para el cuidado bucal no medicadas; preparaciones para la limpieza, el lavado, el pulido y la desodorización de prótesis dentales.
5. Preparaciones y sustancias farmacéuticas y medicinales, excluyendo las preparaciones y sustancias para el cuidado de la visión quirúrgica y/o profesional; agentes terapéuticos (médicos), excluyendo los agentes para el cuidado de la visión quirúrgica y/o profesional; parches adhesivos para fines médicos, excluyendo los parches adhesivos para uso en el campo de la cirugía y/o del cuidado de la visión profesional; parches adhesivos que incorporan una preparación farmacéutica, excluyendo los parches adhesivos para uso en el campo de la cirugía y/o del cuidado de la visión profesional; parches, emplastos y apósitos medicinales para el tratamiento de enfermedades, afecciones y trastornos de la piel; vacunas; vitaminas, minerales y complementos alimenticios; preparados dietéticos; sustancias dietéticas, incluidos los alimentos y bebidas adaptados para uso médico; alimentos para lactantes; preparados para adelgazar preparaciones medicinales para el cuidado bucal, a saber, dentífricos medicinales, colutorios medicinales; preparaciones medicinales para el blanqueo; preparaciones para la esterilización de prótesis dentales; chicles y pastillas medicinales para la higiene dental; adhesivos para prótesis dentales, fijadores de prótesis dentales, geles dentales medicinales; preparaciones para dejar de fumar.</t>
  </si>
  <si>
    <t>FLORESTA ENCANTADA TIENDA HERBAL</t>
  </si>
  <si>
    <t>01 nov. 2022</t>
  </si>
  <si>
    <t>ELENA MEJÍA ECHEVERRI, Carrera 23 C No. 64-75, MANIZALES, CALDAS, CO</t>
  </si>
  <si>
    <t>5. Extractos de plantas medicinales; extractos de plantas para uso farmacéutico; extractos de plantas para uso médico; extractos de plantas y hierbas para uso medicinal; estimulantes [preparaciones farmacéuticas] a base de minerales; preparaciones a base de minerales para uso médico; preparaciones minerales para uso médico; sales de aguas minerales; sales minerales de baño; sales minerales para baños; sales minerales para uso médico; sales para baños de aguas minerales; aerosoles a base de hierbas para uso médico; aerosoles y cremas de hierbas medicinales de uso externo; bebidas a base de hierbas para uso médico; complementos a base de hierbas; complementos alimenticios dietéticos a base de extractos de hierbas deshidratadas en cápsulas; cremas a base de hierbas para uso médico; espráis a base de hierbas para uso médico; espráis y cremas de hierbas medicinales de uso externo; extractos de hierbas medicinales; extractos de hierbas medicinales para uso médico; hierbas medicinales; hierbas medicinales secas o conservadas; hierbas medicinales tradicionales chinas; hierbas y bebidas a base de hierbas para uso médico; infusiones de hierbas medicinales; remedios a base de hierbas; suplementos alimenticios dietéticos a base de extractos de hierbas deshidratadas en cápsulas; suplementos de hierbas líquidos; tés de hierbas para uso médico.</t>
  </si>
  <si>
    <t>MARÍA ANTONIA ARANGO MONTES , CRA 72A #27A-60 TORRE 6 APTO.802, MANIZALES, CALDAS, CO</t>
  </si>
  <si>
    <t>TOTTEM</t>
  </si>
  <si>
    <t>02 nov. 2022</t>
  </si>
  <si>
    <t>tottem</t>
  </si>
  <si>
    <t>1. Productos químicos para la industria, la ciencia y la fotografía, así como para la agricultura, la horticultura y la silvicultura.
5. Productos farmacéuticos, preparaciones para uso médico y veterinario; productos para eliminar animales dañinos; fungicidas, herbicidas.</t>
  </si>
  <si>
    <t>FITOROC</t>
  </si>
  <si>
    <t>17 mar. 2023</t>
  </si>
  <si>
    <t>SANUS BY ARIZA</t>
  </si>
  <si>
    <t>Registro de marca Edwin A.</t>
  </si>
  <si>
    <t>EDWIN RAMIRO  ARIZA LOPEZ , CRA  69 A NO 55 A 82 SUR , BOGOTÁ, D.C.  110311, CO</t>
  </si>
  <si>
    <t>EDWIN RAMIRO  ARIZA LOPEZ, CR 69 A NO 55 A 82 SUR , BOGOTÁ, D.C., CO</t>
  </si>
  <si>
    <t>MAGIK KERATINE</t>
  </si>
  <si>
    <t>MAGIKKERATINE</t>
  </si>
  <si>
    <t>CATALINA CORREA QUINTERO, Carrera 33 No 72 Sur - 62, SABANETA, ANTIOQUIA, CO</t>
  </si>
  <si>
    <t>3. Aceites de baño no medicinales; aceites de baño que no sean medicinales; aceites de masaje, no medicinales; aceites no medicinales para masajes; aerosoles bucales no medicinales; antitranspirantes no medicinales; baños no medicinales para el cuerpo; baños no medicinales para los pies; bálsamos capilares no medicinales; bálsamos labiales no medicinales; bálsamos no medicinales para después de afeitar; bálsamos no medicinales para después del afeitado; champús no medicinales; champús no medicinales contra la caspa; champús no medicinales para animales de compañía; champús no medicinales para animales de compañía [preparaciones de aseo, que no sean para uso veterinario]; champús para animales [preparaciones higiénicas no medicinales]; champús para animales de compañía [preparaciones higiénicas no medicinales]; champús y acondicionadores para animales de compañía [preparaciones de peluquería no medicinales ni veterinarias]; cosméticos no medicinales; cremas de masaje no medicinales; cremas de protección capilar, no medicinales; cremas de protección para el cabello, no medicinales;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para después de afeitar (no medicinales); cremas para después del afeitado (no medicinales); cremas para el cuidado de la piel, no medicinales; cremas para la piel no medicinales a base de aceites esenciales para uso en aromaterapia; cremas para limpiar la piel [no medicinales]; dentífricos no medicinales; dentífricos y enjuagues bucales no medicinales; duchas no medicinales; duchas vaginales no medicinales; enjuagues bucales no medicinales; enjuagues bucales no medicinales para animales de compañía; esponjas impregnadas con productos de tocador no medicinales; esprays bucales no medicinales; exfoliantes faciales y corporales no medicinales; geles de baño no medicinales; geles de baño y de ducha no medicinales; geles exfoliantes, no medicinales; geles no medicinales; geles no medicinales para después de afeitar; geles no medicinales para después del afeitado; geles para el baño [no medicinales]; geles y sales de baño y de ducha no medicinales; jabones de tocador no medicinales; jabones en polvo no medicinales; jabones líquidos no medicinales; jabones no medicinales; lavados no medicinales; lavados vaginales no medicinales; limpiadores cutáneos no medicinales; limpiadores de la piel no medicinales; limpiadores no medicinales para la piel; lociones capilares no medicinales; lociones capilares reparadoras no medicinales; lociones estimulantes no medicinales para la piel; lociones no medicinales para aclarar la piel; lociones no medicinales para el cuidado de la piel [cosméticos]; lociones no medicinales para la piel; lociones no medicinales para los pies; líquidos para lavarse las manos no medicinales a base de jabón; parches que contienen preparaciones no medicinales para el cuidado de la pie; pastas de dientes no medicinales; polvos de baño no medicinales; polvos no medicinales para los pies; pomadas no medicinales para prevenir y tratar las quemaduras solares; pomadas y lociones no medicinales contra la dermatitis del pañal; preparaciones capilares no medicinales; preparaciones cosméticas no medicinales para tratamientos capilares; preparaciones de baño no medicinales para animales; preparaciones de burbujas no medicinales; preparaciones de cuidado corporal no medicinales; preparaciones de jabón no medicinales; preparaciones de tocador no medicinales; preparaciones higiénicas en cuanto productos de tocador no medicinales; preparaciones limpiadoras no medicinales para la higiene íntima; preparaciones limpiadoras no medicinales para la piel; preparaciones líquidas no medicinales para limpiar las manos; preparaciones no medicinales para aliviar las quemaduras solares; preparaciones no medicinales para el aseo de animales que no sean productos para lavarlos; preparaciones no medicinales para el baño; preparaciones no medicinales para el cuidado bucal; preparaciones no medicinales para el cuidado de la piel; preparaciones no medicinales para el cuidado de la piel, el cabello y el cuero cabelludo; preparaciones no medicinales para el cuidado de los labios; preparaciones no medicinales para el cuidado de los pies; preparaciones no medicinales para el cuidado del cabello; preparaciones no medicinales para el cuidado dental; preparaciones no medicinales para el cuidado dental de los animales; preparaciones no medicinales para masajes; preparaciones para el cuidado bucal [no medicinales]; preparaciones para el cuidado bucal, no medicinales; preparaciones para el cuidado de la piel, no medicinales; preparaciones sanitarias en cuanto productos de tocador no medicinales; preparacioness no medicinales para después de afeitar; preparacioness no medicinales para después del afeitado; preparados no medicinales para el cuidado de la piel; productos cosméticos no medicinales; productos cosméticos y preparaciones de tocador no medicinales; productos de jabón no medicinales; productos de perfumería, aceites esenciales, cosméticos no medicinales, lociones capilares no medicinales; productos de tocador no medicinales; productos no medicinales para el cuidado de la piel; productos no medicinales para enjuagarse la boca y hacer gargarismos; productos no medicinales para lavarse las manos; productos no medicinales para lavarse y enjuagarse la boca; productos para el cuidado de la piel, no medicinales; productos y preparaciones no medicinales para el cuidado de la piel; protectores labiales no medicinales; sales de baño no medicinales; soluciones para el lavado de la cara a base de gel, no medicinales; soluciones para el lavado de la cara a base de jabón, no medicinales; soluciones para el lavado de la cara sin aclarado, no medicinales; soluciones para el lavado de manos a base de gel, no medicinales; soluciones para el lavado de manos a base de jabón, no medicinales; soluciones para el lavado de manos sin aclarado, no medicinales; sueros no medicinales para la piel; tónicos no medicinales para la piel; aceites esenciales para aromatizar bebidas; aceites esenciales para aromatizar las bebidas; aromatizantes alimentarios o para bebidas en cuanto aceites esenciales; aromatizantes para bebidas [aceites esenciales]; aromatizantes para bebidas en cuanto aceites esenciales; saborizantes para bebidas [aceites esenciales]; saborizantes para bebidas en cuanto aceites esenciales.
5. Aceites de masaje no medicinales; aceites medicinales para bebés; aceites medicinales para masajes; aceites para el cuidado de la piel [medicinales]; aceites para el cuidado de la piel, medicinales; aditivos alimentarios medicinales para uso farmacéutico; aditivos alimentarios medicinales para uso veterinario; aerosoles medicinales; aerosoles medicinales para la garganta; aerosoles medicinales para uso bucal; aerosoles y cremas de hierbas medicinales de uso externo; agua de mar para baños medicinales; alcoholes medicinales; alimentos dietéticos medicinales para animales; alimentos medicinales para animales; apitoxina [veneno de abeja melífera] con fines medicinales o terapéuticos; apitoxina [veneno de abeja melífera] con fines terapéuticos o medicinales; barros medicinales; baños medicinales; baños medicinales para uso terapéutico; bebidas medicinales; bebidas medicinales en forma de licores tónicos; bebidas medicinales en forma de licores tónicos aromatizados; bebidas medicinales en la forma de suplementos dietéticos para la desintoxicación del colon; bebidas medicinales en la forma de suplementos dietéticos para la desintoxicación del hígado; bolsas para lavados internos prellenadas que contienen preparaciones medicinales para la limpieza; bálsamos analgésicos medicinales polivalentes; bálsamos medicinales para los labios; bálsamos medicinales para los pies; caramelos medicinales; champús en seco medicinales; champús medicinales; champús medicinales anticaspa; champús medicinales para animales de compañía; chicles medicinales con sabor a menta; complementos alimenticios medicinales a base de colágeno; complementos alimenticios medicinales para consumo humano; complementos medicinales para alimentos destinados a los animales; complementos medicinales para productos alimenticios de consumo humano; compresas medicinales; cremas labiales medicinales;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cremas para el cuidado de la piel, medicinales; decocciones de hierbas medicinales; dentífricos medicinales; duchas medicinales; duchas vaginales medicinales; ejuagues bucales medicinales anticaries; ejuagues dentales medicinales anticaries; emplastos medicinales; enjuagues bucales medicinales; enjuagues bucales medicinales anticaries; enjuagues bucales medicinales para animales de compañía; enjuagues medicinales anti caries para uso dental; esparadrapos que incorporan sustancias medicinales; espráis medicinales; espráis y cremas de hierbas medicinales de uso externo; extractos de hierbas medicinales; extractos de hierbas medicinales para uso médico; extractos de plantas medicinales; gasas impregnadas de cremas medicinales; geles de limpieza dental medicinales; geles exfoliantes, medicinales; geles medicinales aplicables con cepillo para el cuidado bucal; geles medicinales para el cuerpo; geles medicinales para el cuidado bucal; hierbas medicinales; hierbas medicinales secas o conservadas; hierbas medicinales tradicionales chinas; infusiones de hierbas medicinales; infusiones medicinales; jabones medicinales; jabones y detergentes medicinales y desinfectantes; lavados medicinales; lavados vaginales medicinales; licores medicinales; limpiadores faciales antibacterianos medicinales; lociones capilares medicinales; lociones faciales medicinales; lociones medicinales; lociones medicinales contra la dermatitis del pañal; lociones medicinales contra las quemaduras solares; lociones medicinales para después del afeitado; lociones medicinales para el cuerpo; lociones medicinales para el tratamiento de afecciones cutáneas; lociones medicinales para tratar afecciones dermatológicas; lociones y cremas medicinales para el cuerpo, piel, cara y manos; lodos medicinales; lubricantes medicinales a base de aloe vera; líquidos medicinales para cigarrillos electrónicos; parches medicinales; pastas de dientes medicinales; pastillas medicinales; paños impregnados con sustancias medicinales; pociones medicinales; polvos medicinales para bebés; polvos medicinales para el cuerpo; polvos medicinales para los pies; pomadas labiales medicinales; pomadas medicinales contra la dermatitis del pañal; pomadas mentoladas medicinales polivalentes; preparaciones con filtro solar, medicinales; preparaciones de tocador medicinales; preparaciones medicinales; preparaciones medicinales de oligoelementos para uso humano; preparaciones medicinales de protección solar; preparaciones medicinales de uso bucal en gotas, cápsulas, pastillas y comprimidos; preparaciones medicinales en cuanto aditivos alimentarios para el consumo humano; preparaciones medicinales orales para su administración en forma de comprimidos; preparaciones medicinales orales para su administración en forma de cápsulas; preparaciones medicinales orales para su administración en forma de gotas; preparaciones medicinales orales para su administración en forma de pastillas comprimidas; preparaciones medicinales para adelgazar; preparaciones medicinales para baños oculares; preparaciones medicinales para el afeitado; preparaciones medicinales para el aseo de animales; preparaciones medicinales para el baño; preparaciones medicinales para el baño de los animales; preparaciones medicinales para el crecimiento del cabello; preparaciones medicinales para el cuidado bucal; preparaciones medicinales para el cuidado capilar; preparaciones medicinales para el cuidado de la boca; preparaciones medicinales para el cuidado de la piel; preparaciones medicinales para el cuidado de la piel en forma de geles; preparaciones medicinales para el cuidado de la salud; preparaciones medicinales para el cuidado de las uñas; preparaciones medicinales para el cuidado de los labios; preparaciones medicinales para el cuidado de los pies; preparaciones medicinales para el cuidado dental; preparaciones medicinales para el cuidado dental de los animales; preparaciones medicinales para el cuidado y el tratamiento bucal; preparaciones medicinales para el tratamiento bucal; preparaciones medicinales para el tratamiento de la halitosis; preparaciones medicinales para eliminar verrugas; preparaciones medicinales para limpiar la piel y las heridas; preparaciones medicinales para pulverización nasal; preparaciones medicinales para tratamientos bucales; preparaciones medicinales para tratamientos cutáneos; preparaciones medicinales para tratar enfermedades infecciosas; preparaciones medicinales para uso en cuanto aditivos alimenticios para consumo humano; preparaciones medicinales para uso oncológico; preparaciones para el cuidado bucal, medicinales; preparaciones para el cuidado dental, medicinales; preparaciones para elaborar bebidas medicinales; preparaciones terapéuticas medicinales para baños; preparaciones y sustancias medicinales; preparados medicinales de protección solar; preparados medicinales para baños de pies; preparados medicinales para uso en cuanto aditivos alimenticios para consumo humano; productos medicinales para el cuidado de la piel; productos medicinales para lavarse las manos; productos para el cuidado de la piel, medicinales; productos y preparaciones medicinales para el cuidado de la piel; raíces medicinales; relajantes musculares medicinales para el baño; sales de baño medicinales; sales y preparaciones medicinales para el baño; serum calmante para la piel [medicinales]; serum calmante para la piel, medicinales; serum de alivio para la piel [medicinales]; serum de alivio para la piel, medicinales; soluciones de aceites medicinales; soluciones líquidas medicinales que contienen vitaminas, para los cigarrillos electrónicos; soluciones medicinales inyectables; sprays medicinales para aliviar de las mordeduras y picaduras de insectos; suplementos alimenticios medicinales a base de colágeno; suplementos alimenticios medicinales para consumo humano; suplementos medicinales para productos alimenticios de consumo humano; suplementos nutricionales no medicinales para alimentos para animales; tiritas que incorporan sustancias medicinales; tisanas medicinales; toallitas impregnadas con sustancias medicinales; toallitas impregnadas de cremas medicinales; toallitas o gasas impregnadas de cremas medicinales; tónicos medicinales; tónicos medicinales para la piel; ungüentos medicinales para el tratamiento de afecciones cutáneas; ungüentos medicinales para tratar afecciones dermatológicas; velas de masaje medicinales; veneno de abeja con fines medicinales o terapéuticos; veneno de abeja con fines terapéuticos o medicinales; adhesivos médicos para suturar heridas; adhesivos médicos para suturar tejidos internos; adhesivos médicos para unir tejido interno; agentes de detoxificación de cloro para fines médicos; alimentos sin gluten adaptados a fines médicos; alimentos y aditivos alimentarios sin gluten, todos adecuados a fines médicos; alimentos y suplementos alimenticios sin gluten, todos adecuados a fines médicos; apósitos médicos y quirúrgicos; barritas nutricionales utilizadas como sustitutos de las comidas para uso médico para pacientes sometidos a tratamientos médicos; bebidas para diabéticos a base de zumos de frutas, adaptadas a fines médicos; carbón activado para la adsorción de toxinas con fines médicos; cereales adaptados para minusválidos con fines dietéticos o médicos; complementos nutricionales a base de almidón, adaptados a fines médicos; desinfectantes para equipos e instrumentos médicos; desinfectantes para equipos e instrumentos médicos y odontológicos; emplastos médicos; medios de contraste para aparatos médicos de ultrasonidos; medios de contraste para equipos médicos; medios de contraste para equipos médicos de imaginología; néctares de frutas para diabéticos, adaptados a fines médicos; parches médicos; parches transdérmicos para tratamientos médicos; preparaciones de diagnóstico para uso en laboratorios médicos; preparados médicos de oligoelementos para uso humano; preparados no médicos de oligoelementos para uso humano; productos dietéticos para usos médicos especiales [dietas equilibradas]; reactivos de diagnóstico para uso en laboratorios médicos; alimentos y bebidas dietéticos para uso médico; alimentos y bebidas dietéticos para uso médico o veterinario; alimentos y bebidas dietéticos para uso veterinario; bebidas a base de hierbas para uso médico; bebidas de electrolito para uso médico; bebidas de electrolitos para uso médico;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de leche malteada para bebés; bebidas de leche malteada para minusválidos; bebidas de leche malteada para uso médico; bebidas de restitución de electrolitos para uso médico; bebidas dietéticas para bebés para uso médico; bebidas dietéticas para uso médico; bebidas dietéticas para uso veterinario; bebidas enriquecidas con elementos nutricionales para uso médico; bebidas enriquecidas con vitaminas para uso médico; bebidas nutricionales en cuanto complementos alimenticios; bebidas nutricionales en cuanto suplementos alimenticios; bebidas nutricionales enriquecidas con prebióticos para uso dietético; bebidas nutricionales enriquecidas con probióticos para uso dietético; bebidas nutricionales enriquecidas con vitaminas para uso dietético; bebidas nutricionales para uso dietético; bebidas nutricionales para uso médico; bebidas para bebés; bebidas para uso médico; bebidas utilizadas como complementos dietéticos; bebidas utilizadas como sustitutos de las comidas para uso médico; complementos dietéticos en polvo con sabor a frutas para elaborar bebidas; complementos dietéticos para animales de compañía, a saber, bebidas en polvo; complementos vitamínicos en comprimidos que disueltos en agua sirven para elaborar bebidas efervescentes; hierbas y bebidas a base de hierbas para uso médico; mezclas de bebidas dietéticas en cuanto sustitutos de comidas; mezclas de bebidas dietéticas en cuanto sustitutos de comidas para uso nutricional; mezclas de bebidas dietéticas para aumentar el rendimiento deportivo; mezclas de bebidas dietéticas para aumentar el rendimiento deportivo para uso nutricional; mezclas de bebidas dietéticas para el aumento de peso; mezclas de bebidas dietéticas para el aumento de peso para uso nutricional; mezclas de bebidas dietéticas para el control de peso; mezclas de bebidas dietéticas para el control de peso para uso nutricional; mezclas de bebidas dietéticas para la pérdida de peso; mezclas de bebidas dietéticas para la pérdida de peso para uso nutricional; mezclas de bebidas dietéticas para mejorar el rendimiento; mezclas de bebidas dietéticas para mejorar el rendimiento para uso nutricional; mezclas de complementos nutricionales en polvo para bebidas; mezclas nutricionales para bebidas utilizadas como sustitutos de las comidas para uso médico; mezclas para bebidas dietéticas utilizadas como sustitutivos de las comidas, para uso médico; mezclas para bebidas dietéticas utilizadas como sustitutos de comidas para uso médico; mezclas para bebidas en cuanto complementos dietéticos; mezclas para bebidas utilizadas como sustitutos de las comidas para uso médico; mezclas para bebidas utilizadas como sustitutos de las comidas y complementos dietéticos para uso médico; preparaciones para elaborar bebidas dietéticas de uso médico; preparaciones para la producción de bebidas para uso médico; proteína vegana en cuanto complemento nutricional de bebidas listas para beber; proteína vegana en cuanto suplemento nutricional de bebidas listas para beber.</t>
  </si>
  <si>
    <t>VOALEA</t>
  </si>
  <si>
    <t>03 nov. 2022</t>
  </si>
  <si>
    <t>ABBOTT PRODUCTS OPERATIONS AG, HEGENHEIMERMATTWEG 127, 4123 ALLSCHWIL, SUIZA, ALLSCHWIL, BASEL-LANDSCHAFT, CH</t>
  </si>
  <si>
    <t>Focus Booster</t>
  </si>
  <si>
    <t>Valentina Gutiérrez Jiménez, Calle 33A N 71-10, MEDELLIN, ANTIOQUIA, CO</t>
  </si>
  <si>
    <t>5. Complementos homeopáticos; medicamentos homeopáticos; productos farmacéuticos homeopáticos; complementos dietéticos en forma de polvo; complementos dietéticos en forma líquida.
32. Bebidas sin alcohol fortificadas con vitaminas; preparaciones sin alcohol para elaborar bebidas.</t>
  </si>
  <si>
    <t>Fungisert</t>
  </si>
  <si>
    <t>MA31660-Fungisert</t>
  </si>
  <si>
    <t>DFI DESARROLLOS FARMACEUTICOS INNOVADORES SAS, CR 19 # 84-09, BOGOTÁ, D.C., CO</t>
  </si>
  <si>
    <t>5. Medicamento tópico antimicótico, dermatólogico para uso en infecciones de piel; Preparaciones farmacéuticas, médicas y veterinarias; preparaciones higiénicas para uso médico; alimentos y sustancias dietéticos para uso médico o veterinario; alimentos para bebés; complementos dietéticos para seres humanos y animales; emplastos, materiales para apósitos; material para el sellado de dientes; cera dental; desinfectantes.</t>
  </si>
  <si>
    <t>FFI BENERVITT DB</t>
  </si>
  <si>
    <t>NICOLAS FIERRO IBAGON, calle 131 b 54 21, BOGOTÁ, D.C. 111111, CO</t>
  </si>
  <si>
    <t>5. Bebidas nutricionales enriquecidas con vitaminas para uso dietético; suplementos dietéticos y nutricionales; complementos nutricionales y alimenticios; mezclas de complementos nutricionales en polvo para bebidas; preparaciones y complementos nutricionales para la salud; preparaciones y suplementos nutricionales para la salud; productos dietéticos y complementos nutricionales para uso médico; alimentos y bebidas dietéticos para uso médico; complementos alimenticios dietéticos en polvo para uso médico.</t>
  </si>
  <si>
    <t>Mauricio Castro Orjuela, Avenida Carrera 19 # 95 - 20, BOGOTA, CUNDINAMARCA 00000, CO</t>
  </si>
  <si>
    <t>Clipperaide</t>
  </si>
  <si>
    <t>King Research International GmbH, Am Sägewerk 1a, BAVARIA, BAVIERA 85107, DE</t>
  </si>
  <si>
    <t>3. Paños húmedos para limpiar, desempolvar o lustrar; preparaciones para limpiar cristales; preparaciones para limpiar dentaduras postizas;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fregar y raspar; preparaciones para limpiar, lavar y pulir; preparaciones para limpiar, lustrar y fregar; preparaciones para limpiar, pulir, desengrasar y raspar; preparaciones para limpiar, pulir, fregar y raspar; preparaciones para limpiar, teñir, colorear, decolorar, marcar y peinar el cabello; preparaciones para limpiarse las manos; preparaciones y sustancias para limpiar y lavar; preparaciones y sustancias para limpiar, fregar y pulir; detergentes para uso doméstico con propiedades desinfectantes; lavados no medicinales; preparaciones para el lavado; preparaciones para el lavado para uso doméstico; agentes de limpieza para uso doméstico; agentes y preparaciones de limpieza; espumas de limpieza; líquidos de limpieza; líquidos de limpieza en seco; preparaciones de limpieza; preparaciones de limpieza para cristales; preparaciones de limpieza para el hogar; preparaciones de limpieza para uso doméstico; preparaciones para la limpieza del cabello; productos de limpieza; productos de limpieza en spray; productos de limpieza para uso doméstico; preparaciones de higiene en cuanto productos de tocador; preparaciones higiénicas en cuanto productos de tocador no medicinales; preparaciones sanitarias en cuanto productos de tocador no medicinales; productos cosméticos y de tocador; productos cosméticos y preparaciones de tocador no medicinales; productos de tocador no medicinales; detergente líquido; espumas limpiadoras; limpiadores cosméticos cutáneos; limpiadores cutáneos; limpiadores cutáneos no medicinales; limpiadores de la piel; materiales de chorreado para la limpieza de superficies; preparaciones para la limpieza de superficies duras; jabones cosméticos; jabones de tocador; jabones de tocador no medicinales; jabones desodorizantes; jabones detergentes; jabones líquidos; jabones líquidos no medicinales; jabones líquidos para el baño; jabones líquidos para el cabello y el cuerpo; jabones para uso doméstico; jabones para uso personal; champúes para el cabello; champús 3 en 1; champús capilares; champús corporales; champús no medicinales; champús para el cabello humano; champús y acondicionadores; productos de enjuague para el cabello [champús acondicionadores]; aceites de perfumería; fragancias y productos de perfumería; perfumería y fragancias; productos de perfumería; dentífricos que no sean para uso médico; dentífricos*.
5. Desinfectantes; desinfectantes domésticos; desinfectantes multiuso; desinfectantes para equipos e instrumentos médicos; desinfectantes para equipos e instrumentos médicos y odontológicos; desinfectantes para equipos e instrumentos odontológicos; desinfectantes para instrumental médico; desinfectantes para uso doméstico; desinfectantes para uso sanitario; desinfectantes y antisépticos; esponjas impregnadas con productos químicos desinfectantes para uso en hospitales; esponjas impregnadas con productos químicos desinfectantes para uso en laboratorios; jabones desinfectantes; jabones desinfectantes perfumados; paños desinfectantes; preparaciones desinfectantes para uso doméstico; preparaciones desinfectantes para uso hospitalario; fungicidas; fungicidas para uso doméstico; lavados desinfectantes que no sean jabones; preparados antisépticos para el lavado; productos de limpieza antibacterianos; detergentes germicidas; germicidas; biocidas; preparaciones de tocador medicinales; preparaciones sanitarias de higiene personal que no sean productos de tocador; limpiadoras antisépticas; preparados limpiadores antisépticos; limpiadores antisépticos; sprays antisépticos; sprays antisépticos en forma de aerosol para uso en superficies duras; jabones antibacterianos.</t>
  </si>
  <si>
    <t>PABLO MARCELO CARDENAS BENAVIDES , Calle 12 # 7 32 oficina 1005, BOGOTÁ, D.C., CO</t>
  </si>
  <si>
    <t>PENTASIL</t>
  </si>
  <si>
    <t>REGISTRO MARCA PENTASIL CL 05</t>
  </si>
  <si>
    <t>ZODIAC INTERNATIONAL CORPORATION, CALLE 50, TORRE GLOBAL PLAZA, 6 PISO PANAMA - REPUBLICA DE PANAMA, PANAMA, PANAMA, PA</t>
  </si>
  <si>
    <t>5. Producto farmacéutico de uso humano para el tratamiento de enfermedades y/o afecciones del sistema nervioso, agentes antineoplásicos e inmunomoduladores.</t>
  </si>
  <si>
    <t>GESTAVET</t>
  </si>
  <si>
    <t>BIOGENESIS BAGO S.A., RUTA PANAMERICANA KM. 38,2 GARIN, PROVINCIA DE BUENOS AIRES - ARGENTINA, PROVINCIA DE BUENOS AIRES, PROVINCIA DE BUENOS AIRES, AR</t>
  </si>
  <si>
    <t>5. PRODUCTO VETERINARIO PARA LA REPRODUCCIÓN ANIMAL.</t>
  </si>
  <si>
    <t>MAÍZ VERMÍFUGO</t>
  </si>
  <si>
    <t>09 nov. 2022</t>
  </si>
  <si>
    <t>LABORATORIOS ZOO S.A.S., Autopista Medellin Entrada Parque La Florida Km 1 Bodega 10 Terrapuerto Industrial El Dorado, COTA, CUNDINAMARCA, CO</t>
  </si>
  <si>
    <t>5. Productos veterinarios, preparaciones para uso veterinario, medicamentos para uso veterinario, remedios para uso veterinario, preparaciones veterinarias, analgésicos para uso veterinario; antibióticos para uso veterinario; medicamentos para uso veterinario; preparaciones antibacterianas para uso veterinario; preparaciones antiinfecciosos para uso veterinario; preparaciones químicas para uso veterinario; preparaciones sanitarias para uso veterinario; productos farmacéuticos, remedios para uso veterinario para el tratamiento de las infestaciones parasitarias.</t>
  </si>
  <si>
    <t>Vida Full</t>
  </si>
  <si>
    <t>19 dic. 2022</t>
  </si>
  <si>
    <t>MATEO YEPES VELASQUEZ , CRA 41 A # 40 B SUR - 52 BARRIO EL DORADO , ENVIGADO, ANTIOQUIA, CO</t>
  </si>
  <si>
    <t>5. Complementos alimenticios a base de oligoelementos; complementos alimenticios para uso médico a base de aminoácidos, minerales y oligoelementos; complementos de oligoelementos para productos alimenticios de consumo humano; preparaciones de oligoelementos para consumo humano; preparaciones de oligoelementos para uso humano; suplementos alimenticios a base de oligoelementos; suplementos dietéticos a base de oligoelementos; nutracéuticos para uso terapéutico; nutracéuticos utilizados como complementos dietéticos; preparaciones para aumentar el deseo sexual; preparaciones para mejorar la prestación sexual; cápsulas a base de hierbas para potenciar la sexualidad masculina.</t>
  </si>
  <si>
    <t>MI PIEL SALUD Y BELLEZA</t>
  </si>
  <si>
    <t>10 nov. 2022</t>
  </si>
  <si>
    <t>MI PIEL</t>
  </si>
  <si>
    <t>DISTRIBUCIONES PROVEMEDICS S.A.S, Calle 60 No 47 - 73, BARRANQUILLA, ATLÁNTICO 08001, CO</t>
  </si>
  <si>
    <t>3. Cremas cosméticas; jabones cosméticos.
5. Cremas medicinales; jabones medicinales.</t>
  </si>
  <si>
    <t>Jesús David  Polanco Bustillo, Carrera 57 No 77 - 24, BARRANQUILLA, ATLÁNTICO 08001, CO</t>
  </si>
  <si>
    <t>ALVATANZ</t>
  </si>
  <si>
    <t>5. Preparaciones farmacéuticas, concretamente preparaciones cardíacas, cardiovasculares y cardiometabólicas para uso humano.</t>
  </si>
  <si>
    <t>INSANITY</t>
  </si>
  <si>
    <t>INVERSIONES MUTANT NUTRITION S.A.S, MANZANA 9 CASA 26 ETAPA 3 URBANIZACION PRADERAS DE SANTA RITA, IBAGUE, TOLIMA, CO</t>
  </si>
  <si>
    <t>5. Bebidas nutricionales en cuanto suplementos alimenticios; preparaciones y suplementos nutricionales para la salud; productos dietéticos y suplementos nutricionales para uso médico; proteínas de suero de leche en cuanto suplementos nutricionales; proteínas de suero de leche en polvo [suplementos nutricionales]; suplementos alimenticios; suplementos nutricionales líquidos; suplementos nutricionales y alimenticios; suplementos y preparaciones nutricionales.</t>
  </si>
  <si>
    <t>PROFERT PLUS</t>
  </si>
  <si>
    <t>5. Complementos alimenticios de vitaminas y minerales; preparaciones para aumentar la fertilidad; suplementos alimenticios a base de aminoácidos; suplementos dietéticos y nutricionales; sustancias dietéticas de vitaminas, minerales, aminoácidos y oligoelementos; supplementos alimenticios dietéticos en cápsulas.</t>
  </si>
  <si>
    <t>NUTRICEL NUTRICION TERAPEUTICA</t>
  </si>
  <si>
    <t>23 nov. 2022</t>
  </si>
  <si>
    <t>NUTRICEL</t>
  </si>
  <si>
    <t>NUTRICEL NUTRICION TERAPEUTICA SAS, CALLE 39 No 28B 21, BOGOTÁ, D.C. 10001, CO</t>
  </si>
  <si>
    <t>JOSE ANTONIO ESCOBAR LLANOS, Carrera 18 # 17 B 111, VILLAVICENCIO, META 50001, CO</t>
  </si>
  <si>
    <t>27 abr. 2023</t>
  </si>
  <si>
    <t>ONIS SKIN CARE</t>
  </si>
  <si>
    <t>21 nov. 2022</t>
  </si>
  <si>
    <t>ONIS</t>
  </si>
  <si>
    <t>Ana Maria Rodriguez Fernandez, Calle 5 Sur 37 128, MEDELLIN, ANTIOQUIA, CO</t>
  </si>
  <si>
    <t>3. Cosméticos; cosméticos a base de cannabis; emulsiones, geles y lociones para el cuidado de la piel; maquillaje [cosméticos].
5. Geles, cremas y soluciones para uso dermatológico.</t>
  </si>
  <si>
    <t>HEIS UNLIMITED</t>
  </si>
  <si>
    <t>11 nov. 2022</t>
  </si>
  <si>
    <t>Heis Unlimited</t>
  </si>
  <si>
    <t>Paola Andrea Mejía Valbuena, Calle 34a #89-40, BOGOTÁ, D.C. 110871, CO</t>
  </si>
  <si>
    <t>5, 18, 25, 29, 30, 32, 33, 42</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</si>
  <si>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18. Cuero y cuero de imitación; pieles de animales; artículos de equipaje y bolsas de transporte; paraguas y sombrillas; bastones; fustas, arneses y artículos de guarnicionería; collares, correas y ropa para animales.
25. Prendas de vestir, calzado, artículos de sombrerería.
29. Carne, pescado, carne de ave y carne de caza; extractos de carne; frutas y verduras, hortalizas y legumbres en conserva, congeladas, secas y cocidas; jaleas, confituras, compotas; huevos; leche y productos lácteos; aceites y grasas comestibles.
30. Café, té, cacao y sucedáneos del café; arroz; tapioca y sagú; harinas y preparaciones a base de cereales; pan, productos de pastelería y confitería; helados; azúcar, miel, jarabe de melaza; levadura, polvos de hornear; sal; mostaza; vinagre, salsas (condimentos); especias; hielo.
32. Cervezas; aguas minerales y otras bebidas sin alcohol; bebidas a base de frutas y zumos de frutas; siropes y otras preparaciones para elaborar bebidas.
33. Bebidas alcohólicas (excepto cervezas).
42. Servicios científicos y tecnológicos, así como servicios de investigación y diseño en estos ámbitos; servicios de análisis e investigación industriales; diseño y desarrollo de equipos informáticos y de software.</t>
  </si>
  <si>
    <t>REXOVET</t>
  </si>
  <si>
    <t>15 nov. 2022</t>
  </si>
  <si>
    <t>5. Antibióticos para uso veterinario.</t>
  </si>
  <si>
    <t>Vita C brin</t>
  </si>
  <si>
    <t>16 nov. 2022</t>
  </si>
  <si>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t>
  </si>
  <si>
    <t>Gelitas E.U.</t>
  </si>
  <si>
    <t>02 dic. 2022</t>
  </si>
  <si>
    <t>gelitas1</t>
  </si>
  <si>
    <t>EMPRESA GELITAS E.U., CARRERA 9 N° 24A - 35, IPIALES, NARIÑO, CO</t>
  </si>
  <si>
    <t>3, 5, 29</t>
  </si>
  <si>
    <t>3. Lociones capilares*.
5. Aceites medicinales para masajes; complementos alimenticios medicinales a base de colágeno; suplementos alimenticios medicinales a base de colágeno.
29. Gelatina*; gelatinas de carne.</t>
  </si>
  <si>
    <t>Aura Ermina Mora Molina, Carrera 9 # 24 a- 35 Barrio Porvenir, IPIALES, NARIÑO, CO</t>
  </si>
  <si>
    <t>Higa Life Living Natural</t>
  </si>
  <si>
    <t>09 oct. 2023</t>
  </si>
  <si>
    <t>Vitafrut</t>
  </si>
  <si>
    <t>Vitalnat</t>
  </si>
  <si>
    <t>ULTRA SEX</t>
  </si>
  <si>
    <t>25 ene. 2024</t>
  </si>
  <si>
    <t>B.</t>
  </si>
  <si>
    <t>SPARTAN MOSQUITO</t>
  </si>
  <si>
    <t>17 nov. 2022</t>
  </si>
  <si>
    <t>153878</t>
  </si>
  <si>
    <t>AC2T INC, P.O. Box 18556 Hattiesburg MS 39404, US</t>
  </si>
  <si>
    <t>5. Plaguicidas para un dispositivo de erradicación de insectos y plagas de exteriores.</t>
  </si>
  <si>
    <t>Nembac</t>
  </si>
  <si>
    <t>3. Nembac (word mark) in classes 01 and 05 International</t>
  </si>
  <si>
    <t>Andermatt Group AG, Stahlermatten 6 6146 Grossdietwil Switzerland, GROSSDIETWIL, CANTÓN DE LUCERNA, CH</t>
  </si>
  <si>
    <t>1. Abonos para el suelo; preparaciones fertilizantes.
5. Fungicidas; pesticidas.</t>
  </si>
  <si>
    <t>MILE HIGH LABS</t>
  </si>
  <si>
    <t>M025900</t>
  </si>
  <si>
    <t>Mile High Labs, Inc., Street: 697 North Denver Avenue, Suite 132, LOVELAND, COLORADO 80537, US</t>
  </si>
  <si>
    <t>5. Suplementos dietéticos y nutricionales.</t>
  </si>
  <si>
    <t>TH THRIVE HEALTHY</t>
  </si>
  <si>
    <t>THRIVE HEALTHY</t>
  </si>
  <si>
    <t>ANDRES EDUARDO CUESTA ROBERTS, CRA 50 5 173, UNIDAD RESIDENCIAL, CALI, VALLE DEL CAUCA, CO</t>
  </si>
  <si>
    <t>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suplemento proteico para deportistas; suplementos dietarios y nutricionales.
35. Publicidad; gestión de negocios comerciales; administración comercial; trabajos de oficina; comercialización por Internet.</t>
  </si>
  <si>
    <t>BioVita by Biosa Colombia</t>
  </si>
  <si>
    <t>BIOSA COLOMBIA S.A.S, SIN ESTABLECER, CALI, VALLE DEL CAUCA, CO</t>
  </si>
  <si>
    <t>3. Cosméticos para el cuidado del cuerpo; cosméticos y preparaciones de cuidado personal; cremas cosméticas para el cuidado de la piel; cremas para el cuidado de la piel, no medicinales; cremas y lociones cosméticas para el cuidado del rostro y el cuerpo; emulsiones, geles y lociones para el cuidado de la piel.
5. Aceites para el cuidado de la piel [medicinales]; cremas medicinales para el cuidado de la piel; cremas para el cuidado de la piel, medicinales; preparaciones antisépticas para el cuidado corporal; preparaciones antisépticas para el cuidado del cuerpo; preparaciones medicinales para el cuidado de la piel.</t>
  </si>
  <si>
    <t>APATRUS</t>
  </si>
  <si>
    <t>HETERO LABS LIMITED, Hetero Corporate, 7-2-A2, Industrial Estates, Sanath Nagar, Hyderabad - 500 018, India., HYDERABAD, TELANGANA, IN</t>
  </si>
  <si>
    <t>5. Producto farmacéutico antineoplásico para uso humano.</t>
  </si>
  <si>
    <t>POTMA</t>
  </si>
  <si>
    <t>LILIANA SANIN SANTAMARIA, CALLE 5 NO. 76 A 150, APARTAMENTO 1010, ENVIGADO, ANTIOQUIA, CO</t>
  </si>
  <si>
    <t>5. Pociones medicinales; infusiones de hierbas medicinales; infusiones medicinales; bebidas a base de hierbas para uso médico; aerosoles medicinales para uso bucal; aerosoles a base de hierbas para uso médico; aerosoles antibacterianos; aerosoles herbarios para uso médico; aerosoles medicinales; aerosoles medicinales para la garganta; hierbas medicinales; hierbas medicinales secas o conservadas; pomadas antibióticas; pomadas antisépticas; pomadas labiales medicinales; complementos homeopáticos; medicamentos homeopáticos; ungüentos antiinflamatorios homeopáticos; complementos vitamínicos; complementos vitamínicos para productos alimenticios de consumo humano.</t>
  </si>
  <si>
    <t>CATALINA JARAMILLO ROMERO , Calle 25 b sur 45-50, ENVIGADO, ANTIOQUIA, CO</t>
  </si>
  <si>
    <t>ISOLATE GOLD</t>
  </si>
  <si>
    <t>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suplemento proteico para deportistas; suplementos dietarios y nutricionales.
35. Publicidad; gestión de negocios comerciales; administración comercial; trabajos de oficina, comercialización por Internet.</t>
  </si>
  <si>
    <t>LIV SHIELD</t>
  </si>
  <si>
    <t>WAYMA</t>
  </si>
  <si>
    <t>25 nov. 2022</t>
  </si>
  <si>
    <t>MARIA ANGELICA MANCERA SANCHEZ, Calle 134A No. 55A - 45, BOGOTÁ, D.C. 110110, CO</t>
  </si>
  <si>
    <t>3, 5, 29, 30, 32, 43</t>
  </si>
  <si>
    <t>3. Exclusivamente extracto de cannabis CBD; aceite corporal con cannabis CBD.
5. Exclusivamente productos a base de cannabis medicinal; sin que se relacione con los servicios que se prestan en la Clase 44 del nomenclador.
29. Frutas y verduras, hortalizas y legumbres en conserva, congeladas, secas y cocidas; jaleas, confituras, compotas; huevos; aceites y grasas para uso alimenticio excepto leche, carne, queso, yogurt y arequipe.
30. Pastas alimenticias y fideos; chocolate; productos para sazonar, hierbas en conserva, excepto Café, té, cacao y sucedáneos del café; arroz; tapioca y sagú; harinas y preparaciones a base de cereales; pan, productos de pastelería y confitería; helados; azúcar, miel, jarabe de melaza; levadura, polvos de hornear; sal; mostaza; vinagre, salsas (condimentos); especias; hielo.
32. Exclusivamente bebidas con cannabis.
43. Exclusivamente servicios de hospedaje sin restauración.</t>
  </si>
  <si>
    <t>DENSUPEN</t>
  </si>
  <si>
    <t>DURAN-02</t>
  </si>
  <si>
    <t>DENVER FARMA S.A., Natalio Querido 2285, Munro (B1605CYC), MUNRO, PROVINCIA DE BUENOS AIRES, AR</t>
  </si>
  <si>
    <t>5. Inyectores de insulina precargados.</t>
  </si>
  <si>
    <t>MANUEL ANTONIO GUERRERO GAITAN , TRANSVERSAL 2 67 - 15, BOGOTÁ, D.C., CO</t>
  </si>
  <si>
    <t>RINACOV</t>
  </si>
  <si>
    <t>22 nov. 2022</t>
  </si>
  <si>
    <t>LABORATORIO MAGNACHEM INTERNATIONAL SRL, Ave. José Francisco Peña Gómez, esquina calle K, Zona Industrial de Haina, SAN CRISTOBAL, SAN CRISTOBAL, DO</t>
  </si>
  <si>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</si>
  <si>
    <t>COVIRAX MCH</t>
  </si>
  <si>
    <t>TODO EN UNO</t>
  </si>
  <si>
    <t>5. Complementos alimenticios en polvo a base de proteinas.</t>
  </si>
  <si>
    <t>CLORMAG</t>
  </si>
  <si>
    <t>AZIDEX FARMET</t>
  </si>
  <si>
    <t>FARMET DISTRIBUCIONES S.A.S, cra 73b bis 3 52Calle 124 57 45 Apartamento 206 Torre 3 BOGOTÁ D.C. , BOGOTA, CUNDINAMARCA 111171, CO</t>
  </si>
  <si>
    <t>JOAQUÍN GARCÍA MONROY, Calle 124 57 45 Apartamento 206  Torre 3 , BOGOTÁ, D.C. 111171, CO</t>
  </si>
  <si>
    <t>CALMAFULL FARMET</t>
  </si>
  <si>
    <t>DOLOEZ FARMET</t>
  </si>
  <si>
    <t>ESDOX FARMET</t>
  </si>
  <si>
    <t>HISDEX FARMET</t>
  </si>
  <si>
    <t>NovoxiDol</t>
  </si>
  <si>
    <t>NOVOFAR LAB SAS, KRA 29 A 69 - 67, MANIZALES, CALDAS 170001, CO</t>
  </si>
  <si>
    <t>5. MEDICAMENTOS PARA CONSUMO HUMANO (EN TODAS LAS PRESENTACIONES); PRODUCTOS FARMACÉUTICOS A BASE DE RECURSOS NATURALES, COMPLEMENTOS Y SUPLEMENTOS MULTIVITAMÍNICOS, SUPLEMENTOS DIETARIOS, FITOTERAPÉUTICOS, ALIMENTOS DIETÉTICOS, ALIMENTOS PARA BEBES Y ANCIANOS, SUSTANCIAS DIETÉTICAS PARA USO MÉDICO.</t>
  </si>
  <si>
    <t>NovoxiDol Ultra</t>
  </si>
  <si>
    <t>40UPROS</t>
  </si>
  <si>
    <t>24 nov. 2022</t>
  </si>
  <si>
    <t>FSA NATURAL S.A.S. FSAN SAS , CALLE 37 # 35 - 3 PISO 2 BARRIO EL PRADO , BUCARAMANGA, SANTANDER, CO</t>
  </si>
  <si>
    <t>5.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 vegana en cuanto suplemento nutricional de bebidas listas para beber;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compuestos de aminoácidos;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compuestos principalmente de magnesio; suplementos nutricionales compuestos principalmente de zinc;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t>
  </si>
  <si>
    <t>FREDY SOLANO AMAYA, CALLE 37 # 35 - 3 PISO 2 BARRIO EL PRADO, BUCARAMANGA, SANTANDER, CO</t>
  </si>
  <si>
    <t>DAPTICID</t>
  </si>
  <si>
    <t>SRS LIFE SCIENCES COLOMBIA S.A.S, Calle 132 #20-31 Apto. 602, BOGOTÁ, D.C., CO</t>
  </si>
  <si>
    <t>5. Medicamento intrahospitalario antibiótico de amplio espectro.</t>
  </si>
  <si>
    <t>ANDRES FELIPE LOPEZ GUTIERREZ, Calle 98 No. 22-64 Of. 716, BOGOTÁ, D.C., CO</t>
  </si>
  <si>
    <t>AGE CLINIQUE</t>
  </si>
  <si>
    <t>SATORI MEDICAL S.A.S., CALLE 7 SUR NO. 39 107, MEDELLIN, ANTIOQUIA, CO</t>
  </si>
  <si>
    <t>3. Productos de limpieza y de tocador no medicinales. Productos cosméticos como jabones no medicinales; productos de perfumería, aceites esenciales, cosméticos no medicinales, lociones capilares no medicinales; dentífricos no medicinales. Productos capilares, corporales y faciales cosméticos, no medicinales.
5. Productos farmacéuticos, productos higiénicos y sanitarios para uso médico; alimentos y sustancias dietéticas para uso médico; complementos nutricionales para seres humanos. Productos capilares, corporales y faciales medicinales.
44. Servicios médicos. Consulta médica especializada. Cirugía y procedimientos estéticos. Tratamientos para el rostro, el cabello y el cuerpo como tratamientos anti envejecimiento, rejuvenecimiento facial, peeling; tratamientos para el acné y la mejoría de manchas; microdermoabrasión; armonización facial; mesoterapia; rellenos faciales; aplicación de hilos PDO e hilos tensores; aplicación de toxina botulínica. Armonización de cicatrices; Armonización de glúteos; radiofrecuencia y ultrasonido. Tratamiento para la reducción de grasa localizada; tratamientos médicos para la reestructuración de tejidos. Servicios de análisis médicos prestados por laboratorios médicos con fines diagnósticos y terapéuticos. Asesoramiento sobre dietética y nutrición. Medicina biológica.</t>
  </si>
  <si>
    <t>VANESSA VELEZ GUTIERREZ, CALLE 49 NO. 88-10, MEDELLIN, ANTIOQUIA, CO</t>
  </si>
  <si>
    <t>N NUUL ATRÉVETE A SER Tú MISMO</t>
  </si>
  <si>
    <t>Solicitud registro signo distintivo</t>
  </si>
  <si>
    <t>maria camila daza cabal, calle 9 D # 40-61, CALI, VALLE DEL CAUCA, CO</t>
  </si>
  <si>
    <t>5. Preparaciones dermatológicas; cremas de uso dermatológico; lociones y cremas medicinales para el cuerpo, piel, cara y manos; preparaciones con filtro solar, medicinales; preparaciones de aloe vera para uso farmacéutico; preparaciones dermocosméticas; preparaciones farmacológicas para el cuidado de la piel; preparaciones farmacéuticas dermatológicas; preparaciones farmacéuticas para el tratamiento de afecciones cutáneas; preparaciones para el tratamiento del acné; preparaciones que contienen vitamina c; preparaciones de niacinamida para el tratamiento del acné; geles, cremas y soluciones para uso dermatológico; serum calmante para la piel, medicinales; limpiadores faciales antibacterianos medicinales; soluciones para uso dermatológico.
44. Servicios dermatológicos para el tratamiento de afecciones de la piel; suministro de información médica sobre dermatología; servicios de dermatología; servicios de consultoría en estética.</t>
  </si>
  <si>
    <t>PALTON</t>
  </si>
  <si>
    <t>25-11-03-PALTON</t>
  </si>
  <si>
    <t>ZIPAB</t>
  </si>
  <si>
    <t>25-11-04-ZIPAB</t>
  </si>
  <si>
    <t>Flebinol</t>
  </si>
  <si>
    <t>28 nov. 2022</t>
  </si>
  <si>
    <t>FLEBINOL</t>
  </si>
  <si>
    <t>LISETH VANESSA ARANA LOPEZ, CLL 93 #7 SUR 59 TORRE 5 - AP 404, IBAGUE, TOLIMA, CO</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</si>
  <si>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35. Publicidad; gestión de negocios comerciales; administración comercial; trabajos de oficina.</t>
  </si>
  <si>
    <t>RANCONA CREST</t>
  </si>
  <si>
    <t>ACO- UPL - NOV 2022</t>
  </si>
  <si>
    <t>UPL MAURITIUS LIMITED, 6th Floor, Suite 157B
Harbor Front Building
President John Kennedy Street
Port Louis, MU</t>
  </si>
  <si>
    <t>1. Productos químicos para su uso en la industria, así como en la agricultura, horticultura y silvicultura; resinas artificiales sin procesar, plásticos sin procesar; sustancias para curtir pieles y pieles de animales; abono, abonos, fertilizantes; preparaciones biológicas para su uso en la industria y la ciencia.
5. Herbicidas, pesticidas, insecticidas, fungicidas, vermicidas, rodenticidas, herbicidas, preparaciones para matar malezas y destruir alimañas.</t>
  </si>
  <si>
    <t>ALVARO CORREA ORDOÑEZ, Crr 16 No 88 -81 of 404, BOGOTÁ, D.C., CO</t>
  </si>
  <si>
    <t>SATELITE PLUS</t>
  </si>
  <si>
    <t>5. Herbicidas, pesticidas, insecticidas, fungicidas, vermicidas, rodenticidas, herbicidas, preparaciones para matar malezas y destruir alimañas.</t>
  </si>
  <si>
    <t>ALCANEL</t>
  </si>
  <si>
    <t>PROTEN-SURE</t>
  </si>
  <si>
    <t>29 dic. 2022</t>
  </si>
  <si>
    <t>CLORYNAT</t>
  </si>
  <si>
    <t>5. Complementos alimenticios; complementos nutricionales, para personas.</t>
  </si>
  <si>
    <t>BIONSE</t>
  </si>
  <si>
    <t>Slimf-ast</t>
  </si>
  <si>
    <t>5. Suplementos y complementos alimenticios con vitaminas, proteínas y minerales elaborados con Productos Naturales para el consumo humano.</t>
  </si>
  <si>
    <t>ARTYS</t>
  </si>
  <si>
    <t>Canduma</t>
  </si>
  <si>
    <t>CANDUMA</t>
  </si>
  <si>
    <t>PERSEO</t>
  </si>
  <si>
    <t>5. Complementos alimenticios medicinales a base de colágeno.</t>
  </si>
  <si>
    <t>HEILEN medical apparel</t>
  </si>
  <si>
    <t>HEILEN</t>
  </si>
  <si>
    <t>LUISA  LOPERA BOTERO, Calle 10 A # 10-190, MEDELLIN, ANTIOQUIA, CO</t>
  </si>
  <si>
    <t>5, 10, 25</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</si>
  <si>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10. Aparatos e instrumentos quirúrgicos, médicos, odontológicos y veterinarios; miembros, ojos y dientes artificiales; artículos ortopédicos; material de sutura; dispositivos terapéuticos y de asistencia para personas discapacitadas; aparatos de masaje; gorros quirúrgicos; batas de exámen desechables para pacientes; batas de exámen para pacientes; batas de laboratorio para uso quirúrgico; batas de reconocimiento desechables para pacientes; batas de reconocimiento para pacientes; batas médicas de aislamiento; batas para personal médico; batas para uso médico; batas para uso quirúrgico; batas quirúrgicas; batas quirúrgicas desechables; batas quirúrgicas reutilizables; ropa de protección desechable para uso médico; ropa de protección para uso médico; ropa de protección para uso quirúrgico; ropa de protección reutilizable para uso médico; ropa especial para quirófano; ropa esterilizada para uso médico; ropa esterilizada para uso quirúrgico; ropa quirúrgica.
25. Prendas de vestir, calzado, artículos de sombrerería; uniformes; uniformes para personal de enfermería; gorros; batas de laboratorio; batas de laboratorio para uso en hospitales; batas de laboratorio para uso en los hospitales; batas de laboratorio para uso hospitalario.</t>
  </si>
  <si>
    <t>CAMILA DIAZ DIAZ , CARRERA 35 # 7A SUR 56, MEDELLIN, ANTIOQUIA, CO</t>
  </si>
  <si>
    <t>09 jun. 2023</t>
  </si>
  <si>
    <t>ALISTON</t>
  </si>
  <si>
    <t>5. Productos farmacéuticos veterinarios.</t>
  </si>
  <si>
    <t>ALVARO ROJAS ANAYA, Parque Industrial Gran sabana bodega M 24 , TOCANCIPA, CUNDINAMARCA, CO</t>
  </si>
  <si>
    <t>ROUGE</t>
  </si>
  <si>
    <t>M025803</t>
  </si>
  <si>
    <t>1. Productos químicos para la agricultura, la horticultura y la silvicultura; abonos para el suelo, fertilizantes, productos fertilizantes.
5. Fungicidas, herbicidas, insecticidas, adyuvantes.</t>
  </si>
  <si>
    <t>PROFEN</t>
  </si>
  <si>
    <t>LABORATORIOS SERVINSUMOS S.A., Bodega M24 Parque Industrial Gran Sabana, TOCANCIPA, CUNDINAMARCA, CO</t>
  </si>
  <si>
    <t>PROVERIS</t>
  </si>
  <si>
    <t>LLC42520</t>
  </si>
  <si>
    <t>JOHNSON &amp; JOHNSON, One Johnson &amp; Johnson Plaza, New Brunswick, New Jersey 08933, NEW BRUNSWICK, NEW JERSEY, US</t>
  </si>
  <si>
    <t>1. Bioestimulantes; fertilizantes; reguladores del crecimiento de plantas para uso agrícola; nutrientes para el crecimiento de las plantas; productos reguladores para el crecimiento de las plantas; sustancias para regular el crecimiento de las plantas.
5. Fungicidas.</t>
  </si>
  <si>
    <t>30 nov. 2022</t>
  </si>
  <si>
    <t>M20024</t>
  </si>
  <si>
    <t>AstraZeneca UK Limited, 1 Francis Crick Avenue, Cambridge Biomedical Campus, CAMBRIDGE, INGLATERRA CB2 0AA, GB</t>
  </si>
  <si>
    <t>5. Preparaciones y sustancias farmacéuticas.</t>
  </si>
  <si>
    <t>EXTREMECREA</t>
  </si>
  <si>
    <t>ZAIDA LILIANA  CASTRO FAJARDO, CL 51 No 33 12 , BUCARAMANGA, SANTANDER, CO</t>
  </si>
  <si>
    <t>VITAFTER 30</t>
  </si>
  <si>
    <t>A Ádala</t>
  </si>
  <si>
    <t>Ádala</t>
  </si>
  <si>
    <t>NUTRACTIVA S.A.S., CALLE 24A 57 69, BOGOTÁ, D.C. 111321, CO</t>
  </si>
  <si>
    <t>5.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bebidas medicinales en la forma de suplementos dietéticos para la desintoxicación del colon; bebidas medicinales en la forma de suplementos dietéticos para la desintoxicación del hígado; bebidas nutricionales en cuanto suplementos alimenticios; preparaciones y suplementos nutricionales para la salud; preparaciones y suplementos para la salud; productos dietéticos y suplementos nutricionales para uso médico; proteína vegana en cuanto suplemento nutricional de bebidas listas para beber; suplementos alimenticios; suplementos alimenticios a base de aminoácidos; suplementos alimenticios a base de caseína; suplementos alimenticios a base de enzimas; suplementos alimenticios a base de minerales; suplementos alimenticios a base de oligoelementos; suplementos alimenticios a base de proteínas; suplementos alimenticios a base de proteínas vegetales en forma de polvo;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humanos; suplementos alimenticios para personas; suplementos alimenticios para seres humanos; suplementos alimenticios para uso farmacéutico; suplementos alimenticios probióticos; suplementos alimenticios probióticos en cápsulas; suplementos alimenticios proteicos en polvo; suplementos alimenticios que no sean para uso médico; suplementos de hierbas líquidos; suplementos de oligoelementos para productos alimenticios de consumo humano; suplementos de proteínas para personas; suplementos de proteínas para seres humanos; suplementos de vitaminas para productos alimenticios de consumo humano; suplementos dietéticos; suplementos dietéticos a base de aminoácidos;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carbón activado; suplementos dietéticos de ácido fólico; suplementos dietéticos en forma de polvo; suplementos dietéticos en forma líquida;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productos alimenticios de consumo humano; suplementos y preparaciones dietéticas; suplementos y preparaciones nutricionales; vitaminas, minerales y antioxidantes en cuanto suplementos nutricionales y dietéticos.</t>
  </si>
  <si>
    <t>Jorge Eliécer Jiménez Sánchez, CALLE 24A 57 69, TORRE 5 APTO 302, BOGOTÁ, D.C. 111321, CO</t>
  </si>
  <si>
    <t>BORDUS</t>
  </si>
  <si>
    <t>01 dic. 2022</t>
  </si>
  <si>
    <t>ACO- UPL - DIC 2022</t>
  </si>
  <si>
    <t>Cannabian Pharma</t>
  </si>
  <si>
    <t>04 dic. 2022</t>
  </si>
  <si>
    <t>Carlos Leonardo Calderon Trivaldo, Carrera 100 No. 11-16, Local 181, BOGOTÁ, D.C., CO</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</si>
  <si>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44. Servicios médicos; servicios veterinarios; tratamientos de higiene y de belleza para personas o animales..</t>
  </si>
  <si>
    <t>UNIHEALTH COLOMBIA S.A.S.</t>
  </si>
  <si>
    <t>UNIHEALTH COLOMBIA SAS, Cra 8 No. 81 - 20 apto 303, BOGOTÁ, D.C., CO</t>
  </si>
  <si>
    <t>5, 9, 10, 42</t>
  </si>
  <si>
    <t>5. Productos farmacéuticos; productos farmacéuticos, preparaciones para uso médico y veterinario; productos higiénicos y sanitarios para uso médico.
9. Programas informáticos y software.
10. Aparatos e instrumentos quirúrgicos, médicos, odontológicos y veterinarios.
42. Diseño y desarrollo de equipos informáticos y de software.</t>
  </si>
  <si>
    <t>LAURA ROBLEDO, Calle 97A # 7A - 24, BOGOTÁ, D.C. 110221, CO</t>
  </si>
  <si>
    <t>CUPERTRON</t>
  </si>
  <si>
    <t>THIOPRON</t>
  </si>
  <si>
    <t>ZEVETO</t>
  </si>
  <si>
    <t>PROSTICK</t>
  </si>
  <si>
    <t>OXIVIR</t>
  </si>
  <si>
    <t>Diversey, Inc., 1300 Altura Road, Suite 125, Fort Mill, SC 29708, Estados Unidos de America , FORT MILL, SOUTH CAROLINA, US</t>
  </si>
  <si>
    <t>3. Preparados de limpieza y pulido para uso en superficies duras en entornos comerciales, industriales e institucionales.
5. Desinfectantes y sanitizantes para uso en superficies duras en entornos comerciales, industriales e institucionales.</t>
  </si>
  <si>
    <t>Terra Vital Vida y Bienestar en un solo lugar...</t>
  </si>
  <si>
    <t>Terra Vital</t>
  </si>
  <si>
    <t>Jose Nicolas  Caro Pinto , Calle 74a#83-15, BOGOTA, CUNDINAMARCA, CO</t>
  </si>
  <si>
    <t>5. Colágeno para uso médico; complementos alimenticios medicinales a base de colágeno; suplementos alimenticios medicinales a base de colágeno.</t>
  </si>
  <si>
    <t>Nicolás Carvajal Beltrán, Calle 94a #13-91, BOGOTÁ, D.C., CO</t>
  </si>
  <si>
    <t>AVISOL</t>
  </si>
  <si>
    <t>COSMIC STARDUST</t>
  </si>
  <si>
    <t>LLC42526</t>
  </si>
  <si>
    <t>Alani Nutrition LLC, 7201 Intermodal Drive, Suite A, LOUISVILLE, KENTUCKY 40258, US</t>
  </si>
  <si>
    <t>5. Suplementos nutricionales; mezcla de bebida de suplemento nutricional en polvo que contiene proteínas; suplementos dietéticos; batidos de suplementos proteicos; suplementos de proteína de suero de leche; suplementos dietéticos para antes del entrenamiento; suplementos dietéticos para después del entrenamiento; suplementos dietéticos proteicos formados y envasados en forma de barritas; suplementos proteicos formados y envasados en forma de barritas.
32. Agua con gas; bebidas energizantes; bebidas deportivas; polvos usados en la preparación de bebidas deportivas isotónicas y bebidas deportivas; bebidas proteicas.</t>
  </si>
  <si>
    <t>20 jun. 2023</t>
  </si>
  <si>
    <t>Salüs</t>
  </si>
  <si>
    <t>03 dic. 2022</t>
  </si>
  <si>
    <t>330715</t>
  </si>
  <si>
    <t>JESSICA DANIELA TORRES QUINTERO, calle 18 bis #23-21 Barrio Boston, PEREIRA, RISARALDA, CO</t>
  </si>
  <si>
    <t>5. Suplementos alimenticios dietéticos en forma de polvo; suplementos alimenticios dietéticos en forma de gránulos; suplementos alimenticios dietéticos en polvo; suplementos alimenticios a base de yacón; suplementos alimenticios a base de proteínas; suplementos alimenticios a base de proteínas vegetales en forma de polvo; suplementos alimenticios antioxidantes; suplementos alimenticios compuestos de aminoácidos; suplementos alimenticios dietéticos; suplementos alimenticios para seres humanos; suplementos alimenticios probióticos; suplementos alimenticios proteicos en polvo; suplementos alimenticios en polvo a base de proteinas; suplementos alimenticios minerales; suplementos alimenticios para humanos; suplementos alimenticios para personas; suplementos alimenticios minerales para seres humanos; proteínas de suero de leche [suplementos alimenticios]; proteínas de suero de leche en cuanto suplementos alimenticios; suplementos alimenticios; suplementos alimenticios a base de minerales; suplementos alimenticios a base de oligoelementos; suplementos alimenticios a base de aminoácidos.</t>
  </si>
  <si>
    <t>Diclofenaco 50</t>
  </si>
  <si>
    <t>05 dic. 2022</t>
  </si>
  <si>
    <t>Solicitud de marca Diclofenaco 50</t>
  </si>
  <si>
    <t>5. Preparaciones farmacéuticas médicas y veterinarias; medicamentos para uso veterinario, preparaciones para uso médico o veterinario.</t>
  </si>
  <si>
    <t>Bonn Pharmaceutical</t>
  </si>
  <si>
    <t>600702</t>
  </si>
  <si>
    <t>Maria Alejandra Castillo Rios, calle 74a#113a-29, BOGOTA, CUNDINAMARCA 111031, CO</t>
  </si>
  <si>
    <t>3, 5, 30, 35</t>
  </si>
  <si>
    <t xml:space="preserve">3. Aceites esenciales industriales para uso en la fabricación de productos de tabaco; aceites esenciales para la fabricación de productos perfumados; aceites esenciales para uso en la fabricación de productos neutralizadores de olores; aceites esenciales para uso industrial para uso en la fabricación de productos de tabaco; aceites para bebés [productos de tocador]; aceites para después del sol [productos cosméticos]; aceites perfumados para la fabricación de productos cosméticos; almizcle [producto de perfumería]; almohadillas de limpieza impregnadas con productos cosméticos; almohadillas limpiadoras impregnadas de productos cosméticos; ambientadores de interior [productos para perfumar el aire]; ambientadores de interior [productos para perfumar el ambiente]; ambientadores de interior en cuanto productos para perfumar el aire; ambientadores de interior en cuanto productos para perfumar el ambiente; colonias, perfumes y productos cosméticos; colorantes labiales [productos cosméticos]; colorantes para los labios [productos cosméticos]; correctores de imperfecciones [productos cosméticos]; cremas de limpieza [productos cosméticos]; cremas limpiadoras [productos cosméticos]; desodorantes corporales [productos de perfumería]; desodorantes para personas o animales [productos de perfumería]; esmaltes de base para las uñas [productos cosméticos]; esponjas impregnadas con productos de tocador; esponjas impregnadas con productos de tocador no medicinales; espumas en cuanto productos par el peinado; espumas para el cabello [productos de tocador]; espumas para el peinado del cabello [productos de tocador]; extractos de flores [productos de perfumería]; extractos de flores en cuanto productos de perfumería; fragancias y productos de perfumería; geles para después del sol [productos cosméticos]; iononas [productos de perfumería]; leches para después del sol [productos cosméticos]; limpiadores cutáneos [productos cosméticos]; limpiadores de la piel [productos cosméticos]; limpiadores faciales [productos cosméticos]; lociones para bebés [productos de tocador]; lociones para la piel [productos cosméticos]; mascarillas faciales [productos cosméticos]; paños desechables impregnados de productos o compuestos químicos limpiadores para uso industrial o comercial; paños desechables impregnados de productos químicos o compuestos limpiadores para la higiene personal; paños impregnados de productos de limpieza para la piel; paños impregnados de productos limpiadores para la piel; paños o toallitas impregnados de productos limpiadores para la piel; perfumes, aguas de colonia y productos para después del afeitado; polvos para bebés [productos de tocador]; preparaciones blanqueadoras para la piel [productos cosméticos]; preparaciones de higiene en cuanto productos de tocador; preparaciones de protección solar [productos cosméticos]; preparaciones higiénicas en cuanto productos de tocador no medicinales; preparaciones no medicinales para el aseo de animales que no sean productos para lavarlos; preparaciones para el cuidado de la piel [productos cosméticos]; preparaciones sanitarias en cuanto productos de tocador no medicinales; preparaciones y productos para el cuidado de las uñas; productos antiestáticos para uso doméstico; productos antitranspirantes [artículos de tocador]; productos aromáticos para uso doméstico; productos blanqueadores [lavandería]; productos blanqueadores de dientes; productos blanqueadores para el cuero; productos blanqueadores para lavar la ropa; productos blanqueadores para uso doméstico; productos con filtro solar; productos con filtro solar a prueba de agua; productos con filtro solar para uso cosmético; productos con filtro solar resistentes al agua; productos con pantalla solar;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afeitar; productos de aromaterapia; productos de enjuague para el cabello; productos de enjuague para el cabello [champús acondicionadores]; productos de fumigación [perfumes]; productos de glaseado para lavar la ropa; productos de jabón; productos de jabón no medicinales; productos de limpieza; productos de limpieza alcalinos en forma líquida para desagües; productos de limpieza alcalinos en forma sólida para desagües; productos de limpieza alcalinos para desagües; productos de limpieza cáusticos para desagües; productos de limpieza en aerosoles para productos textiles; productos de limpieza en aerosoles para refrescar protectores bucales para deportes;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enzimáticos para desagües; productos de limpieza oxidantes para desagües; productos de limpieza para cristales; productos de limpieza para el hogar; productos de limpieza para las pestañas; productos de limpieza para uso doméstico; productos de limpieza para uso en azulejos; productos de limpieza para vidrios; productos de limpieza químicos en forma de gel para desagües; productos de limpieza químicos en forma de polvo para desagües; productos de limpieza químicos en forma líquida para desagües; productos de limpieza químicos para desagües; productos de limpieza ácidos para desagües; productos de maquillaje; productos de perfumería; productos de perfumería con aroma a vainilla; productos de perfumería de cedro; productos de perfumería naturales; productos de perfumería sintéticos; productos de perfumería y productos de fragancias; productos de perfumería, aceites esenciales; productos de perfumería, aceites esenciales, cosméticos no medicinales, lociones capilares no medicinales; productos de perfumería, aceites esenciales, cosméticos, lociones capilares; productos de perfumería, fragancias e incienso; productos de perfumería, fragancias e incienso que no sean perfumes para uso personal; productos de perfumería, inciensos y fragancias; productos de revestimiento para esculpir uñas; productos de revestimiento para esculpir uñas [productos cosméticos]; productos de textura para el cabello; productos de tocador no medicinales; productos decolorantes para el cabello; productos depilatorios; productos desengrasantes que no sean para procesos de fabricación; productos desoxidantes; productos en aerosol para refrescar el aliento; productos hidratantes antienvejecimiento; productos hidratantes para después del sol; productos hidratantes para el cabello; productos limpiadores con desodorante para lechos higiénicos de animales; productos neutralizantes para permanentes; productos no medicamentosos para refrescar el aliento; productos no medicinales para el cuidado de la piel; productos no medicinales para enjuagarse la boca y hacer gargarismos; productos no medicinales para lavarse las manos; productos no medicinales para lavarse y enjuagarse la boca; productos para ablandar las uñas; productos para aclarar el cabello; productos para aclarar la piel; productos para afilar; productos para afinar el grano de la piel; productos para alisar [lavandería]; productos para amolar; productos para blanquear los dientes; productos para dar brillo; productos para decolorar el cabello; productos para después del afeitado; productos para desrizar el cabello; productos para el cuidado de la piel, no medicinales; productos para el cuidado de las uñas; productos para eliminar las manchas producidas por animales de compañía; productos para lavar perros [champús]; productos para lavar platos; productos para limpiar papel pintado; productos para limpiar papel tapiz; productos para lustrar automóviles; productos para lustrar cromo; productos para lustrar cueros; productos para lustrar instrumentos musicales; productos para lustrar muebles; productos para lustrar pieles curtidas; productos para lustrar pisos; productos para lustrar suelos; productos para mejorar la textura de la piel; productos para perfumar el ambiente; productos para perfumar la ropa; productos para poner la ropa en remojo; productos para pulir guitarras; productos para pulir metales; productos para pulir muebles y pisos; productos para pulir muebles y suelos; productos para quitar barnices; productos para quitar lacas; productos para quitar pinturas; productos para quitar tintes; productos para refrescar el aliento; productos para refrescar el aliento que no sean para uso médico; productos para refrescar el aliento, a saber, barritas masticables de extractos de abedul; productos para refrescar la piel; productos para remojar la ropa; productos para suavizar y eliminar las manchas; productos químicos de uso doméstico para avivar los colores [lavandería]; productos y preparaciones cosméticos para el cuidado de la piel; productos y preparaciones no medicinales para el cuidado de la piel; productos y preparaciones para el cuidado del cabello; protectores solares para los labios [productos cosméticos]; talco para bebés [productos de tocador]; tintes labiales [productos cosméticos]; tintes para los labios [productos cosméticos]; toallas de papel para las manos impregnadas de productos cosméticos; toallitas impregnadas de productos cosméticos; toallitas impregnadas de productos limpiadores para la piel; toallitas o paños impregnados de productos limpiadores para la piel; vainillina sintética [productos de perfumería]; ámbar [productos de perfumería]; aceites esenciales naturales; almidones naturales para el apresto; almidones naturales para la colada; almizcle natural; cosméticos naturales.
5. Aditivos minerales para productos alimenticios de consumo humano;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almidón y productos amiláceos para uso dietético y farmacéutico; almidón y productos amiláceos para uso farmacéutico; complementos de oligoelementos para productos alimenticios de consumo humano; complementos de vitaminas para productos alimenticios de consumo humano; complementos medicinales para productos alimenticios de consumo humano; complementos vitamínicos para productos alimenticios de consumo humano; cápsulas de gelatina para productos farmacéuticos; cápsulas de gelatina vacías para productos farmacéuticos; cápsulas de polímeros dendriméricos para productos farmacéuticos; cápsulas vacías para productos farmacéuticos; esponjas impregnadas con productos químicos desinfectantes para uso en hospitales; esponjas impregnadas con productos químicos desinfectantes para uso en laboratorios; esponjas impregnadas con productos químicos desinfectantes para uso en los asientos de inodoros; parches cutáneos transdérmicos para el suministro de productos farmacéuticos; parches transdérmicos para la administración de productos farmacéuticos; preparaciones de proteínas para uso en cuanto aditivos de productos alimenticios para el consumo humano para uso médico; preparaciones de proteínas para uso en cuanto aditivos de productos alimenticios para la alimentación humana para uso médico; preparaciones proteicas para uso en cuanto aditivos de productos alimenticios para el consumo humano para uso médico; preparaciones sanitarias de higiene personal que no sean productos de tocador; preparados de proteínas para uso en cuanto aditivos de productos alimenticios para el consumo humano para uso médico; preparados de proteínas para uso en cuanto aditivos de productos alimenticios para la alimentación humana para uso médico;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productos antibacterianos para lavar las manos; productos antibióticos para lavarse las manos; productos anticriptogámicos; productos antihemorroidales; productos antimicrobianos para lavarse las manos; productos antimoho; productos antiparasitarios; productos antipiréticos; productos antipolillas; productos antisépticos para el cuidado corporal; productos antisépticos para el cuidado del cuerpo; productos antiúricos; productos contra las polillas; productos cáusticos para uso farmacéutico; productos de fumigación para uso médico; productos de lavado insecticidas para uso veterinario; productos de limpieza antibacterianos; productos de limpieza desinfectantes para el baño; productos de limpieza desinfectantes para inodoros; productos de limpieza para la desinfección de frutas y hortalizas; productos de organoterapia; productos de pulverización contra insectos; productos de relleno dérmico inyectables; productos de uso médico para refrescar el aliento; productos derivados del procesamiento de cereales para uso médico; productos desinfectantes para lavarse las manos; productos dietéticos para usos médicos especiales [dietas equilibradas]; productos dietéticos y complementos nutricionales para uso médico; productos dietéticos y suplementos nutricionales para uso médico;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 productos febrífugos; productos hematógenos; productos higiénicos para uso médico; productos higiénicos y sanitarios para uso médico; productos medicinales para el cuidado de la piel; productos medicinales para lavarse las manos; productos opoterápicos; productos optoterápicos; productos organoterapéuticos; productos para el control de alimañas; productos para el control de animales dañinos; productos para el control de plagas; productos para el cuidado de la piel, medicinales; productos para el frotado quirúrgico; productos para eliminar animales dañinos; productos para eliminar babosas; productos para eliminar larvas; productos para eliminar parásitos; productos para eliminar ratones; productos para eliminar roedores; productos para las callosidades; productos para las hemorroides; productos para las quemaduras; productos para lavar animales [insecticidas]; productos para lavar el ganado [insecticidas]; productos para lavar perros [insecticidas]; productos para los callos de los pies; productos para los sabañones; productos para purificar el aire; productos para refrescar el aliento de uso médico; productos quimioterapéuticos; productos químicos para tratar la filoxera; productos químicos para uso médico; productos radioactivos para uso médico; productos sanitarios para uso médico; productos y preparaciones medicinales para el cuidado de la piel; subproductos del procesamiento de cereales para uso dietético o médico; suplementos de oligoelementos para productos alimenticios de consumo humano; suplementos de vitaminas para productos alimenticios de consumo humano; suplementos medicinales para productos alimenticios de consumo humano; suplementos vitamínicos para productos alimenticios de consumo humano; complementos dietéticos naturales para tratar la claustrofobia; preparaciones probióticas de uso médico para ayudar a mantener el equilibrio natural de la flora digestiva.
30. Adhesivos comestibles para la decoración de productos de confitería; aglutinantes para productos alimenticios; ajíes [productos para sazonar]; alubias recubiertas de azúcar [productos de confitería]; aromatizantes de almendra, excepto aceites esenciales, para productos comestibles; aromatizantes de frutas, excepto aceites esenciales, para productos comestibles; aromatizantes de limón, excepto aceites esenciales, para productos comestibles; aromatizantes de vainilla para productos comestibles; aromatizantes, que no sean aceites esenciales, para productos de pastelería y repostería; azafrán [productos para sazonar]; barritas de regaliz [productos de confitería]; caramelos de frutas [productos de confitería]; caramelos enriquecidos con calcio [producto de confitería]; castañas asadas recubiertas de sirope [productos de confitería]; chiles [productos para sazonar]; dulces en forma de pepitas para productos de horno; empanadillas [productos de pastelería]; extractos, excepto aceites esenciales, en cuanto aromatizantes para productos comestibles; glaseados para productos alimenticios; gluten preparado en forma de producto alimenticio; gomitas [productos de confitería]; granos procesados utilizados como productos para sazonar; helados cremosos en barras [productos de confitería]; hierbas aromáticas en conserva [productos para sazonar]; hierbas aromáticas en conserva en cuanto productos para sazonar; hierbas aromáticas en conserva utilizadas como productos para sazonar; hierbas en conserva en cuanto productos para sazonar; ingredientes a base de cacao para productos de confitería; linaza para la alimentación humana [productos para sazonar]; macarons [productos de pastelería]; masa filo para productos de pastelería; menta para productos de confitería; mezclas para la elaboración de productos de panadería; mezclas para la preparación de productos de panadería; mezclas para preparar productos de pastelería; miso [productos para sazonar]; mizu-yokan-no-moto [producto de confitería japonés a base de gelatina dulce de alubias adzuki]; monodosis de líquido congelable para la elaboración de productos de confitería congelados; mousses de postre [productos de confitería]; palas para tartas [productos de pastelería]; pan, productos de pastelería y confitería; pasta de azúcar [producto de confitería]; pasta de frutas [producto de confitería]; pasta de jengibre [producto para sazonar]; pasta de soja [productos para sazonar]; pasta de soya [productos para sazonar]; pastillas [productos de confitería]; pastillas de miel de hierbas [productos de confitería]; pastillas no medicinales [productos de confitería]; pegamentos comestibles para la decoración de productos de confitería; pepitos [productos de repostería] de chocolate; pimentón [producto para sazonar]; piruletas [productos de confitería]; polvos azucarados de limón [productos de confitería]; polvos para productos de pastelería y repostería; porciones de pasteles [productos de pastelería]; preparaciones aromazitadas a la fruta para la elaboración de productos pastelería; preparaciones aromazitadas a la verduras para la elaboración de productos de pastelería; pretzels recubiertos de yogur [productos de confitería]; productos a base de cereales sin gluten; productos a base de levadura para uso culinario; productos alimenticios a base de maíz; productos alimenticios elaborados principalmente a partir de cereales; productos alimenticios en los que predomina la harina; productos alimenticios en los que predominan los cereales; productos de bollería; productos de carne en cuanto hamburguesas [sándwiches]; productos de carne en forma de hamburguesas [sándwiches]; productos de chocolate; productos de confitería; productos de confitería a base de almendras; productos de confitería a base de azúcar hervido; productos de confitería a base de azúcar y mantequilla; productos de confitería a base de cacahuate; productos de confitería a base de cacahuetes; productos de confitería a base de frutas; productos de confitería a base de harinas; productos de confitería a base de maní; productos de confitería a base de yogur; productos de confitería a base de yogur helado; productos de confitería congelados; productos de confitería de azúcar para la decoración de tartas; productos de confitería de chocolate; productos de confitería para decorar árboles de navidad; productos de confitería refrigerados; productos de confitería sin gluten; productos de confitería y adornos de chocolate para árboles de navidad; productos de glaseado para confitería; productos de glaseado para productos alimenticios; productos de masa lista para hornear; productos de panadería sin gluten; productos de pastelería; productos de pastelería a base de almendras; productos de pastelería a base de frutas; productos de pastelería congelados; productos de pastelería de chocolate; productos de pastelería franceses; productos de pastelería frescos; productos de pastelería italianos; productos para espolvorear para la decoración de tartas; productos para sazonar; propóleos para la alimentación humana [producto de apicultura]; páprika [producto para sazonar]; regaliz [productos de confitería]; rellenos de chocolate para productos de panadería; rugelach [productos de pastelería turcos]; saborizantes, que no sean aceites esenciales, para productos de pastelería y repostería; semillas de lino para uso culinario [productos para sazonar]; semillas de sésamo [productos para sazonar]; semillas procesadas en cuanto productos para sazonar; sorbete [productos de confitería]; trozos de azúcar cristalizado [productos de confitería]; trozos de azúcar granulado [productos de confitería].
35. Administración de programas de premios de incentivo para la promoción de la venta de productos y servicios de terceros; administración de programas que permiten a los participantes obtener descuentos sobre productos y servicios mediante la utilización de una tarjeta de miembro; adquisición de productos por cuenta de empresas; agencias de importación y exportación de productos; agrupación, por cuenta de terceros, de diversos productos, excepto su transporte, para que los consumidores puedan examinarlos y comprarlos cómodamente; agrupamiento, en beneficio de terceros, de productos diversos, excepto su transporte, para que los consumidores puedan examinarlos y comprarlos a su conveniencia; asesoramiento sobre marketing de productos químicos; asesoramiento sobre productos de consumo; asesoramiento sobre productos de consumo en relación con ordenadores portátiles; asesoramiento sobre productos de consumo en relación con productos cosméticos; asesoramiento y consultoría en relación con el aprovisionamiento de productos por cuenta de terceros; asistencia de comercialización de productos en el marco de un contrato de franquicia; asistencia en el ámbito de la gestión de negocios y la comercialización de productos en el marco de los contratos de franquicias; asistencia en la comercialización de productos en el marco de un contrato de franquicia; asistencia en la gestión empresarial y comercialización de productos en el marco de un contrato de franquicia; asistencia para la comercialización de productos en el marco de contrato de franquicia; comercialización de productos; comercialización de productos para terceros; compra de productos y servicios para otras empresas; consultoría comercial sobre actividades de marketing y el lanzamiento de nuevos productos; cotización de precios de productos y servicios; demostración de productos; demostración de productos con fines publicitarios; difusión de material publicitario [folletos, prospectos y productos de imprenta]; distribución de productos con fines publicitarios; el agrupamiento, en beneficio de terceros, de productos diversos, excepto su transporte, para que los consumidores puedan examinarlos y comprarlos a su conveniencia; facilitación de espacios en sitios web para publicidad de productos y servicios; gestión comercial de licencias de productos y servicios de terceros; gestión y consultoría comercial en relación con las actividades de marketing y el lanzamiento de nuevos productos; información sobre el ranking de las ventas de productos; información sobre la clasificación de las ventas de productos; información sobre las ventas de productos; información y asesoramiento comerciales al consumidor en la selección de productos y servicios; investigación de marketing en el ámbito de los productos cosméticos, la perfumería y los productos de belleza; marketing de productos; marketing de productos y servicios de terceros; marketing de productos y servicios de terceros mediante la distribución de cupones; merchandising de productos; merchandising de productos para terceros; negociación de contratos en relación con la compra y la venta de productos; obtención de contratos de compra y de venta de productos; obtención de contratos para la compra y la venta de productos y servicios; obtención de contratos para terceros relacionados con la venta de productos; organización y realización de presentaciones de productos; preparación de contratos de compra y de venta de productos y servicios, para terceros; preparación de contratos por cuenta de terceros para la compra y venta de productos; presentación de empresas y de sus productos y servicios en internet; presentación de empresas, sus productos y servicios en internet; presentación de productos al público; presentación de productos en cualquier medio de comunicación para su venta minorista; presentación de productos financieros en todo tipo de medios de comunicación para su venta minorista; presentación de productos y servicios por medios electrónicos; prestación a consumidores de consejos y recomendaciones sobre productos con fines comerciales; promoción comercial de productos; promoción comercial de productos para terceros; promoción de la venta de productos y servicios de terceros mediante eventos promocionales; promoción de la venta de productos y servicios de terceros mediante la concesión de puntos por las compras realizadas con tarjeta de crédito; promoción de la venta de productos y servicios de terceros mediante materiales impresos; promoción de los productos y servicios de terceros mediante la distribución de material publicitario por diversos medios; promoción de productos y servicios de terceros; promoción de productos y servicios de terceros haciendo que los patrocinadores asocien sus productos y servicios con actividades deportivas; promoción de productos y servicios de terceros mediante anuncios en sitios web; promoción de productos y servicios de terceros mediante la administración de programas de ventas e incentivos promocionales mediante cupones comerciales; promoción de productos y servicios de terceros mediante la distribución de cupones; promoción de productos y servicios de terceros mediante la distribución de tarjetas de descuento; promoción de productos y servicios de terceros mediante la preparación y publicación de anuncios publicitarios en revistas electrónicas; promoción de productos y servicios de terceros mediante programas de clientes preferentes; promoción de productos y servicios de terceros mediante programas de tarjetas de descuento; promoción de productos y servicios de terceros mediante programas de tarjetas de fidelización; promoción de productos y servicios de terceros mediante publirreportajes; promoción de productos y servicios de terceros por internet; promoción de productos y servicios de terceros por redes informáticas mundiales; promoción de productos y servicios de terceros que permitan a los patrocinadores asociar sus productos y servicios a programas de entrega de premios; promoción de productos y servicios de terceros que permitan a los patrocinadores asociar sus productos y servicios con competiciones deportivas; promoción de productos y servicios mediante el patrocinio de eventos deportivos; promoción de productos y servicios mediante el patrocinio de eventos deportivos internacionales; promoción y marketing de productos y servicios a través de las redes informáticas mundiales; provisión de información sobre diversos productos por medio de redes de telecomunicación con fines publicitarios y de venta; publicación de productos de imprenta con fines publicitarios; publicación de productos de imprenta en formato electrónico con fines publicitarios; publicidad de productos y servicios de vendedores en línea mediante guías consultables en línea; publicidad para productos farmacéuticos y productos de imaginología in vivo; publicidad y promoción de productos y servicios para terceros mediante la colocación de anuncios en los taxis; publicidad y promoción de ventas de productos y servicios; publicidad y promoción de ventas de productos y servicios disponibles en línea; publicidad y promoción de ventas sobre productos y servicios; puesta a disposición de espacios publicitarios en sitios web para anunciar productos y servicios; puesta a disposición de información al cliente sobre productos y servicios; servicios de abastecimiento para terceros [compra de productos y servicios para otras empresas]; servicios de agencia de ventas de productos cosméticos; servicios de agencia de ventas de productos de maquillaje; servicios de agencias de importación-exportación de productos; servicios de aprovisionamiento de bebidas alcohólicas [compra de productos por cuenta de empresas de terceros]; servicios de asesoramiento e intermediación comercial en el ámbito de la venta de productos; servicios de asesoramiento sobre productos de consumo relacionados con software; servicios de asesoramiento y consultoría en aprovisionamiento de productos por cuenta de terceros; servicios de asistencia relacionados con la comercialización de productos en el marco de contratos de franquicia; servicios de asistencia sobre la comercialización de productos; servicios de consultoría en adquisición de productos y servicios; servicios de consultoría en relación con la adquisición de productos y servicios; servicios de demostración de productos en escaparates prestados por modelos; servicios de distribución comercial al por mayor de productos cosméticos; servicios de distribución comercial al por mayor de productos frescos; servicios de distribución comercial en el ámbito de la televisión por cable y dsl y productos y servicios de entretenimiento en internet; servicios de distribución comercial en el ámbito de productos y servicios de entretenimiento de la televisión por satélite; servicios de exhibición de productos; servicios de exhibición de productos de comercialización; servicios de exhibición de productos de merchandising; servicios de gestión de negocios en relación </t>
  </si>
  <si>
    <t>Purmax</t>
  </si>
  <si>
    <t>19477</t>
  </si>
  <si>
    <t>5. Aditivos minerales para productos alimenticios de consumo humano;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almidón y productos amiláceos para uso dietético y farmacéutico; almidón y productos amiláceos para uso farmacéutico; complementos de oligoelementos para productos alimenticios de consumo humano; complementos de vitaminas para productos alimenticios de consumo humano; complementos medicinales para productos alimenticios de consumo humano; complementos vitamínicos para productos alimenticios de consumo humano; cápsulas de gelatina para productos farmacéuticos; cápsulas de gelatina vacías para productos farmacéuticos; cápsulas de polímeros dendriméricos para productos farmacéuticos; cápsulas vacías para productos farmacéuticos; esponjas impregnadas con productos químicos desinfectantes para uso en hospitales; esponjas impregnadas con productos químicos desinfectantes para uso en laboratorios; esponjas impregnadas con productos químicos desinfectantes para uso en los asientos de inodoros; parches cutáneos transdérmicos para el suministro de productos farmacéuticos; parches transdérmicos para la administración de productos farmacéuticos; preparaciones de proteínas para uso en cuanto aditivos de productos alimenticios para el consumo humano para uso médico; preparaciones de proteínas para uso en cuanto aditivos de productos alimenticios para la alimentación humana para uso médico; preparaciones proteicas para uso en cuanto aditivos de productos alimenticios para el consumo humano para uso médico; preparaciones sanitarias de higiene personal que no sean productos de tocador; preparados de proteínas para uso en cuanto aditivos de productos alimenticios para el consumo humano para uso médico; preparados de proteínas para uso en cuanto aditivos de productos alimenticios para la alimentación humana para uso médico;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productos antibacterianos para lavar las manos; productos antibióticos para lavarse las manos; productos anticriptogámicos; productos antihemorroidales; productos antimicrobianos para lavarse las manos; productos antimoho; productos antiparasitarios; productos antipiréticos; productos antipolillas; productos antisépticos para el cuidado corporal; productos antisépticos para el cuidado del cuerpo; productos antiúricos; productos contra las polillas; productos cáusticos para uso farmacéutico; productos de fumigación para uso médico; productos de lavado insecticidas para uso veterinario; productos de limpieza antibacterianos; productos de limpieza desinfectantes para el baño; productos de limpieza desinfectantes para inodoros; productos de limpieza para la desinfección de frutas y hortalizas; productos de organoterapia; productos de pulverización contra insectos; productos de relleno dérmico inyectables; productos de uso médico para refrescar el aliento; productos derivados del procesamiento de cereales para uso médico; productos desinfectantes para lavarse las manos; productos dietéticos para usos médicos especiales [dietas equilibradas]; productos dietéticos y complementos nutricionales para uso médico; productos dietéticos y suplementos nutricionales para uso médico;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 productos febrífugos; productos hematógenos; productos higiénicos para uso médico; productos higiénicos y sanitarios para uso médico; productos medicinales para el cuidado de la piel; productos medicinales para lavarse las manos; productos opoterápicos; productos optoterápicos; productos organoterapéuticos; productos para el control de alimañas; productos para el control de animales dañinos; productos para el control de plagas; productos para el cuidado de la piel, medicinales; productos para el frotado quirúrgico; productos para eliminar animales dañinos; productos para eliminar babosas; productos para eliminar larvas; productos para eliminar parásitos; productos para eliminar ratones; productos para eliminar roedores; productos para las callosidades; productos para las hemorroides; productos para las quemaduras; productos para lavar animales [insecticidas]; productos para lavar el ganado [insecticidas]; productos para lavar perros [insecticidas]; productos para los callos de los pies; productos para los sabañones; productos para purificar el aire; productos para refrescar el aliento de uso médico; productos quimioterapéuticos; productos químicos para tratar la filoxera; productos químicos para uso médico; productos radioactivos para uso médico; productos sanitarios para uso médico; productos y preparaciones medicinales para el cuidado de la piel; subproductos del procesamiento de cereales para uso dietético; subproductos del procesamiento de cereales para uso dietético o médico; suplementos de oligoelementos para productos alimenticios de consumo humano; suplementos de vitaminas para productos alimenticios de consumo humano; suplementos medicinales para productos alimenticios de consumo humano; suplementos vitamínicos para productos alimenticios de consumo humano.</t>
  </si>
  <si>
    <t>TILPAZAN</t>
  </si>
  <si>
    <t>Hexident</t>
  </si>
  <si>
    <t>06 dic. 2022</t>
  </si>
  <si>
    <t>Laura Manuela García Rodríguez, Calle 147 # 11 - 89, BOGOTÁ, D.C. 110131 , CO</t>
  </si>
  <si>
    <t>5. Enjuagues bucales antisépticos; enjuagues bucales medicinales.</t>
  </si>
  <si>
    <t>Fitotec</t>
  </si>
  <si>
    <t>MASCOTAS M&amp;M MONTOYA</t>
  </si>
  <si>
    <t>WILLIAM ANDRES MONTOYA RIOS, CARRERA 50 # 29A-39 BG 103, BELLO, ANTIOQUIA 051054, CO</t>
  </si>
  <si>
    <t>5, 18, 20</t>
  </si>
  <si>
    <t>5. Colchonetas de entrenamiento desechables y almohadillas de papel o cartón para mascotas; almohadillas absorbentes desechables para el adiestramiento de mascotas; alfombrillas absorbentes desechables para el adiestramiento de mascotas; tapetes absorbentes desechables para la educación higiénica de mascotas.
18. Arneses para mascotas.
20. Camas para mascotas.</t>
  </si>
  <si>
    <t>30 oct. 2023</t>
  </si>
  <si>
    <t>THE VEGAN VITAMINS</t>
  </si>
  <si>
    <t>16 dic. 2022</t>
  </si>
  <si>
    <t>21 jul. 2023</t>
  </si>
  <si>
    <t>halsa</t>
  </si>
  <si>
    <t>07 dic. 2022</t>
  </si>
  <si>
    <t>Anya Gabriela Medina Garcia, calle 45 69-43 apto 1-401, CALI, VALLE DEL CAUCA, VALLE DEL CAUCA 760024, CO</t>
  </si>
  <si>
    <t>5. Fibras de semillas de lino molidas utilizadas como complementos dietéticos; bebidas nutricionales en cuanto suplementos alimenticios.</t>
  </si>
  <si>
    <t>05 abr. 2023</t>
  </si>
  <si>
    <t>CINETIC</t>
  </si>
  <si>
    <t>SIVID</t>
  </si>
  <si>
    <t>GENBIE S.A.S., Av. Cra 9 # 115 – 30 Of. 802  Edificio Tierra Firme, BOGOTÁ, D.C., CO</t>
  </si>
  <si>
    <t>5. PREPARACIONES Y SUSTANCIAS FARMACÉUTICAS.</t>
  </si>
  <si>
    <t>JOHN JAIRO FLOREZ PLATA , Cra 12a #79-31 Oficina  201, BOGOTÁ, D.C., CO</t>
  </si>
  <si>
    <t>GERBER POWER BLEND</t>
  </si>
  <si>
    <t>106193/1 GERBER POWER BLEND</t>
  </si>
  <si>
    <t>5. Alimentos y substancias alimenticias formuladas para bebés; preparaciones alimenticias para bebés de uso médico; harinas lacteadas para bebés de uso médico.
29. Alimentos preparados hechos a base de verduras, papas, fruta, carne, aves de corral, pecado y/o productos alimenticios provenientes del mar; frutas y verduras, hortalizas y legumbres en conserva, congeladas, secas y cocidas; puré de verduras; puré de frutas.
30. Preparaciones y bebidas hechas a partir de cereales incluidos en esta clase; cereales listos para comer; preparaciones de cereales; productos alimenticios hechos de arroz, de harina o de cereales, también bajo la forma de platos cocinados.</t>
  </si>
  <si>
    <t>MOR</t>
  </si>
  <si>
    <t>JUAN DIEGO BONILLA OROZCO, Cra. 1 B # 42B-85  Edificio Mirador de Santa Helena, IBAGUE, TOLIMA, CO</t>
  </si>
  <si>
    <t>LAENNEC</t>
  </si>
  <si>
    <t>V LIFT PRO INTERNATIONAL S.L., Av Pais Valencia, 17 - Villajoyosa - Alicante – España, VILLAJOYOSA, ALICANTE, ES</t>
  </si>
  <si>
    <t>5. Agentes hechos de placenta, a saber, agentes para mejorar la función del hígado, agentes cardiovasculares, agentes que afectan los órganos digestivos; Medicamentos para los órganos sensoriales; Agentes que afectan el sistema nervioso central; Proteína para propósitos médicos; Reactivos químicos para fines médicos o veterinarios; Agentes que afectan el metabolismo; Preparaciones biológicas; Preparaciones antibióticas y suplementos nutricionales.</t>
  </si>
  <si>
    <t>UREE</t>
  </si>
  <si>
    <t>Solicitud de marca UREE</t>
  </si>
  <si>
    <t>5. Alimentos y sustancias dietéticas para uso veterinario; complementos alimenticios para animales.</t>
  </si>
  <si>
    <t>Av Quila</t>
  </si>
  <si>
    <t>11 dic. 2022</t>
  </si>
  <si>
    <t>Quila5</t>
  </si>
  <si>
    <t>Ana Mary Guerrero Acosta, Calle 29 #21a 16 apto A403 Manga, CARTAGENA, BOLIVAR, CO; Valeria Beatriz  Aza Barros, Calle 29h3 21f-15, SANTA MARTA, MAGDALENA, CO</t>
  </si>
  <si>
    <t>5. Cápsulas a base de hierbas para potenciar la sexualidad masculina; geles de estimulación sexual; lubricantes sexuales; lubricantes sexuales a base de aloe vera; preparaciones de diagnóstico o tratamiento de trastornos relacionados con la fertilidad y reproducción sexual; preparaciones para aumentar el deseo sexual; preparaciones para aumentar la excitación sexual; preparaciones para mejorar la prestación sexual; preparaciones para reducir la actividad sexual; preparados inyectables para el tratamiento de la impotencia sexual; preparados para aumentar el deseo sexual; preparados para aumentar la excitación sexual; preparados para mejorar la prestación sexual.</t>
  </si>
  <si>
    <t>maria del mar  peña sanguino, calle 7a numero 27-18 nueva esperanza, VALLEDUPAR, CESAR 200001, CO</t>
  </si>
  <si>
    <t>SANTHER PERSONAL BABY</t>
  </si>
  <si>
    <t>12 dic. 2022</t>
  </si>
  <si>
    <t>153995</t>
  </si>
  <si>
    <t>SANTHER - FABRICA DE PAPEL SANTA THEREZINHA S/A, RUA ARACATI, # 275 PENHA, SAO PAULO, SAO PAULO CEP 03630-900, BR</t>
  </si>
  <si>
    <t>5. Pañales para bebés; pañales-calzón para bebés; pañales de natación desechables para bebés; pañales de natación reutilizables para bebés; pañales higiénicos para la incontinencia; pañales para animales de compañía.</t>
  </si>
  <si>
    <t>Natural Gastrok</t>
  </si>
  <si>
    <t>CSA-NATURALGASTROK-CL5</t>
  </si>
  <si>
    <t>NATURAL VETERINARY SAS, Calle 99ª No. 60 - 91 , BOGOTÁ, D.C., CO</t>
  </si>
  <si>
    <t>5. Suplementos alimenticios para animales; suplementos de proteínas para animales; suplementos dietéticos para animales; suplementos dietéticos para animales; suplementos (medicinales) para alimentos de animales; suplementos medicinales para; animales; sustancias y preparados veterinarios; productos farmacéuticos para fines; veterinarios; productos y sustancias veterinarios.</t>
  </si>
  <si>
    <t>ALLEVIUM</t>
  </si>
  <si>
    <t>13 dic. 2022</t>
  </si>
  <si>
    <t>MARIANA ANGEL GARCIA, CRA 18 C # 118 - 76 APTO 104, BOGOTÁ, D.C., CO</t>
  </si>
  <si>
    <t>AGUSTIN ANGEL SALAZAR, CRA 21 # 82 - 15, BOGOTÁ, D.C., CO</t>
  </si>
  <si>
    <t>SOMNIUM</t>
  </si>
  <si>
    <t>AKKA HEALTH</t>
  </si>
  <si>
    <t>AKKA HEALTH SAS, CR 3 OESTE 5 59 AP 202 ED, CALI, VALLE DEL CAUCA 760004 , CO</t>
  </si>
  <si>
    <t>3. Aceites cosméticos; aceites cosméticos para la piel; aceites de baño para uso cosmético; cold creams para uso cosmético; cosméticos; cosméticos a base de cannabis.
5. Medicamentos; medicamentos a base de hierbas; medicamentos líquidos; medicamentos para uso humano.</t>
  </si>
  <si>
    <t>JUAN PABLO  SANTAELLA MOGOLLON, CARRERA 11# 128-48  APT 207 , BOGOTÁ, D.C., CO</t>
  </si>
  <si>
    <t>RUFEX GADOR</t>
  </si>
  <si>
    <t>5. Productos farmacéuticos y preparaciones para uso médico en humanos, productos higiénicos y sanitarios para uso humano, alimentos y sustancias dietéticas para uso médico en humanos, alimentos para bebés; complementos alimenticios para personas.; Se excluye expresamente cualquier producto de la clase 5 destinado a uso oftálmico y quirúrgico y los productos veterinarios.</t>
  </si>
  <si>
    <t>POWER BOOST</t>
  </si>
  <si>
    <t>Luisa Fernanda Álvarez Arcila, Cra 25 # 9-74, LA CEJA, ANTIOQUIA 055010, CO</t>
  </si>
  <si>
    <t>5.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t>
  </si>
  <si>
    <t>MELODOL</t>
  </si>
  <si>
    <t>23 dic. 2022</t>
  </si>
  <si>
    <t>MA31877-MELODOL</t>
  </si>
  <si>
    <t>LABORATORIOS CHALVER DE COLOMBIA S.A., Avenida Carrera 68 N° 37 B - 31 Sur, BOGOTÁ, D.C., CO</t>
  </si>
  <si>
    <t>5. Productos Veterinarios con indicación Analgésico - antinflamatorio.</t>
  </si>
  <si>
    <t>KAMME INTENSIVE REPAIR</t>
  </si>
  <si>
    <t>KATHERINE  OSPINA DUQUE, CALLE 33 AA 80 C 47, MEDELLIN, ANTIOQUIA, CO</t>
  </si>
  <si>
    <t>3. Champús capilares; champús para el cabello; champús y acondicionadores para el cabello; champús anticaspa; champús no medicinales contra la caspa; cremas capilares; lociones capilares cosméticas; mascarillas para el cuidado capilar; preparaciones capilares no medicinales; preparaciones cosméticas no medicinales para tratamientos capilares; bálsamos capilares; tónicos capilares para uso no médico; Aceites capilares; preparaciones de colágeno para uso capilar; preparaciones de biotina para uso capilar.
5. Preparaciones vitamínicas para la alimentación humana; complementos vitamínicos, complementos; dietéticos de vitaminas, preparaciones que contienen vitamina b, complementos nutricionales y alimenticios; champús medicinales.</t>
  </si>
  <si>
    <t>FEMATRIX</t>
  </si>
  <si>
    <t>15 dic. 2022</t>
  </si>
  <si>
    <t>FEMADI S.A.S., Cr 44 20 C 51, BOGOTÁ, D.C., CO</t>
  </si>
  <si>
    <t>JOSÉ JULIÁN PAEZ LANDINEZ, Cr 44 20 C 51, BOGOTÁ, D.C., CO</t>
  </si>
  <si>
    <t>REVAC B+</t>
  </si>
  <si>
    <t>BHARAT BIOTECH INTERNATIONAL LIMITED, Genome Valley, Turkapally, Shameerpet, HYDERABAD, TELANGANA 500078, IN</t>
  </si>
  <si>
    <t>5. Vacunas utilizadas para prevenir la enfermedad de la hepatitis B.</t>
  </si>
  <si>
    <t>ORIGENOIL</t>
  </si>
  <si>
    <t>Manuela Castro Agudelo, El Retiro Vereda pantanillo km4, RETIRO, ANTIOQUIA, CO</t>
  </si>
  <si>
    <t>VEYCON</t>
  </si>
  <si>
    <t>CAC COLOMBIA CROPSCIENCES SAS, CR 58 NO. 45 A 29 OF 201, BOGOTÁ, D.C., CO</t>
  </si>
  <si>
    <t>nutgen</t>
  </si>
  <si>
    <t>Daniela Parada Perez, Calle 187 46 55  casa 45, BOGOTÁ, D.C. 111166, CO</t>
  </si>
  <si>
    <t>5. Complementos alimenticios; complementos alimenticios a base de aminoácidos; complementos alimenticios a base de minerales; complementos alimenticios a base de polen; complementos alimenticios a base de proteínas; complementos alimenticios a base de proteínas de soja; complementos alimenticios antioxidantes; complementos alimenticios en polvo a base de proteinas; complementos alimenticios minerales; complementos alimenticios para humanos; complementos alimenticios para personas; complementos alimenticios para personas o animales; complementos alimenticios proteicos en polvo.</t>
  </si>
  <si>
    <t>ATERIX</t>
  </si>
  <si>
    <t>RIZOBACTER ARGENTINA S.A., AVDA. DR. ARTURO FRONDIZI  NO. 1150, PARQUE INDUSTRIAL, PERGAMINO, PROVINCIA DE BUENOS AIRES, REPÚBL, PROVINCIA DE BUENOS AIRES, PROVINCIA DE BUENOS AIRES, AR</t>
  </si>
  <si>
    <t>5. Productos farmacéuticos, preparaciones para uso veterinario; alimentos y sustancias dietéticas para uso veterinario; complementos alimenticios para animales; productos para eliminar animales dañinos; fungicidas, herbicidas.</t>
  </si>
  <si>
    <t>PATRICIA OCHOA SILVA, CARRERA 17 No. 122-20 (PISO 5), BOGOTÁ, D.C., CO</t>
  </si>
  <si>
    <t>INVICTUS</t>
  </si>
  <si>
    <t>Brayan David Fajardo Guiza, Cra 28 A # 68 - 10, BOGOTÁ, D.C., CO</t>
  </si>
  <si>
    <t>Trikoma</t>
  </si>
  <si>
    <t>17 dic. 2022</t>
  </si>
  <si>
    <t>ALEJANDRO MADRIGAL MONTOYA, carrera 84 # 32C- 99, MEDELLIN, ANTIOQUIA 0574, CO</t>
  </si>
  <si>
    <t>5. Productos farmacéuticos, preparaciones para uso médico y veterinario; alimentos y sustancias dietéticas para uso médico o veterinario; complementos alimenticios para personas o animales.
31. Productos agrícolas, , hortícolas y forestales en bruto y sin procesar; granos y semillas en bruto o sin procesar; hierbas aromáticas frescas; plantas y flores naturales.</t>
  </si>
  <si>
    <t>Liliana Patricia Montoya Gómez, calle50#53-44 Oficina509, MEDELLIN, ANTIOQUIA 574, CO</t>
  </si>
  <si>
    <t>SKLATE</t>
  </si>
  <si>
    <t>ZINFLUMY</t>
  </si>
  <si>
    <t>GIVIANNA</t>
  </si>
  <si>
    <t>M025962</t>
  </si>
  <si>
    <t>5. Productos farmacéuticos para uso humano para el cuidado vaginal.</t>
  </si>
  <si>
    <t>FARMALIFY</t>
  </si>
  <si>
    <t>2345</t>
  </si>
  <si>
    <t>CARLOS ANTONIO ARISTIZABAL IDARRAGA, CARRERA 9 #13-83 LOCAL 233, CALI, VALLE DEL CAUCA, CO</t>
  </si>
  <si>
    <t>CARLOS ALBERTO CARVAJAL MONTOYA, Carrera 2 No 74-33 , BOGOTÁ, D.C., CO</t>
  </si>
  <si>
    <t>T-CHEM</t>
  </si>
  <si>
    <t>SILIMARINA</t>
  </si>
  <si>
    <t>Alexandra Barco Otalora, cr 14a N 65-08, BOGOTÁ, D.C. 110111, CO</t>
  </si>
  <si>
    <t>29 sept. 2023</t>
  </si>
  <si>
    <t>ALTRIENT</t>
  </si>
  <si>
    <t>154030</t>
  </si>
  <si>
    <t>LivOn Laboratories, Inc., 2566 Williamsburg Street, , HENDERSON, NEVADA 89052, US</t>
  </si>
  <si>
    <t>5. Vitaminas; multivitaminas; complementos vitamínicos; preparaciones de vitaminas; preparaciones que contienen vitaminas; suplementos nutricionales líquidos; suplementos alimenticios; aditivos alimenticios vitamínicos; complementos minerales;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35. Servicios de tiendas de venta en línea, mayorista y minorista que ofrece vitaminas, pastillas de vitaminas, multivitaminas, complementos vitamínicos, preparaciones de vitaminas, preparaciones que contienen vitaminas, aditivos alimenticios vitamínicos, suplementos alimenticios,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té, cacao y café artificial, arroz, harinas y preparaciones a base de cereales, pan, productos de pastelería y confitería, hielo (agua congelada), cereales para el desayuno, refrigerios, o ingredientes para preparar alimentos, sémola de avena, muesli, refrigerios a base de cereales, refrigerios a base de granos, galletas saladas [crackers], galletas, barras de cereales, barritas alimenticias a base de cereales, barritas de granola, bolsas de té, infusiones (que no sean para uso médico), infusiones de hierbas, aguas minerales y gaseosas, y otras bebidas sin alcohol, bebidas a base de frutas y zumos de frutas, siropes y otras preparaciones para elaborar bebidas, bebidas isotónicas, bebidas aromatizadas con frutas, bebidas a base de frutas, bebidas enriquecidas con proteínas para deportistas, bebidas para deportistas, bebidas deportivas mejoradas con nutrientes, bebidas de rendimiento mejoradas con nutrientes, bebidas energéticas, concentrados para elaborar refrescos, polvos utilizados en la preparación de bebidas isotónicas para deportistas, bebidas para deportistas, aguas potables, aguas potables con vitaminas, y bebidas hidratantes.</t>
  </si>
  <si>
    <t>LYPO C</t>
  </si>
  <si>
    <t>154031</t>
  </si>
  <si>
    <t>LYPO-SPHERIC</t>
  </si>
  <si>
    <t>154032</t>
  </si>
  <si>
    <t>5. Vitaminas; multivitaminas; complementos vitamínicos; preparaciones de vitaminas; preparaciones que contienen vitaminas; suplementos nutricionales líquidos; suplementos alimenticios; aditivos alimenticios vitamínicos; complementos minerales;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ninguno de los anteriores incluye productos farmacéuticos o productos para uso médico o veterinario.
35. Servicios de tiendas de venta en línea, mayorista y minorista que ofrece vitaminas, pastillas de vitaminas, multivitaminas, complementos vitamínicos, preparaciones de vitaminas, preparaciones que contienen vitaminas, aditivos alimenticios vitamínicos, suplementos alimenticios,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té, cacao y café artificial, arroz, harinas y preparaciones a base de cereales, pan, productos de pastelería y confitería, hielo (agua congelada), cereales para el desayuno, refrigerios, o ingredientes para preparar alimentos, sémola de avena, muesli, refrigerios a base de cereales, refrigerios a base de granos, galletas saladas [crackers], galletas, barras de cereales, barritas alimenticias a base de cereales, barritas de granola, bolsas de té, infusiones (que no sean para uso médico), infusiones de hierbas, aguas minerales y gaseosas, y otras bebidas sin alcohol, bebidas a base de frutas y zumos de frutas, siropes y otras preparaciones para elaborar bebidas, bebidas isotónicas, bebidas aromatizadas con frutas, bebidas a base de frutas, bebidas enriquecidas con proteínas para deportistas, bebidas para deportistas, bebidas deportivas mejoradas con nutrientes, bebidas de rendimiento mejoradas con nutrientes, bebidas energéticas, concentrados para elaborar refrescos, polvos utilizados en la preparación de bebidas isotónicas para deportistas, bebidas para deportistas, aguas potables, aguas potables con vitaminas, y bebidas hidratantes; ninguno de los anteriores incluye productos farmacéuticos o productos para uso médico o veterinario.</t>
  </si>
  <si>
    <t>154034</t>
  </si>
  <si>
    <t>5. Vitaminas; multivitaminas; complementos vitamínicos; preparaciones de vitaminas; aditivos alimenticios vitamínicos; complementos minerales; complementos homeopáticos; ninguno de los anteriores está destinado para bebés.
35. Servicios de tiendas de venta en línea, mayorista y minorista que ofrece vitaminas, pastillas de vitaminas, multivitaminas, complementos vitamínicos, preparaciones de vitaminas, preparaciones que contienen vitaminas, aditivos alimenticios vitamínicos, complementos homeopáticos; ninguno de los anteriores está destinado para bebés.</t>
  </si>
  <si>
    <t>154035</t>
  </si>
  <si>
    <t>LYPO ALC</t>
  </si>
  <si>
    <t>154037</t>
  </si>
  <si>
    <t>ECONCIENCIA BIENESTAR 100% NATURAL</t>
  </si>
  <si>
    <t>21 dic. 2022</t>
  </si>
  <si>
    <t>ECONCIENCIA</t>
  </si>
  <si>
    <t>ACEITES ESENCIALES MIGUEL ABRIL 2 S.A.S, Cr 70 A Bis # 1 40, BOGOTÁ, D.C., CO</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</si>
  <si>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En especial, productos fitoterapéuticos medicinales a base de productos naturales, en presentaciones como: jarabe, gel, crema y/o cápsulas.</t>
  </si>
  <si>
    <t>Magda Viviana  Abril Puerto, Cr 70 A Bis # 1 40, BOGOTÁ, D.C., CO</t>
  </si>
  <si>
    <t>LYPO GLUTATHIONE</t>
  </si>
  <si>
    <t>154039</t>
  </si>
  <si>
    <t>ATHLET+^ PROTEIN</t>
  </si>
  <si>
    <t>22 dic. 2022</t>
  </si>
  <si>
    <t>GLOBAL INTERNATIONAL MEDICINE S.A.S GIMED S.A.S, CARRERA 53 # 59 -37, BARRANQUILLA, ATLÁNTICO, CO</t>
  </si>
  <si>
    <t>5. Medicamentos de venta libre; medicamentos fitoterapéuticos para el consumano animal; medicamentos fitoterapéuticos para el consumo humano; medicamentos para uso humano; medicamentos sin receta; productos dietéticos y suplementos nutricionales para uso médico; proteínas de suero de leche [suplementos alimenticios]; proteínas de suero de leche en cuanto suplementos alimenticios; suplementos alimenticios; alimentos y bebidas dietéticos para uso médico; suplementos minerales para alimentos; suplementos nutricionales para alimentos de animales para uso médico; aislados de proteína de suero de leche [suplementos dietéticos]; concentrados de proteína de suero de leche [complementos dietéticos]; hidrolizados de proteína de suero de leche en cuanto complementos dietéticos; hidrolizados de proteína de suero de leche en cuanto suplementos dietéticos; proteínas de suero [complementos dietéticos]; proteínas de suero de leche [complementos alimenticios]; proteínas de suero de leche [complementos nutricionales]; proteínas de suero de leche [suplementos dietéticos]; proteínas de suero de leche [suplementos nutricionales]; proteínas de suero de leche en cuanto suplementos dietéticos; aminoácidos para uso médico; complementos alimenticios a base de aminoácidos; complementos alimenticios compuestos de aminoácidos; complementos alimenticios para uso médico a base de aminoácidos, minerales y oligoelementos; complementos dietéticos a base de aminoácidos; preparaciones de aminoácidos para uso médico; preparaciones de aminoácidos para uso veterinario; sustancias dietéticas de vitaminas, minerales, aminoácidos y oligoelementos; sustancias dietéticas de vitaminas, minerales, aminoácidos y oligoelementos, ya sean por separado o combinadas.</t>
  </si>
  <si>
    <t>LIDA MAYERLY SUAREZ GOMEZ, Carrera  24 71-48, BOGOTÁ, D.C., CO</t>
  </si>
  <si>
    <t>Luminiscience</t>
  </si>
  <si>
    <t>ROGANS S.A.S., CL 36 15 32 OF 901 ED COLSEGUROS BRR CENTRO, BUCARAMANGA, SANTANDER, CO</t>
  </si>
  <si>
    <t>3. Abrasivos; aceite de almendras; aceite de gaulteria; aceite de jazmín; aceite de lavanda; aceite de rosas; aceites de limpieza; aceites de perfumería / aceites para perfumes y fragancias; aceites de tocador; aceites esenciales / aceites etéreos; aceites esenciales de cedro; aceites esenciales de cidra; aceites esenciales de limón; aceites para uso cosmético; acondicionadores para el cabello; adhesivos [pegamentos] para uso cosmético; adhesivos para pestañas postizas; adhesivos para postizos capilares; agentes de secado para lavaplatos / agentes de secado para lavavajillas; agua de Colonia; agua de lavanda; aguas de tocador; aguas perfumadas; aire comprimido enlatado para limpiar y quitar el polvo; algodón para uso cosmético / guata para uso cosmético; almidón [apresto] / almidón de apresto [lavandería] / engrudo [almidón]; almidón para dar brillo / almidón de lavandería para dar brillo; almizcle [producto de perfumería]; ámbar [productos de perfumería]; amoniaco [álcali volátil] [detergente] / álcali volátil [amoniaco] [detergente] / amoníaco [álcali volátil] [detergente]; añil de lavandería / añil para azulear la ropa / azulete; aromas [aceites esenciales]; aromatizantes alimentarios [aceites esenciales] / saborizantes alimentarios [aceites esenciales]; aromatizantes de pastelería [aceites esenciales] / saborizantes de pastelería [aceites esenciales]; aromatizantes para bebidas [aceites esenciales] / saborizantes para bebidas [aceites esenciales]; astringentes para uso cosmético; bálsamos que no sean para uso médico; bases para perfumes de flores; bastoncillos de algodón para uso cosmético / hisopos para uso cosmético; betún para el calzado; blanco de España / blanco de tiza; brillos de labios; carburo de silicio [abrasivo]; carburos metálicos [abrasivos]; cenizas volcánicas para limpiar; cera antideslizante para suelos / cera antideslizante para pisos; cera de lavandería; cera de sastre; cera de zapatero; cera depilatoria; cera para el bigote; cera para el calzado; cera para parqué; cera para pulir; ceras para suelos / ceras para pisos; champús en seco*; champús para animales [preparaciones de higiene no medicamentosas]; champús para animales de compañía [preparaciones higiénicas no medicinales]; champús*; colorantes de tocador / tintes de tocador; colorantes para el cabello / tintes para el cabello; conservantes para el cuero [betunes]; corindón [abrasivo]; corteza de quillay para lavar; cosméticos; cosméticos para animales; cosméticos para las cejas; cosméticos para pestañas; crema para aclarar la piel; cremas cosméticas; cremas para el calzado; cremas para el cuero / ceras para el cuero; cremas para pulir; decapantes para cera de parqué; decolorantes para uso cosmético; dentífricos*; desincrustantes para uso doméstico desmaquilladores; desodorantes para animales de compañía; desodorantes para personas o animales [productos de perfumería]; detergentes que no sean para procesos de fabricación ni para uso médico; diamantina [abrasivo]; duchas vaginales para la higiene íntima o en cuanto desodorantes; encáusticos / productos para pulir muebles y pisos / productos para pulir muebles y suelos; enjuagues bucales que no sean para uso médico; esencia de badiana; esencia de bergamota; esencia de menta [aceite esencial]; esencia de trementina para desengrasar / aceite de trementina para desengrasar; esencias etéreas; esmeril; estuches para pintalabios / estuches para lápices de labios; extractos de flores [productos de perfumería]; extractos de plantas para uso cosmético; geles blanqueadores para uso dental; geles de masaje que no sean para uso médico; geraniol; grasas para uso cosmético; heliotropina; henna [tinte cosmético] / alheña [tinte cosmético]; incienso*; iononas [productos de perfumería]; jabón de afeitar; jabón de almendras; jabones antitranspirantes; jabones antitranspirantes para los pies; jabones desodorantes; jabones para avivar los colores de materias textiles; jabones; jalea de petróleo para uso cosmético; lacas de uñas / esmaltes de uñas; lacas para el cabello; lápices de cejas; lápices de labios [pintalabios] / pintalabios; lápices para uso cosmético; leche de almendras para uso cosmético; leches limpiadoras de tocador; lejía; lejía de soda / lejía de sosa; líquidos antideslizantes para suelos / líquidos antideslizantes para pisos; líquidos limpiaparabrisas; lociones capilares; lociones para después del afeitado; lociones para uso cosmético; maderas aromáticas; maquillaje; máscara de pestañas; mascarillas de belleza; menta para perfumería; motivos decorativos para uso cosmético / calcomanías decorativas para uso cosmético; neceseres de cosmética; paños de limpieza impregnados con detergente; papel de esmeril; papel de lija / papel de vidrio [lija]; papel para pulir; papeles abrasivos; pastas para suavizadores de navajas de afeitar; pastillas de jabón; pegatinas decorativas para uñas / calcomanías decorativas para uñas; perfumes; peróxido de hidrógeno para uso cosmético; pestañas postizas; pez de zapatero; piedra pómez; piedras de alumbre [astringentes]; piedras para el afeitado [astringentes] / piedras astringentes para después del afeitado; piedras para pulir; piedras para suavizar; polvos de maquillaje; pomadas para uso cosmético; popurrís aromáticos; preparaciones con filtro solar; preparaciones cosméticas adelgazantes; preparaciones cosméticas para el baño; preparaciones cosméticas para el bronceado de la piel; preparaciones de aloe vera para uso cosmético; preparaciones de colágeno para uso cosmético; preparaciones de higiene íntima para uso sanitario o utilizadas como desodorantes; preparaciones de lavandería; preparaciones de tocador; preparaciones fito-cosméticas; preparaciones limpiadoras no medicinales para la higiene íntima; preparaciones para alisar el cabello; preparaciones para baños oculares que no sean para uso médico; preparaciones para bruñir; preparaciones para desatascar desagües; preparaciones para el baño que no sean de uso médico; preparaciones para limpiar prótesis dentales / preparaciones para limpiar dentaduras postizas; preparaciones para ondular el cabello; preparaciones para pulir; preparaciones para pulir prótesis dentales / preparaciones para pulir dentaduras postizas; productos antiestáticos para uso doméstico; productos antitranspirantes [artículos de tocador]; productos blanqueadores [lavandería] / productos blanqueadores para lavar la ropa; productos blanqueadores para el cuero; productos cosméticos para el cuidado de la piel; productos de afeitar; productos de fumigación [perfumes]; productos de glaseado para lavar la ropa; productos de limpieza; productos de limpieza en seco; productos de maquillaje; productos de perfumería; productos depilatorios / depilatorios; productos desengrasantes que no sean para procesos de fabricación; productos desoxidantes; productos en aerosol para refrescar el aliento; productos neutralizantes para permanentes; productos para afilar / productos para amolar; productos para alisar [lavandería]; productos para dar brillo; productos para dar brillo a las hojas de las plantas; productos para el cuidado de las uñas; productos para limpiar papel pintado / productos para limpiar papel tapiz; productos para perfumar el ambiente; productos para perfumar la ropa / bolsitas para perfumar la ropa; productos para quitar barnices; productos para quitar lacas; productos para quitar pinturas; productos para quitar tintes; productos para remojar la ropa; productos químicos de uso doméstico para avivar los colores [lavandería]; quitaesmaltes; quitamanchas; rojo para pulir / rojo de joyero; safrol; sales blanqueadoras; sales de baño que no sean para uso médico; soda [cenizas] para limpiar / sosa [cenizas] para limpiar; soda para blanquear / sosa para blanquear; soluciones decapantes; suavizantes para la ropa; talco de tocador; tela de esmeril; tela de vidrio [tela abrasiva]; tela para pulir [alisar] / tela abrasiva; terpenos [aceites esenciales]; tintes cosméticos; tintes para la barba; tiras blanqueadoras dentales; tiras para refrescar el aliento; tiza para limpiar; toallitas impregnadas de lociones cosméticas; toallitas impregnadas de preparaciones desmaquillantes; trementina para desengrasar; trípoli para pulir; uñas postizas; varillas de incienso; velas de masaje para uso cosmético.
5. Abrasivos para uso odontológico; acaricidas; aceite alcanforado; aceite de hígado de bacalao; aceite de mostaza para uso médico; aceite de ricino para uso médico; aceites para uso médico; acetato de aluminio para uso farmacéutico; acetatos para uso farmacéutico; ácido gálico para uso farmacéutico; ácidos para uso farmacéutico; aconitina; adhesivos para prótesis dentales; adhesivos [pegamentos] quirúrgicos; adyuvantes para uso médico; aerosoles fríos para uso médico; agua blanca; agua de mar para baños medicinales; agua de melisa para uso farmacéutico; agua oxigenada para uso médico; aguas minerales para uso médico; aguas termales; alcaloides para uso médico; alcanfor para uso médico; alcoholes medicinales; alcohol para uso farmacéutico; aldehído fórmico para uso farmacéutico; aldehídos para uso farmacéutico; aleaciones de metales preciosos para uso odontológico; alginatos para uso farmacéutico; algodón antiséptico; algodón aséptico; algodón hidrófilo; algodón para uso médico; alguicidas; alimentos a base de albúmina para uso médico; alimentos dietéticos para uso médico; alimentos medicinales para animales; alimentos para bebés; almidón para uso dietético o farmacéutico; almohadillas de lactancia; almohadillas para juanetes; amalgamas dentales; amalgamas dentales de oro; aminoácidos para uso médico; aminoácidos para uso veterinario; analgésicos; anestésicos; anillos para los callos de los pies; antibióticos; anticonceptivos químicos; antisépticos; aplicadores en barrita para aliviar el dolor de cabeza; artículos para apósitos; astringentes para uso médico; azúcar candi para uso médico; azúcar para uso médico; bálsamo anticongelante para uso farmacéutico; bálsamo de gurjun para uso médico; bálsamos para uso médico; baños de oxígeno; bastoncillos de algodón para uso médico; bebidas dietéticas para uso médico; bicarbonato de soda para uso farmacéutico; biocidas; botellas de oxígeno llenas para uso médico; botiquines de primeros auxilios; botiquines de viaje; bragas absorbentes para la incontinencia; bragas higiénicas; bromo para uso farmacéutico; cachú para uso farmacéutico; caldos de cultivo para uso bacteriológico; calmantes; calomelano [fungicida]; cambiadores desechables para bebés; cánnabis para uso médico; cápsulas de polímeros dendriméricos para productos farmacéuticos; cápsulas para medicamentos; caramelos medicinales; carbonilo [antiparasitario]; carbón vegetal para uso farmacéutico; carne liofilizada para uso médico; cataplasmas; caucho para uso odontológico; células madre para uso médico; células madre para uso veterinario; cemento de hueso para uso quirúrgico y ortopédico; cemento para pezuñas; cementos dentales; ceras dentales para modelar; champús en seco medicinales; champús insecticidas para animales; champús medicinales; champús medicinales para animales de compañía; champús pediculicidas; cigarrillos sin tabaco para uso médico; cintas adhesivas para uso médico; cloral hidratado para uso farmacéutico; cloroformo; cocaína; colágeno para uso médico; colirio; collares antiparasitarios para animales; colodión para uso farmacéutico; comida homogeneizada para uso médico; comida liofilizada para uso médico; compresas higiénicas; compresas [vendas]; conductores químicos para electrodos de electrocardiógrafo; cornezuelo del centeno para uso farmacéutico; corteza de angostura para uso médico; corteza de condurango para uso médico; corteza de crotón; corteza de mangle para uso farmacéutico; corteza de mirobálano para uso farmacéutico; cortezas para uso farmacéutico; crémor tártaro para uso farmacéutico; creosota para uso farmacéutico; cuasia para uso médico; cultivos de microorganismos para uso médico o veterinario; cultivos de tejidos biológicos para uso médico; cultivos de tejidos biológicos para uso veterinario; curare; decocciones para uso farmacéutico; dentífricos medicinales; depurativos; desecativos para uso médico, desinfectantes; desinfectantes para inodoros químicos; desinfectantes para uso higiénico; desodorantes de ambiente; desodorantes para bandejas de arena higiénica; desodorantes para prendas de vestir y materias textiles; desodorantes que no sean para personas ni para animales; detergentes para uso médico; diastasas para uso médico; digestivos para uso farmacéutico; digitalina; disolventes para quitar el esparadrapo; drogas para uso médico; duchas vaginales para uso médico; elixires [preparaciones farmacéuticas]; enjuagues bucales para uso médico; enzimas para uso médico; enzimas para uso veterinario; esencia de eneldo para uso médico; esencia de trementina para uso farmacéutico; esparadrapos; esponjas anticonceptivas; esponjas vulnerarias; ésteres de celulosa para uso farmacéutico; ésteres para uso farmacéutico; esteroides; estricnina, éteres de celulosa para uso farmacéutico; éteres para uso farmacéutico; eucaliptol para uso farmacéutico; eucalipto para uso farmacéutico; extractos de lúpulo para uso farmacéutico; extractos de plantas para uso farmacéutico; extractos de plantas para uso médico; extractos de tabaco [insecticidas]; fenol para uso farmacéutico; fermentos lácteos para uso farmacéutico; fermentos para uso farmacéutico; fibras alimentarias; flor de azufre para uso farmacéutico; fosfatos para uso farmacéutico; fungicidas; gasa para apósitos; gases para uso médico; gelatina para uso médico; geles de estimulación sexual; geles de masaje para uso médico; genciana para uso farmacéutico; germicidas; glicerina para uso médico; glicerofosfatos; glucosa para uso médico; goma-guta para uso médico; gomas de mascar de nicotina para dejar de fumar; gomas de mascar para uso médico; gomas para uso médico; grasa para ordeñar; grasas para uso médico; grasas para uso veterinario; guata para uso médico; guayacol para uso farmacéutico; harina de linaza para uso farmacéutico; harina de pescado para uso farmacéutico; harinas lacteadas para bebés; harinas para uso farmacéutico; hemoglobina; herbicidas; hidrastina; hidrastinina; hierbas de fumar para uso médico; hierbas medicinales; hilas para uso médico; hinojo para uso médico; hormonas para uso médico; implantes quirúrgicos compuestos de tejidos vivos; incienso repelente para insectos; infusiones medicinales; inmunoestimulantes; insecticidas; iodoformo; iodo para uso farmacéutico; ioduros alcalinos para uso farmacéutico; ioduros para uso farmacéutico; isótopos para uso médico; jabones antibacterianos; jabones desinfectantes; jabones medicinales; jalapa; jalea de petróleo para uso médico; jalea real para uso farmacéutico; jarabes para uso farmacéutico; jeringas prellenadas para uso médico; lacas dentales; lactosa para uso farmacéutico; lápices antiverrugas; lápices cáusticos; lápices hemostáticos; laxantes; leche de almendras para uso farmacéutico; leche en polvo para bebés; leche malteada para uso médico; lecitina para uso médico; levadura para uso farmacéutico; linimentos; lociones capilares medicinales; lociones medicinales para después del afeitado; lociones para uso farmacéutico; lociones para uso veterinario; lodo para baños; lodos medicinales; lubricantes sexuales; lupulina para uso farmacéutico; madera de cedro para repeler insectos; magnesia para uso farmacéutico; malta para uso farmacéutico; masillas dentales; materiales para empastes dentales; materiales para impresiones dentales, mechas azufradas [desinfectantes], medicamentos antitranspirantes; medicamentos para el estreñimiento; medicamentos para uso médico, medicamentos para uso odontológico; medicamentos para uso veterinario; medicamentos sueroterapéuticos, menta para uso farmacéutico; mentol; molesquín para uso médico; mostaza para uso farmacéutico; musgo de Irlanda para uso médico; narcóticos; nervinos; opiáceos; opio, opodeldoch; oxígeno para uso médico; palos de regaliz para uso farmacéutico; pañales-braga para bebés; pañales de natación desechables para bebés; pañales de natación reutilizables para bebés; pañales higiénicos para la incontinencia; pañales para animales de compañía; pañales para bebés; pan para diabéticos de uso médico; papel antipolillas; papel atrapamoscas; papel para sinapismos; papel reactivo para uso médico; papel reactivo para uso veterinario; parasiticidas; parches de nicotina para dejar de fumar; parches de suplementos vitamínicos; parches oculares para uso médico; pasta de azufaifa; pastas de dientes medicinales; pastillas bronceadoras; pastillas fumigantes; pastillas para uso farmacéutico; pectina para uso farmacéutico; pegamento atrapamoscas; pepsinas para uso farmacéutico; peptonas para uso farmacéutico; pesticidas; píldoras antioxidantes; píldoras para adelgazar; píldoras supresoras del apetito; plasma sanguíneo; pociones medicinales; polvo de cantáridas; polvo de pelitre; polvo de perlas para uso médico; pomadas para uso médico; porcelana para prótesis dentales; preparaciones albuminosas para uso médico; preparaciones alimenticias para bebés; preparaciones antimoho; preparaciones bacterianas para uso médico o veterinario; preparaciones bacteriológicas para uso médico o veterinario; preparaciones balsámicas para uso médico; preparaciones biológicas para uso médico; preparaciones biológicas para uso veterinario; preparaciones broncodilatadoras; preparaciones de aloe vera para uso farmacéutico; preparaciones de baño para uso médico; preparaciones de bismuto para uso farmacéutico; preparaciones de diagnóstico para uso médico; preparaciones de diagnóstico para uso veterinario; preparaciones de fitoterapia para uso médico; preparaciones de irrigación interna para uso médico; preparaciones de microorganismos para uso médico o veterinario; preparaciones de oligoelementos para el consumo humano y animal; preparaciones de tocador medicinales; preparaciones de tratamiento antipiojos [pediculicida]; preparaciones de vitaminas*; preparaciones enzimáticas para uso médico; preparaciones enzimáticas para uso veterinario; preparaciones estípticas [astringentes]; preparaciones farmacéuticas; preparaciones farmacéuticas a base de cal; preparaciones farmacéuticas para cuidar la piel; preparaciones farmacéuticas para el tratamiento anticaspa; preparaciones farmacéuticas para el tratamiento de quemaduras solares; preparaciones matamoscas; preparaciones medicinales para adelgazar; preparaciones medicinales para baños oculares; preparaciones medicinales para el crecimiento del cabello; preparaciones nutracéuticas para uso terapéutico o médico; preparaciones para el tratamiento del acné; preparaciones para esterilizar; preparaciones para esterilizar suelos; preparaciones para facilitar la dentición; preparaciones para limpiar lentes de contacto; preparaciones para reducir la actividad sexual; preparaciones químicas para diagnosticar el embarazo; preparaciones químicas para tratar el mildiu; preparaciones químicas para tratar el tizón del trigo; preparaciones químicas para tratar las enfermedades de las plantas de cereales; preparaciones químicas para tratar las enfermedades de la vid; preparaciones químicas para uso farmacéutico; preparaciones químicas para uso médico; preparaciones químicas para uso veterinario; preparaciones químico-farmacéuticas; preparaciones terapéuticas para el baño; preparaciones veterinarias; productos antibacterianos para lavar las manos; productos anticriptogámicos; productos antihemorroidales; productos antiparasitarios; productos antipolillas; productos antiúricos; productos cáusticos para uso farmacéutico; productos de fumigación para uso médico; productos de lavado insecticidas para uso veterinario; productos farmacéuticos; productos febrífugos; productos hematógenos; productos opoterápicos; productos para eliminar animales dañinos; productos para eliminar babosas; productos para eliminar larvas; productos para eliminar parásitos; productos para eliminar ratones; productos para las callosidades; productos para las quemaduras; productos para lavar animales [insecticidas]; productos para lavar el ganado [insecticidas]; productos para lavar perros [insecticidas]; productos para los callos de los pies; productos para los sabañones; productos para purificar el aire; productos químicos para tratar la filoxera; productos radioactivos para uso médico; propóleos para uso farmacéutico; protege-slips [compresas higiénicas]; pulseras impregnadas de repelente de insectos; purgantes; quebracho para uso médico; quina para uso médico; quinina para uso médico; quinoleína para uso médico; radio para uso médico; raíces de ruibarbo para uso farmacéutico; raíces medicinales; raticidas; reactivos con biomarcadores para el diagnóstico médico; reactivos químicos para uso médico o veterinario; regaliz para uso farmacéutico; rellenos dérmicos inyectables; rellenos óseos compuestos de tejidos vivos; remedios para la transpiración de los pies; repelentes de insectos; repelentes para perros; sales contra el desmayo; sales de aguas minerales; sales de baño para uso médico; sales de potasio para uso médico; sales de soda para uso médico; sales para baños de aguas minerales; sales para uso médico; sangre para uso médico; sanguijuelas para uso médico; sellos para uso farmacéutico; semen para la inseminación artificial; semillas [granos] de lino para uso farmacéutico; sinapismos; soluciones para lentes de contacto; somníferos; subnitrato de bismuto para uso farmacéutico; subproductos del procesamiento de cereales para uso dietético o médico; sueros; sulfamidas [medicamentos]; suplementos alimenticios a base de aceite de linaza; suplementos alimenticios a base de albúmina; suplementos alimenticios a base de alginatos; suplementos alimenticios a base de caseína; suplementos alimenticios a base de enzimas; suplementos alimenticios a base de germen de trigo; suplementos alimenticios a base de glucosa; suplementos alimenticios a base de jalea real; suplementos alimenticios a base de lecitina; suplementos alimenticios a base de levadura; suplementos alimenticios a base de polen; suplementos alimenticios a base de propóleos; suplementos alimenticios a base de proteínas; suplementos alimenticios a base de semillas de lino; suplementos alimenticios minerales; suplementos alimenticios para animales; suplementos de proteínas para animales; suplementos dietéticos a base de acai en polvo; suplementos dietéticos con efecto cosmético; suplementos nutricionales; supositorios; supresores del apetito para uso médico; sustancias de contraste radiológico para uso médico; sustancias dietéticas para uso médico; sustancias nutritivas para microorganismos; sustancias vesicantes; tampones higiénicos; tártaro para uso farmacéutico; té antiasmático; telas para apósitos; té medicinal; timol para uso farmacéutico; tintura de iodo; tinturas para uso médico; tisanas medicinales; toallitas impregnadas de lociones farmacéuticas; tónicos reconstituyentes [medicamentos]; trasplantes [tejidos vivos]; trementina para uso farmacéutico; ungüentos a base de mercurio; ungüentos para quemaduras solares; ungüentos para uso farmacéutico; vacunas; velas de masaje para uso terapéutico; vendajes escapulares para uso quirúrgico; vendas para apósitos; venenos; venenos bacterianos; vermífugos; zarzaparrilla para uso médico.
44. Alquiler de animales para pastar; alquiler de aparatos de peinado; alquiler de colmenas; alquiler de equipos médicos; alquiler de instalaciones sanitarias; alquiler de material para explotaciones agrícolas; alquiler de robots quirúrgicos; arreglos florales; aseo de animales; asesoramiento en materia de farmacia; asesoramiento médico para personas con discapacidad; asesoramiento sobre dietética y nutrición; asesoramiento sobre la salud; asistencia médica; asistencia veterinaria; cirugía arbórea; cirugía estética; confección de coronas [arte floral]; consultoría en el ámbito de la viticultura; cría de animales; cultivo de plantas; depilación con cera; diseño de parques y jardines [paisajismo]; eliminación de malas hierbas; exploración médica; exterminación de animales dañinos para la agricultura, la acuicultura, la horticultura y la silvicultura; fisioterapia; horticultura; implantación de cabello; jardinería; logopedia; mantenimiento del césped; masajes; perforación corporal; plantación de árboles para compensar las emisiones de carbono [sumideros de carbono]; preparación de recetas médicas por farmacéuticos; pulverización aérea o terrestre de fertilizantes y otros productos químicos para uso agrícola; quiropráctica; servicios de acuicultura; servicios de análisis médicos prestados por laboratorios médicos con fines diagnósticos y terapéuticos; servicios de aromaterapia; servicios de aseo para animales domésticos; servicios de bancos de sangre; servicios de bancos de tejidos humanos; servicios de baños públicos con fines higiénicos; servicios de baños turcos; servicios de casas de convalecencia; servicios de casas de reposo; servicios de centros de salud; servicios de clínicas médicas; servicios de comadronas; servicios de control de plagas para la agricultura, la acuicultura, la horticultura y la silvicultura; servicios de cuidados de enfermería a domicilio; servicios de cuidados paliativos; servicios de desintoxicación para toxicómanos; servicios de enfermeros; servicios de estaciones termales; servicios de estilistas [visagistas]; servicios de fecundación in vitro; servicios de hospicios [casas de asistencia]; servicios de inseminación artificial; servicios de jardineros paisajistas; servicios de manicura; servicios de medicina alternativa; servicios de odontología; servicios de ópticos; servicios de ortodoncia; servicios de peluquería; servicios de psicólogos; servicios de reforestación; servicios de residencias con asistencia médica; servicios de salones de belleza; servicios de salud; servicios de sanatorios; servicios de sauna; servicios de solárium; servicios de tatuaje; servicios de telemedicina; servicios de viticultura; servicios de viveros; servicios hospitalarios; servicios terapéuticos; terapia asistida con animales [zooterapia].</t>
  </si>
  <si>
    <t>LIMIXEL</t>
  </si>
  <si>
    <t>5. Complementos alimenticios para uso médico; vitaminas, suplementos nutricionales, suplementos alimenticios minerales; suplementos dietéticos para uso médico; complementos dietéticos; complementos nutritivos.</t>
  </si>
  <si>
    <t>AdelgaFast</t>
  </si>
  <si>
    <t>Mateo Cerón Rivero, CRA 13 #113-69, BOGOTA, CUNDINAMARCA 110111, CO</t>
  </si>
  <si>
    <t>5. Medicamentos homeopáticos; medicamentos fitoterapéuticos para el consumo humano; suplementos dietéticos y nutricionales.</t>
  </si>
  <si>
    <t>PETLOVE</t>
  </si>
  <si>
    <t>24 dic. 2022</t>
  </si>
  <si>
    <t>PetLve</t>
  </si>
  <si>
    <t>CLAUDIA ARMIDA MACHADO CASTRO, Calle 26 # 38-26 Torre 3 Oficina BIO26 Las palmas, MEDELLIN, ANTIOQUIA, CO</t>
  </si>
  <si>
    <t>5. Productos y sustancias a base de cannabis para uso veterinario.</t>
  </si>
  <si>
    <t>Isabel Cristina Uribe Martínez, Calle 70 sur # 38-430 Ofi. 602, MEDELLIN, ANTIOQUIA 050044, CO</t>
  </si>
  <si>
    <t>APETIPLUS</t>
  </si>
  <si>
    <t>ALISSON ROMERO MADRIGAL, Diagonal 16b- No. 108-25, BOGOTÁ, D.C., CO</t>
  </si>
  <si>
    <t>VITAFLEX</t>
  </si>
  <si>
    <t>5. Productos farmacéuticos y veterinario.</t>
  </si>
  <si>
    <t>COLOMBIAN GREEN FARM PSYMED - ECORGANIC</t>
  </si>
  <si>
    <t>COLOMBIAN GREEN FARM</t>
  </si>
  <si>
    <t>Laura Daniela Rodríguez Mesa, Carrera 7C BIS 141a - 27 , BOGOTÁ, D.C., CO</t>
  </si>
  <si>
    <t>5. Extractos de plantas medicinales.
31. Semillas; semillas para la agricultura; semillas para la horticultura; semillas para plantar; semillas para siembra; semillas para uso agrícola; semillas sin procesar; semillas sin procesar para uso agrícola.</t>
  </si>
  <si>
    <t>Matteo Campiño Gutierrez, Carrera 8 # 85 31 Apto. 904, BOGOTÁ, D.C. 110221, CO</t>
  </si>
  <si>
    <t>BIODOLL-OVER</t>
  </si>
  <si>
    <t>3. Esencias y aceites etéreos; esencias etéreas; aceites aromáticos; aceites aromáticos para el baño; aceites brillantes para el cuerpo; aceites de aromaterapia; aceites de baño no medicinales; aceites de cáñamo a base de cbd para uso cosmético; aceites de ducha a base de cáñamo; aceites de masaje, no medicinales; aceites esenciales; aceites esenciales a base de cáñamo; aceites esenciales naturales; aceites esenciales para uso cosmético; aceites etéreos; aceites no medicados.
5. Extractos de plantas medicinales; medicinas homeopáticas.</t>
  </si>
  <si>
    <t>gubbi</t>
  </si>
  <si>
    <t>INVERSIONES AXER SAS, CALLE 45 53 50 LOC 2045, MEDELLIN, ANTIOQUIA 050001, CO</t>
  </si>
  <si>
    <t>5. Preparaciones y suplementos nutricionales para la salud; preparaciones y suplementos para la salud; suplementos alimenticios; suplementos alimenticios a base de proteínas; suplementos alimenticios medicinales para consumo humano; suplementos alimenticios para humanos; suplementos alimenticios para seres humanos; suplementos alimenticios que no sean para uso médico; suplementos dietéticos; suplementos dietéticos en forma de polvo; suplementos dietéticos y nutricionales; suplementos nutricionales y alimenticios; suplementos proteicos para seres humanos; suplementos y preparaciones dietéticas; suplementos y preparaciones nutricionales.</t>
  </si>
  <si>
    <t>SAMUEL HOYOS OSSA, Calle 45 No. 53 50 LOC 2045, MEDELLIN, ANTIOQUIA 057, CO</t>
  </si>
  <si>
    <t>CAPICELL</t>
  </si>
  <si>
    <t>5. Productos farmacéuticos y medicamentos para uso humano; bálsamos para uso médico; shampoo medicinal; jabones medicinales; preparaciones dermatológicas de uso médico para el cuidado del cuerpo y la belleza.</t>
  </si>
  <si>
    <t>NEO-FÁRMACO</t>
  </si>
  <si>
    <t>LABORATORIO NEOFARMACO DEL ECUADOR NEOFARMACO CIA. LTDA., ATAHUALPA Y NOBOA CAAMAÑO, AMBATO, TUNGURAHUA, EC</t>
  </si>
  <si>
    <t>3. Productos cosméticos y preparaciones de tocador no medicinales; dentífricos no medicinales; productos de perfumería, aceites esenciales; preparaciones para blanquear y otras sustancias para lavar la ropa; preparaciones para limpiar, pulir, desengrasar y raspar.
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</si>
  <si>
    <t>PEARLS</t>
  </si>
  <si>
    <t>SD - Pearls</t>
  </si>
  <si>
    <t>EMMANUEL YESID  OVIEDO DORIA, Calle 151 # 117 - 21 Apto 102 , BOGOTA, CUNDINAMARCA, CO</t>
  </si>
  <si>
    <t>IPETPLACE EL SITIO DE TU MASCOTA</t>
  </si>
  <si>
    <t>JR-086-2022</t>
  </si>
  <si>
    <t>Camilo Andres Torrado Amaya, Carrera 27# 2-09 , BOGOTÁ, D.C. 110010, CO</t>
  </si>
  <si>
    <t>3, 5, 16, 18, 20, 21, 25, 28, 31, 35, 41, 42, 43, 44, 45</t>
  </si>
  <si>
    <t>3. Cosméticos para animales; preparaciones para el cuidado y limpieza de los animales; cosméticos ecológicos.
5. Aditivos alimentarios medicinales para uso veterinario; alimentos complementarios para uso veterinario; alimentos dietéticos para uso veterinario; alimentos y bebidas dietéticos para uso médico o veterinario; alimentos y bebidas dietéticos para uso veterinario; anticuerpos para uso veterinario; complementos alimenticios para animales de uso veterinario; complementos alimenticios para uso farmacéutico y veterinario; complementos alimenticios para uso veterinario; alimentos medicinales para animales; champús medicinales para animales de compañía; complementos alimenticios para animales; medicamentos de prevención contra los nematodos parásitos de animales de compañía; pañales desechables para animales de compañía; pañales para animales de compañía; preparaciones farmacéuticas para animales; suplementos nutricionales para alimentos de animales para uso médico.
16. Bolsas de plástico para excrementos de animales de compañía.
18. Abrigos para animales; arneses para animales de compañía; collares, correas y ropa para animales; ropa para animales.
20. Camas para animales de compañía; huesos de animales en bruto o semielaborados; mesas para el aseo de animales de compañía.
21. Bandejas higiénicas para animales de compañía.
25. Uniformes; uniformes para personal de enfermería.
28. Accesorios para animales de juguete; juguetes para animales de compañía.
31. Alimentos para animales; animales vivos; arena sanitaria para animales; galletas para animales; golosinas comestibles para animales de compañía; productos alimenticios para animales; virutas de madera para camas de animales.
35. Servicios de tiendas mayoristas en línea de artículos de cama para animales; servicios de tiendas mayoristas en línea de instrumentos higiénicos para animales; servicios de tiendas mayoristas en línea de piensos para animales; servicios de venta mayorista de artículos de cama para animales; servicios de venta mayorista de piensos para animales; gestión empresarial de consultas veterinarias.
41. Escuelas de adiestramiento de animales; servicios de granjas de animales domésticos y silvestres.
42. Servicios de laboratorios veterinarios.
43. Servicios de hoteles para animales de compañía.
44. Servicios de análisis veterinarios con fines diagnósticos o terapéuticos; servicios de análisis veterinarios con fines diagnósticos o tratamientos; servicios de análisis veterinarios con fines terapéuticos; servicios de análisis veterinarios con fines tratamientos; servicios de cuidado de animales de compañia [servicios médicos, veterinarios y de aseo]; servicios de cuidado de mascotas [servicios médicos, veterinarios y de aseo]; servicios médicos y veterinarios; servicios veterinarios; servicios veterinarios y suministro de información al respecto; suministro de información en línea en materia de servicios veterinarios; suministro de información sobre servicios veterinarios; análisis de laboratorio relacionados con el tratamiento de animales; cuidados de higiene y de belleza para animales; identificación de animales; servicios de aseo para animales de compañía; servicios de salud y de belleza para animales; servicios de salón de belleza para animales de compañia; cirugía veterinaria; odontología veterinaria; servicios de cirugía veterinaria; servicios de información médica y veterinaria prestados por internet.
45. Servicios de adopción de animales.</t>
  </si>
  <si>
    <t>Jesus David Ramirez Mercado, Carrera 8A N 153-56, int 8, apto 501, BOGOTÁ, D.C., CO</t>
  </si>
  <si>
    <t>ACVALON</t>
  </si>
  <si>
    <t>OSH001</t>
  </si>
  <si>
    <t>OSHER BIOTECNOLOGICA S.A.S., Calle 166 # 18-70, BOGOTÁ, D.C., CO</t>
  </si>
  <si>
    <t>5. Medicamentos; medicamentos autónomos para uso médico; medicamentos para uso humano.</t>
  </si>
  <si>
    <t>CARLOS ANDRES OSORIO HERNANDEZ, CARRERA 6 NO.70-24 BARRIO LOS MUISCAS, TUNJA, BOYACA, CO</t>
  </si>
  <si>
    <t>CYTABINA</t>
  </si>
  <si>
    <t>OSH002</t>
  </si>
  <si>
    <t>ALLUROGEL</t>
  </si>
  <si>
    <t>AVALON PHARMACEUTICAL S.A., CARRERA 14 N 85-68 OFICINA 402, BOGOTÁ, D.C., CO</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</si>
  <si>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10. Aparatos e instrumentos quirúrgicos, médicos, odontológicos y veterinarios; miembros, ojos y dientes artificiales; artículos ortopédicos; material de sutura; dispositivos terapéuticos y de asistencia para personas discapacitadas; aparatos de masaje; aparatos, dispositivos y artículos de puericultura; aparatos, dispositivos y artículos para actividades sexuales.</t>
  </si>
  <si>
    <t>Sebastián Salazar Castillo, Carrera 11B # 98-08 Oficina 403, BOGOTÁ, D.C. 110221, CO</t>
  </si>
  <si>
    <t>AGROEXPERTO</t>
  </si>
  <si>
    <t>MA31676-AGROEXPERTO</t>
  </si>
  <si>
    <t>LIVE SYSTEMS TECHNOLOGY S.A. LST S.A., CALLE 18 NO. 68D-38, BOGOTÁ, D.C., CO</t>
  </si>
  <si>
    <t>1. Productos químicos para la industria, la agricultura, la horticultura y la silvicultura; Proteger plantas de agentes patógenos, evitar y/o prevenir infecciones patógenas en las plantas.
5. Productos para eliminar animales dañinos; fungicidas, herbicidas; preparación química para infecciones patógenas en las plantas.</t>
  </si>
  <si>
    <t>mia ecologica</t>
  </si>
  <si>
    <t>jean carlos betancourth caicedo, cra 12 #46-28, SANTIAGO DE CALI, VALLE DEL CAUCA, CO</t>
  </si>
  <si>
    <t>5. Toallas sanitarias.</t>
  </si>
  <si>
    <t>AMBITRA</t>
  </si>
  <si>
    <t>LLC42644</t>
  </si>
  <si>
    <t>1. Bioestimulantes; fertilizantes; reguladores del crecimiento de plantas para uso agrícola; nutrientes para el crecimiento de las plantas; preparaciones para regular el crecimiento de las plantas; sustancias para regular el crecimiento de las plantas.
5. Fungicidas.</t>
  </si>
  <si>
    <t>rocker</t>
  </si>
  <si>
    <t>3. Champús para el cabello; champús y acondicionadores; champús y acondicionadores para animales de compañía [preparaciones de peluquería no medicinales ni veterinarias]; champús*; productos para lavar perros [champús]; productos cosméticos para el cuidado de la piel de los perros; ceras para el cuidado del cabello; ceras para el peinado del cabello; champúes para el cabello; champúes para el cabello a base de cáñamo;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[preparaciones de aseo, que no sean para uso veterinario].
5. Champús medicinales; champús medicinales para animales de compañía; lociones para perros para uso veterinario; lociones veterinarias para perros;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suplementos alimenticios para animales de uso veterinario; suplementos alimenticios para uso farmacéutico y veterinario; suplementos alimenticios para uso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</si>
  <si>
    <t>nutritech</t>
  </si>
  <si>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Champú para el crecimiento del cabello; estimulantes para el crecimiento del cabello; preparaciones medicinales para el crecimiento del cabello; preparaciones para eliminar los piojos del cabello; preparaciones para eliminar piojos del cabello;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t>
  </si>
  <si>
    <t>RVSH Z</t>
  </si>
  <si>
    <t>M001747</t>
  </si>
  <si>
    <t>MONEYMAKER, S.C., Av. Insurgentes Sur #605 interior 502, Colonia Nápoles, DEL BENITO JUÁREZ, CIUDAD DE MEXICO 06100, MX</t>
  </si>
  <si>
    <t>5. Suplementos alimenticios; complementos nutricionales en polvo para elaborar bebidas; preparados de mezclas y vitaminas en gel.</t>
  </si>
  <si>
    <t>Juan David Mejia Montoya, Cra. 13 # 28-38, Bufete 245, Mz. 2, BOGOTÁ, D.C., CO</t>
  </si>
  <si>
    <t>CTRL Z</t>
  </si>
  <si>
    <t>M001748</t>
  </si>
  <si>
    <t>COLAGENVID</t>
  </si>
  <si>
    <t>Manuela  Díaz Montoya, CL 32 EE 80C 56 AP 302, MEDELLIN, ANTIOQUIA 050031, CO</t>
  </si>
  <si>
    <t>5. Alimentos dietéticos para uso médico; alimentos para niños; alimentos para niños pequeños; complementos a base de hierbas; complementos alimenticios; complementos alimenticios de vitaminas y minerales; complementos alimenticios dietéticos; complementos alimenticios medicinales a base de colágeno; complementos alimenticios para humanos; complementos alimenticios para personas; complementos dietéticos en forma de polvo; complementos dietéticos en forma líquida; complementos dietéticos y nutricionales; complementos homeopáticos; complementos minerales; complementos nutricionales; complementos nutricionales líquidos; complementos nutricionales y alimenticios; medicamentos de venta libre; medicamentos herbarios; medicamentos homeopáticos; medicamentos líquidos; medicamentos sin prescripción médica; medicinas herbarias; medicinas homeopáticas; medicinas líquidas; multivitaminas; multivitamínicos; preparaciones de vitaminas y minerales; preparaciones de vitaminas*; preparaciones farmacéuticas para personas; preparaciones medicinales; productos farmacéuticos; productos farmacéuticos homeopáticos; suplementos alimenticios para humanos; suplementos alimenticios para personas; suplementos alimenticios para uso farmacéutico; suplementos de hierbas líquidos; suplementos nutricionales; suplementos nutricionales líquidos; suplementos vitamínicos líquidos.</t>
  </si>
  <si>
    <t>S SERENN MEDICINA INTEGRATIVA</t>
  </si>
  <si>
    <t>SERENN</t>
  </si>
  <si>
    <t>MARIA CAMILA HENAO SOLARTE, CR 25A # 1A - SUR 45, MEDELLIN, ANTIOQUIA, CO</t>
  </si>
  <si>
    <t>5. Productos farmacéuticos, preparaciones para uso médico; productos higiénicos y sanitarios para uso médico; alimentos y sustancias dietéticas para uso médico, medicamentos, material para empastes e improntas dentales; desinfectantes.
10. Aparatos e instrumentos quirúrgicos, médicos, odontológicos y veterinarios; miembros, ojos y dientes artificiales; artículos ortopédicos; material de sutura; dispositivos terapéuticos y de asistencia para personas discapacitadas; aparatos de masaje; aparatos, dispositivos y artículos de puericultura.
44. Servicios médicos; tratamientos de higiene y de belleza. Servicios de medicina integrativa.</t>
  </si>
  <si>
    <t>ANA MARIA MESA ELNESER, CALLE 55 No. 77C - 100 APTO 403, MEDELLIN, ANTIOQUIA, CO</t>
  </si>
  <si>
    <t>NATURAL MANTRA</t>
  </si>
  <si>
    <t>26 dic. 2022</t>
  </si>
  <si>
    <t>Juan Sebastián Lopez Barberi, Carrera 53A #6A - 23 (Piso 2), CALI, VALLE DEL CAUCA 760036, CO</t>
  </si>
  <si>
    <t>3. Cosméticos a base de cannabis.
5. Cannabis medicinal en forma de aceites para facilitar la administración de fármacos; cannabis medicinal en forma de tisanas; cannabis medicinal en forma de tisanas para uso medicinal; cannabis para uso médico.</t>
  </si>
  <si>
    <t>EXTIMOX PREMIX</t>
  </si>
  <si>
    <t>ILENDER COLOMBIA S.A., Carrera 74 No. 160 83 Int1 Apto  601 Conjunto Colina De  Sanfernando , BOGOTÁ, D.C., CO</t>
  </si>
  <si>
    <t>5. Aditivos alimentarios medicinales para uso veterinario; alimentos complementarios para uso veterinario; antibióticos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medicamentos para uso veterinario; preparaciones antibacterianas para uso veterinario; preparaciones antiinfecciosos para uso veterinario; preparaciones bacterianas para uso médico o veterinario; preparaciones bioquímicas para uso veterinario; preparaciones de aminoácidos para uso veterinario; preparaciones de diagnóstico para uso veterinario; preparaciones de microorganismos para uso veterinario; preparaciones de uso veterinario para tratar las bacterias intestinales; preparaciones enzimáticas para uso veterinario; preparaciones sanitarias para uso veterinario; productos de lavado insecticidas para uso veterinario; remedios para uso veterinario; suplementos alimenticios para animales de uso veterinario; suplementos alimenticios para uso veterinario.
35. Servicios de venta minorista o al mayorista de medicamentos veterinarios.</t>
  </si>
  <si>
    <t>MARIA CRISTINA ESTEVEZ GARCIA, Carrera 74 No. 160 83 Int1 Apto  601 Conjunto Colina De  Sanfernando , BOGOTÁ, D.C., CO</t>
  </si>
  <si>
    <t>MONENCIL</t>
  </si>
  <si>
    <t>5. Aditivos alimentarios medicinales para uso veterinario; alimentos complementarios para uso veterinario; antibióticos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medicamentos para uso veterinario; preparaciones antibacterianas para uso veterinario; preparaciones antiinfecciosos para uso veterinario; preparaciones bacteriológicas para uso veterinario; preparaciones biológicas para uso veterinario; preparaciones bioquímicas para uso veterinario; preparaciones de aminoácidos para uso veterinario; preparaciones de diagnóstico para uso veterinario; preparaciones de microorganismos para uso veterinario; preparaciones de uso veterinario para tratar las bacterias intestinales; preparaciones enzimáticas para uso veterinario; preparaciones sanitarias para uso veterinario; productos de lavado insecticidas para uso veterinario; remedios para uso veterinario; suplementos alimenticios para animales de uso veterinario; suplementos alimenticios para uso veterinario.
35. Servicios de venta minorista o al mayorista de medicamentos veterinarios.</t>
  </si>
  <si>
    <t>GENER</t>
  </si>
  <si>
    <t>28 dic. 2022</t>
  </si>
  <si>
    <t>JHON DAVID SALAZAR ACEVEDO, Carrera 45 # 25 43, MEDELLIN, ANTIOQUIA, CO</t>
  </si>
  <si>
    <t>5. Preparaciones y suplementos nutricionales para la salud; preparaciones y suplementos para la salud; preparaciones proteicas para uso en cuanto aditivos de productos alimenticios para el consumo humano.
30. Cereales preparados para la alimentación humana; cereales procesados; harinas y preparaciones a base de cereales; productos alimenticios elaborados principalmente a partir de cereales; infusiones que no sean para uso médico; preparaciones aromáticas para infusiones no medicinales; te para infusiones.</t>
  </si>
  <si>
    <t>Solicitud. Marca tridimensional</t>
  </si>
  <si>
    <t>EUROFARMA LABORATÓRIOS S.A., Rod. Pres. Castelo Branco n. 3565
Quadra GL, Lote A Ingahi
CEP: 06696-000 Itapevi - SP CEP: 04603-003, BR</t>
  </si>
  <si>
    <t>20 nov. 2023</t>
  </si>
  <si>
    <t>FIBER ALL PLUS</t>
  </si>
  <si>
    <t>FIBERALL</t>
  </si>
  <si>
    <t>ENGY</t>
  </si>
  <si>
    <t>ENNY LORAYNE LINDARTE CARRILLO, AV 12 9 51 BRR EL LLANO, CUCUTA, NORTE DE SANTANDER, CO</t>
  </si>
  <si>
    <t>5. Suplementos alimenticios; suplementos alimenticios dietéticos; suplementos alimenticios para humanos; suplementos alimenticios para personas; suplementos alimenticios para personas o animales; suplementos alimenticios probióticos; suplementos alimenticios que no sean para uso médico; suplementos de hierbas líquidos; suplementos de proteínas para personas; suplementos dietéticos; suplementos dietéticos y nutricionales; suplementos nutricionales; suplementos nutricionales y alimenticios; suplementos vitamínicos líquidos.</t>
  </si>
  <si>
    <t>ZHAR FLET</t>
  </si>
  <si>
    <t>FIBERLAX</t>
  </si>
  <si>
    <t>farmarket</t>
  </si>
  <si>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</si>
  <si>
    <t>farmalife</t>
  </si>
  <si>
    <t>3.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</si>
  <si>
    <t>Iso drink</t>
  </si>
  <si>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[preparaciones de aseo, que no sean para uso veterinario]; champús no medicinales para animales de compañía;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t>
  </si>
  <si>
    <t>Electrodrink</t>
  </si>
  <si>
    <t>3.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desodorantes para animales de compañía; desodorantes para personas o animales [productos de perfumería]; desodorizantes para animales de compañía; enjuagues bucales no medicinales para animales de compañía; preparaciones no medicinales para el aseo de animales que no sean productos para lavarlos; productos para eliminar las manchas producidas por animales de compañía; toallitas impregnadas con preparaciones de limpieza para animales de compañía;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cosméticos para animales; desodorantes para animales; desodorantes para personas o animales; desodorantes para uso personal y para animales; limpiadores para camas [arena] de animales; preparaciones con filtro solar para animales; preparaciones de baño no medicinales para animales; preparaciones de protección solar para animales;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aditivos en forma de vitaminas y minerales para alimentos para animales de compañía; botiquines de primeros auxilios para animales de compañía; bragas higiénicas para animales de compañía; champús medicinales para animales de compañía; collares antipulgas para animales de compañía; complementos alimenticios para animales de uso veterinario; complementos dietéticos en forma de golosinas para animales de compañía; complementos dietéticos para animales de compañía; complementos dietéticos para animales de compañía, a saber, bebidas en polvo; complementos vitamínicos y minerales para animales de compañía; desodorantes de bandejas higiénicas para animales de compañía; desodorantes para bandejas de arena higiénica para animales de compañía; enjuagues bucales medicinales para animales de compañía; envolturas sanitarias [pañales para animales de compañía]; estuches de primeros auxilios para animales de compañía; kits de primeros auxilios para animales de compañía; medicamentos de prevención contra los nematodos parásitos de animales de compañía; pañales desechables para animales de compañía; pañales para animales de compañía; preparaciones desodorantes de bandejas higiénicas para animales de compañía; preparaciones desodorantes para bandejas de arena higiénica para animales de compañía; preparaciones farmacéuticas para el tratamiento de lombrices en animales de compañía; preparaciones farmacéuticas para tratar los gusanos en animales domésticos;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la destrucción de animales dañinos; preparaciones para neutralizar los olores dejados por las animales de compañía; preparaciones para repeler animales dañinos;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ungüentos a base de hierbas para las heridas externas de animales de compañía; ungüentos antiprurito a base de hierbas para animales de compañía; vacunas veterinarias para animales de la especie bovina; vitaminas para animales de compañía;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alimentos dietéticos medicinales para animales; alimentos medicinales para animales; champús insecticidas para animales; collares antiparasitarios para animales; collares antipulgas para animales; complementos alimenticios antibióticos para animales; complementos alimenticios para animales; complementos alimenticios para personas o animales; complementos de proteínas para animales; complementos dietéticos para personas y animales; complementos medicinales para alimentos destinados a los animales; complementos nutricionales para alimentos de animales; complementos nutricionales para seres humanos y animales; desodorantes para camas de animales; desodorantes que no sean para personas ni para animales; desodorantes que no sean para personas o animales; estimulantes alimenticios para animales; fagoestimulantes para animales; implantes biológicos formados por tejidos conjuntivos humanos o animales; laxantes para animales; polvos antipulgas para animales; polvos para matar las pulgas en los animales; polvos pulguicidas para animales; preparaciones contra las picaduras o mordeduras de animales; preparaciones farmacéuticas para animales; preparaciones farmacéuticas para el cuidado de la piel de animales; preparaciones farmacéuticas para el cuidado de la piel de los animales; preparaciones medicinales para el aseo de animales; preparaciones medicinales para el baño de los animales; preparaciones medicinales para el cuidado dental de los animales; preparaciones para eliminar malas hierbas y plagas animales; preparaciones repelentes para animales, pájaros e insectos; repelentes para animales; supositorios para animales; vacunas contra las pezuñas de animales; vitaminas para animales.</t>
  </si>
  <si>
    <t>FACTOR MIN</t>
  </si>
  <si>
    <t>27 dic. 2022</t>
  </si>
  <si>
    <t>FM1</t>
  </si>
  <si>
    <t>5. Productos farmacéuticos; suplementos nutricionales.</t>
  </si>
  <si>
    <t>NUPRO</t>
  </si>
  <si>
    <t>5. Suplementos alimenticios; suplementos alimenticios en polvo a base de proteinas.</t>
  </si>
  <si>
    <t>COMPLEXZINC-F</t>
  </si>
  <si>
    <t>CZ2</t>
  </si>
  <si>
    <t>BIOZINCF</t>
  </si>
  <si>
    <t>BIOZINC1</t>
  </si>
  <si>
    <t>Trifenzol</t>
  </si>
  <si>
    <t>FLORTIFEN 20%</t>
  </si>
  <si>
    <t>SIETE MACHOS</t>
  </si>
  <si>
    <t>PRODUCTOS PHYSIS S.A.S., CALLE 30 NO. 78-33, CALI, VALLE DEL CAUCA, CO</t>
  </si>
  <si>
    <t>5. SUPLEMENTOS DIETARIOS, SUPLEMENTOS ALIMENTICIOS MINERALES; SUPLEMENTOS NUTRICIONALES; SUPLEMENTOS ALIMENTICIOS PROTEICOS EN POLVO, SUPLEMENTOS DE PROTEÍNAS; SUPLEMENTOS DIETÉTICOS DE LINAZA; SUPLEMENTOS VITAMÍNICOS; COMPLEMENTOS NUTRICIONALES; MAGNESIA PARA USO FARMACÉUTICO.</t>
  </si>
  <si>
    <t>AMINO 100</t>
  </si>
  <si>
    <t>NEOPHARMA SAS, TRANSV. 68C # 22-55 SUR, BOGOTÁ, D.C., CO</t>
  </si>
  <si>
    <t>5. Suplementos alimenticios para humanos; formulaciones vitamínicas para consumo humano; suplementos dietéticos a base de aminoácidos para consumo humano; complementos de proteínas para personas.</t>
  </si>
  <si>
    <t>THYNLLYNE</t>
  </si>
  <si>
    <t>GW GEAR WELL</t>
  </si>
  <si>
    <t>GEAR WELL</t>
  </si>
  <si>
    <t>William Fernando Martinez, Calle 67B #60-39, BOGOTÁ, D.C., CO</t>
  </si>
  <si>
    <t>5. Suplementos dietéticos; preparaciones y suplementos para la salud; suplementos alimenticios dietéticos en polvo.</t>
  </si>
  <si>
    <t>Natalia Botero Alzate, calle 14 # 16 -56, EL RETIRO, ANTIOQUIA, CO</t>
  </si>
  <si>
    <t>CINCALED</t>
  </si>
  <si>
    <t>CARMURAC</t>
  </si>
  <si>
    <t>27-12-01-CARMURAC</t>
  </si>
  <si>
    <t>PROVIT TST</t>
  </si>
  <si>
    <t>VARISTOPP</t>
  </si>
  <si>
    <t>VARISTOP</t>
  </si>
  <si>
    <t>EMLIF</t>
  </si>
  <si>
    <t>27-12-02-EMLIF</t>
  </si>
  <si>
    <t>ultra lit</t>
  </si>
  <si>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[preparaciones de aseo, que no sean para uso veterinario]; champús no medicinales para animales de compañía;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t>
  </si>
  <si>
    <t>aminotech</t>
  </si>
  <si>
    <t>Iso plus</t>
  </si>
  <si>
    <t>Inner being</t>
  </si>
  <si>
    <t>Elluracaps</t>
  </si>
  <si>
    <t>ellluracaps</t>
  </si>
  <si>
    <t>PHARMATOKA S.A.S, 20-22 avenue de la République, 92500 Rueil-Malmaison, France, RUEIL-MALMAISON, ISLA DE FRANCIA, FR</t>
  </si>
  <si>
    <t>5. Medicamento para el tratamiento profiláctico de infecciones urinarias recurrentes en humanos.</t>
  </si>
  <si>
    <t>RICARDO DEL CRISTO  ARISTIZABAL ESCOBAR, Carrera 8 No. 64 - 42 Of. 304, BOGOTÁ, D.C., CO</t>
  </si>
  <si>
    <t>Bio live</t>
  </si>
  <si>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t>
  </si>
  <si>
    <t>ultra fast</t>
  </si>
  <si>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 vegana en cuanto suplemento nutricional de bebidas listas para beber;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</si>
  <si>
    <t>AROMAS DE VIDA AV</t>
  </si>
  <si>
    <t>SOLICITUD REGISTRO DE MARCA AROMAS DE VIDA AV</t>
  </si>
  <si>
    <t>LUISA FERNANDA BOLAÑOS RAMIREZ, CARRERA 96 # 5-09 BARRIO LA PLAYA, CALI, VALLE DEL CAUCA, CO; SARA ISABEL BOLAÑOS RAMIREZ, CARRERA 96 # 5-09 BARRIO LA PLAYA, CALI, VALLE DEL CAUCA, CO</t>
  </si>
  <si>
    <t>5. Preparaciones para aliviar el dolor.</t>
  </si>
  <si>
    <t>DAVID ALEJANDRO  ESCOBAR GARCIA, CARRERA 38 #5E-28 ED. CONQUISTADORES TORRE B OF. 503, CALI, VALLE DEL CAUCA, CO</t>
  </si>
  <si>
    <t>AMAPOLA. artesana</t>
  </si>
  <si>
    <t>JUAN DAVID VALLEJO RESTREPO, carrera 81 nro. 32 - 69 of 301, MEDELLIN, ANTIOQUIA, CO</t>
  </si>
  <si>
    <t>3, 4, 5, 30, 35, 41, 44</t>
  </si>
  <si>
    <t>3. Detergentes jabonosos para uso doméstico; esponjas impregnadas con jabones; esponjas impregnadas con jabones para uso doméstico; jabones antitranspirantes; jabones corporales no medicados; jabones cosméticos; jabones de baño; jabones de baño en forma líquida, sólida o de gel; jabones de ducha; jabones de lufa; jabones de papel para uso personal; jabones de tocador; jabones de tocador no medicinales; jabones de tocador perfumados; jabones detergentes; jabones en crema para el cuerpo; jabones en forma líquida; jabones en polvo no medicinales; jabones faciales; jabones líquidos; jabones líquidos no medicinales; jabones líquidos para baños de pies; jabones líquidos para el baño; jabones líquidos para las manos y el rostro; jabones líquidos para las manos, el rostro y el cuerpo; jabones no medicados para el cuerpo; jabones no medicados para las manos; jabones no medicinales; jabones para alfombras; jabones para el cuerpo; jabones para la ducha; jabones para la piel; jabones para las manos; jabones para lavar la ropa; jabones para uso doméstico; jabones para uso personal; jabones perfumados; jabones vegetales; jabones y detergentes; jabones*; champúes para el cabello; champúes para el cabello a base de cáñamo; champús 3 en 1; champús acondicionadores; champús anticaspa; champús capilares; champús corporales; champús de ph neutro; champús en barritas sólidas; champús en seco*; champús equilibrados de ph; champús no medicinales; champús no medicinales contra la caspa; champús para bebés; champús para el cabello; champús para el cabello humano; champús para el cabello y el cuerpo; champús para el cuerpo; champús y acondicionadores; champús y acondicionadores para el cabello; champús*; productos de enjuague para el cabello [champús acondicionadores]; bases de maquillaje en crema; crema corporal; crema corporal para uso cosmético; crema en gel para matificar la piel; crema lavamanos; crema limpiadora; crema no medicinal contra la dermatitis del pañal; crema para aclarar la piel; crema para las manos; crema para lavarse las manos; crema para peinar el cabello; cremas acondicionadoras; cremas acondicionadoras para la piel, de uso cosmético; cremas antiarrugas para uso cosmético; cremas capilares; cremas con vitamina a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de baño; cremas de belleza; cremas de belleza para el cuerpo; cremas de belleza para el rostro y el cuerpo;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que no sean para uso médico; cremas de noche; cremas de protección capilar, no medicinales; cremas de protección para el cabello; cremas de protección para el cabello, no medicinales; cremas exfoliantes; cremas exfoliantes para uso cosmético; cremas faciales; cremas hidratantes; cremas para el cabello; cremas para el cabello de uso cosmético; cremas para el cabello para uso cosmético; cremas para el cuerpo [cosméticos]; cremas para el cuerpo cosméticas; cremas para las manos; cremas para las manos de uso cosmético; cremas perfumadas; cremas perfumadas para el cuerpo; cremas perfumadas para uso cosmético; cremas, lociones y geles hidratantes; gel crema matificante; geles, cremas y aceites de ducha; agentes de enjuague para lavar la ropa; jabón líquido para lavar la ropa; productos blanqueadores para lavar la ropa; velas de masaje para uso cosmético; aceite de almendras; aceite de lavanda; aceite de masaje, no medicinal; aceite de menta; aceite de rosas; aceites aromáticos; aceites aromáticos para el baño; aceites cosméticos; aceites cosméticos para la piel; aceites de aromaterapia; aceites de baño; productos de perfumería, aceites esenciales; productos de perfumería, aceites esenciales, cosméticos no medicinales, lociones capilares no medicinales; maquillajes faciales; mascarillas faciales; mascarillas faciales [productos cosméticos]; mascarillas faciales cosméticas; mascarillas faciales de belleza; mascarillas faciales limpiadoras; mascarillas faciales para tonificar la piel; mascarillas faciales para uso cosmético; acondicionadores labiales; bálsamos labiales; bálsamos labiales no medicinales; colorantes labiales [cosméticos]; colorantes labiales [productos cosméticos]; lápices labiales; lápices labiales hidratantes; paletas de brillos labiales; pomadas labiales; protectores labiales no medicinales; tintes labiales; tintes labiales [cosméticos]; tintes labiales [productos cosméticos]; tintes labiales para uso cosmético; serum calmante para la piel; serum de corrección para el contorno de los ojos; serum para calmar la piel [cosmético]; serum para el contorno de ojos.
4. Cera de abeja utilizada en la fabricación de velas; cera para fabricar velas; cera para hacer velas; lamparillas [velas]; mechas para velas; mechas para velas de alumbrado; velas [iluminación]; velas aromáticas; velas calientaplatos; velas con repelente de insectos; velas de cera; velas de fragancia para aromaterapia; velas de iluminación; velas de sebo; velas para absorber el humo; velas perfumadas; velas perfumadas de aromaterapia.
5. Preparaciones sanitarias de higiene personal que no sean productos de tocador; lociones faciales medicinales; champús en seco medicinales; champús medicinales; champús medicinales anticaspa; jabones antibacterianos; jabones antibacterianos para la piel; jabones carbólicos; jabones desinfectantes; jabones desinfectantes perfumados; jabones medicinales; jabones y detergentes medicinales y desinfectantes; lavados desinfectantes que no sean jabones; lociones antibacterianas para las manos; lociones capilares medicinales; lociones dermatológicas; lociones farmacéuticas para la piel; lociones medicinales; lociones medicinales para el cuerpo; lociones medicinales para tratar afecciones dermatológicas; lociones y cremas medicamentosas para el cuerpo, piel, cara y manos; lociones y cremas medicamentosas para el cuerpo, piel, rostro y manos; toallitas impregnadas de lociones farmacéuticas; toallitas y pañitos impregnados de lociones y cremas farmacéuticas; infusiones de hierbas medicinales; infusiones medicinales; serum calmante para la piel [medicinales]; serum calmante para la piel, medicinales; serum de alivio para la piel [medicinales]; serum de alivio para la piel, medicinales.
30. Infusiones de escaramujo; infusiones de hierbas; infusiones de hierbas que no sean para uso médico; infusiones de manzanilla; infusiones de salvia; infusiones de tila; infusiones de tilo; infusiones que no sean para uso médico; preparaciones aromáticas para infusiones no medicinales; té para infusiones; bebidas a base de té; bebidas a base de té con sabor a frutas; bebidas heladas a base de té; bolsas de filtro para té, llenas; bolsas de papel biodegradables de filtro para té, llenas; bolsitas de papel biodegradables de filtro para té, llenas; extractos de té para uso culinario; hojas de té procesadas; mezclas para la confección de té; mezclas para la elaboración de té; mezclas para preparar té; té*; tés de frutas; tés de hierbas que no sean para uso médico; tés helados.
35. Administración de empresas; explotación o dirección de una empresa comercial; dirección de negocios; dirección de negocios comerciales.
41. Clases personalizadas [educación y formación]; educación; educación en salud física; educación relacionada con la salud; educación y enseñanza; educación, enseñanza y formación; capacitación en el campo de la meditación; clases de meditación; cursos de meditación; enseñanza a la meditación; enseñanza de las prácticas a la meditación; formación a la meditación; formación de las prácticas a la meditación; formación en el campo de la meditación; instrucción a la meditación; instrucción de las prácticas a la meditación; provisión de talleres en línea en el campo del bienestar; servicios de bienestar en cuanto formación en salud y fitness; suministro de manuales y materiales didácticos en el campo del bienestar; suministro de materiales educativos en línea en el campo del bienestar; capacitacción de yoga; clases de yoga; cursos de yoga; enseñanza de yoga; facilitación de videos en línea no descargables para la enseñanza del yoga; formación de yoga; suministro de servicios de entrenamiento físico en el ámbito del yoga; suminsitro de videos en línea no descargables para la enseñanza del yoga.
44. Servicios de meditación con fines de atención psicológica; servicios de meditación para el tratamiento de atención psicológica; servicios de terapia por meditación; servicios de terapia por meditación [servicios de psicoterapia]; servicios de terapia por meditación en cuanto servicios de psicoterapia; consultoría sobre salud mental y bienestar; servicios de balneoterapia para mejorar la salud y el bienestar físico y mental; servicios de balneoterapia prestados en balnearios para mejorar la salud y el bienestar físico y espiritual; servicios prestados por balnearios para mejorar la salud y el bienestar físico y mental, incluidos masajes, tratamientos faciales y corporales, así como cuidados cosméticos para el cuerpo; suministro de información sobre salud mental y bienestar; suministro de información sobre salud y bienestar.</t>
  </si>
  <si>
    <t>PLEXAR</t>
  </si>
  <si>
    <t>L'MENTO</t>
  </si>
  <si>
    <t>DANIELA DURANGO LOPEZ, cr 39 no 13 sur 28, MEDELLIN, ANTIOQUIA, CO</t>
  </si>
  <si>
    <t>5. Complementos homeopáticos; medicamentos homeopáticos; medicinas homeopáticas; productos farmacéuticos homeopáticos.</t>
  </si>
  <si>
    <t>Küna Ancient Care</t>
  </si>
  <si>
    <t>Maria Juliana Serrano Vera, KR 24 80 52 CONJ VILLA NUEVA DEL CAMPO T C APT 203, BUCARAMANGA, SANTANDER 680004, CO</t>
  </si>
  <si>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jabones; mascarillas de belleza; productos de maquillaje; agua de Colonia; cosméticos desmaquilladores; aguas perfumadas; aguas de tocador; aceites esenciales / aceites etéreos; maquillaje; productos de limpieza; aceites para uso cosmético; aceites de perfumería / aceites para perfumes y fragancias; lociones para uso cosmético; leches limpiadoras de tocador; preparaciones de lavandería; preparaciones de tocador; champús; perfumes; productos cosméticos para el cuidado de la piel; jabones desodorantes; sales de baño que no sean para uso médico; toallitas impregnadas de lociones cosméticas; preparaciones de aloe vera para uso cosmético; geles de masaje que no sean para uso médico; preparaciones para el baño que no sean para uso médico; toallitas impregnadas de preparaciones desmaquillantes; preparaciones fito-cosméticas; productos cosméticos para niños; toallitas para bebés impregnadas de preparaciones de limpieza; pastas de dientes; cremas a base de aceites esenciales para aromaterapia; cremas no medicinales contra la dermatitis del pañal para niños; cremas cosméticas no medicinales; cremas de protección solar para niños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productos higiénicos y sanitarios para uso médico; alimentos y sustancias para uso médico; alimentos para bebes; complementos alimenticios para bebes; algodón antiséptico; algodón para uso médico; almohadillas de lactancia; calmantes; champús medicinales; complementos nutricionales; esparadrapos; gasa para apósitos; gelatina para uso médico; hisopos para uso médico; jabones antibacterianos; jabones desinfectantes; jabones medicinales; jalea real para uso farmacéutico; jarabes para uso farmacéutico; leche de almendras para uso farmacéutico; leche en polvo para bebes; leche en polvo para uso médico; lociones para uso farmacéutico; pañales para bebes; pañales -; braga para bebes; pañales - calzón para bebes; preparaciones alimenticias para bebes; preparaciones de aloe vera para uso farmacéutico; preparaciones de baño para uso médico; preparaciones de fitoterapia para uso médico; preparaciones de oligoelementos para el consumo humano; preparaciones de tocador medicinales; preparaciones de vitaminas; preparaciones farmacéuticas; preparaciones farmacéuticas para cuidar la piel; preparaciones nutraceúticas de uso terapéutico o medico; preparaciones terapéuticas para el baño; productos para las quemaduras; remedios de uso médico; suplementos alimenticios para bebes; suplementos nutricionales; toallitas impregnadas de lociones farmacéuticas; ungüentos para uso farmacéutico.</t>
  </si>
  <si>
    <t>REMIBITES</t>
  </si>
  <si>
    <t>MARIA ALEJANDRA  BOTERO CARDENAS, Carrera 47 No. 102- 58, BARRANQUILLA, ATLÁNTICO, CO</t>
  </si>
  <si>
    <t>CONTERRA</t>
  </si>
  <si>
    <t>JUAN FELIPE CASTRO, Calle 71 11 10, BOGOTÁ, D.C., CO</t>
  </si>
  <si>
    <t>DIEGO FELIPE MORENO CAMARGO, calle 22a No. 50-49, BOGOTÁ, D.C., CO</t>
  </si>
  <si>
    <t>DR CHANG</t>
  </si>
  <si>
    <t>5. Suplementos vitamínicos.</t>
  </si>
  <si>
    <t>VALÚ PRODUCTOS NATURALES</t>
  </si>
  <si>
    <t>JULIANA VALENTINA RODRIGUEZ GOMEZ, CARRERA15 # 13  - 56, ARMENIA, QUINDIO, CO</t>
  </si>
  <si>
    <t>BRIOECOLINE</t>
  </si>
  <si>
    <t>REGISTRO BRIOECOLINE</t>
  </si>
  <si>
    <t>DIANA VALENTINA DELGADO TERAN, CLL 65 # 18 - 104 Casa 255, PALMIRA, VALLE DEL CAUCA, CO</t>
  </si>
  <si>
    <t>1. Fertilizantes.
5. Herbicidas.</t>
  </si>
  <si>
    <t>MARIA VICTORIA HENAO HERNANDEZ, CALLE 23 NORTE No. 3-33 OFC 602 EDIFICIO PEÑAS BLANCAS, CALI, VALLE DEL CAUCA, CO</t>
  </si>
  <si>
    <t>AFTER WE ARE THE PARTY PEOPLE</t>
  </si>
  <si>
    <t>M00110</t>
  </si>
  <si>
    <t>Andrés David  Rojas Vera, Carrera 59 #45a-06, Apto 101, BOGOTA, CUNDINAMARCA, CO</t>
  </si>
  <si>
    <t>5, 35, 41</t>
  </si>
  <si>
    <t>5. Suplementos alimenticios; suplementos dietéticos; suplementos nutricionales; suplementos probióticos; antioxidantes [suplementos dietéticos]; preparaciones y suplementos para la salud.
35. Publicidad; gestión de negocios comerciales; servicios de tiendas mayoristas de suplementos dietéticos; servicios de tiendas minoristas de suplementos dietéticos; servicios de venta mayorista de suplementos dietéticos; servicios de venta minorista de suplementos dietéticos.
41. Educación; formación; servicios de entretenimiento; servicios de gestión de eventos en cuanto organización de eventos culturales; servicios de; gestión de eventos en cuanto organización de eventos de entretenimiento; celebración de eventos en vivo; celebración de eventos recreativos; conducción de eventos culturales; dirección de eventos culturales; organización de eventos con fines culturales; organización de eventos con fines de entretenimiento; organización de eventos con fines de esparcimiento.</t>
  </si>
  <si>
    <t>MARIA CAMILA CORREA MARQUEZ , Alto de las Palmas Km. 17 Mall Indina Oficina 272 , ENVIGADO, ANTIOQUIA, CO</t>
  </si>
  <si>
    <t>CLIMATERIX</t>
  </si>
  <si>
    <t>NERVISAN</t>
  </si>
  <si>
    <t>SOSEGON</t>
  </si>
  <si>
    <t>DIB TZAN</t>
  </si>
  <si>
    <t>MARIA VALENTINA CASTIBLANCO VASQUEZ, CALLE 138 # 56-60, BOGOTÁ, D.C., CO</t>
  </si>
  <si>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 alimentos para diabéticos; preparados farmacéuticos para la prevención y tratamiento de la diabetes.</t>
  </si>
  <si>
    <t>Muutos realza tu belleza natural</t>
  </si>
  <si>
    <t>ESTEFANIA  MARTINEZ CORREA, Carrera 76 a # 53 35, MEDELLIN, ANTIOQUIA 050034, CO</t>
  </si>
  <si>
    <t>3. Aclaradores de uñas; adhesivos para fijar uñas postizas; adhesivos para fijar uñas y pestañas postizas; adhesivos para pegar las uñas postizas; adhesivos para pestañas, cabello y uñas postizos; adhesivos para uñas postizas; bases para esmaltes de uñas; blanqueadores para las uñas; brillantina para las uñas; brillos de uñas para aplicar sobre el esmalte; calcomanías decorativas para uñas; calcomanías para las uñas; cremas para las uñas; cremas para las uñas de uso cosmético; endurecedores de uñas; endurecedores de uñas [cosméticos]; escarcha para las uñas; esmaltes de base para las uñas [productos cosméticos]; esmaltes de uñas; esmaltes de uñas en gel; esmaltes de uñas para uso cosmético; esmaltes de uñas y quitaesmaltes; fortalecedores de uñas; kits para el cuidado de las uñas que comprenden esmaltes de uñas y quitaesmaltes; kits para el cuidado de las uñas que comprenden esmaltes de uñas, quitaesmaltes y uñas postizas; kits para el cuidado de las uñas que comprenden lacas de uñas y quitaesmaltes; kits para el cuidado de las uñas que comprenden lacas de uñas, quitaesmaltes y uñas postizas; kits para el cuidado de las uñas que comprenden principalmente esmaltes de uñas y quitaesmaltes; kits para el cuidado de las uñas que comprenden principalmente esmaltes de uñas, quitaesmaltes y uñas postizas; kits para el cuidado de las uñas que comprenden principalmente lacas de uñas y quitaesmaltes; kits para el cuidado de las uñas que comprenden principalmente lacas de uñas, quitaesmaltes y uñas postizas; lacas de uñas; lacas para las uñas; lociones para fortalecer las uñas; lociones, cremas y preparaciones para el cuidado de la cara, cuerpo, cuero cabelludo, uñas y cabello; lociones, cremas y preparaciones para el cuidado del rostro, cuerpo, cuero cabelludo, uñas y cabello; lápices para aplicar el esmalte de uñas; lápices quitaesmaltes de uñas; pegatinas decorativas para uñas; plumas de esmalte de uñas; preparaciones cosméticas para el cuidado de las uñas; preparaciones cosméticas para las uñas; preparaciones cosméticas para secar esmaltes de uñas; preparaciones para el cuidado de las uñas; preparaciones para pulir las uñas; preparaciones para retirar uñas de gel; preparaciones y productos para el cuidado de las uñas; productos de revestimiento para esculpir uñas; productos de revestimiento para esculpir uñas [productos cosméticos]; productos para ablandar las uñas; productos para el cuidado de las uñas; puntas de uñas; purpurina para las uñas; quitaesmalte para uñas [cosméticos]; quitaesmaltes de uñas [cosméticos]; reparadores de uñas; uñas postizas; uñas postizas de metales preciosos; uñas postizas para los dedos de los pies; aceite de amla para uso cosmético; aceite de coco para uso cosmético; aceite de lavanda para uso cosmético; aceite de neem para uso cosmético; aceite de ricino para uso cosmético; aceite de rosas para uso cosmético; aceite de veppennai para uso cosmético; aceites bronceadores [cosméticos]; aceites bronceadores de uso cosmético; aceites cosméticos; aceites cosméticos para la piel; aceites de baño para uso cosmético; aceites de cáñamo a base de cbd para uso cosmético; aceites de protección solar [cosméticos]; aceites esenciales para uso cosmético; aceites minerales [cosméticos]; aceites para bronceado [cosméticos]; aceites para después del sol [productos cosméticos]; aceites para después del sol de uso cosmético; aceites para el cuerpo de uso cosmético; aceites para uso cosmético; aceites perfumados para fabricar preparaciones cosméticas; aceites perfumados para la fabricación de preparaciones cosméticas; aceites perfumados para la fabricación de preparados cosméticos; aceites perfumados para la fabricación de productos cosméticos; aceites puros para uso cosmético; aceites solares de uso cosmético; adhesivos [pegamentos] para uso cosmético; aerosoles cosméticos de uso tópico para la piel; agua de azahar para uso cosmético; agua mineral para uso cosmético en forma de pulverizadores de niebla; algodón e hisopos de algodón para uso cosmético; algodón para uso cosmético; algodón y bastoncillos de algodón para uso cosmético; alheña [tinte cosmético]; alheña para uso cosmético; alheña para uso cosmético [henna]; almohadillas de algodón para uso cosmético; almohadillas de limpieza impregnadas con cosméticos; almohadillas de limpieza impregnadas con productos cosméticos; almohadillas de limpieza impregnadas de cosméticos; almohadillas limpiadoras impregnadas de productos cosméticos; almohadillas para uso cosmético; apitoxina [veneno de abeja melífera] con fines cosméticos; astringentes para uso cosmético; autobronceadores [cosméticos]; barras de labios con protección solar [cosméticos]; barras de labios en stick con protección solar [cosméticos]; barros corporales para uso cosmético; basma [tinte para uso cosmético]; basma en cuanto tinte para uso cosmético; basma para uso cosmético; bastoncillos de algodón para uso cosmético; baños de aceite para el cuidado del cabello de uso cosmético; bloqueador solar [cosméticos]; bolas de algodón para uso cosmético; brillos para uso cosmético; calcetines impregnados con crema hidratante cosmética; calcetines pre-humedecidos con preparaciones cosméticas para uso cosmético; calcomanías decorativas para uso cosmético; cintas de estiramiento facial para uso cosmético; cintas de lifting facial para uso cosmético; cola de maquillaje para uso cosmético; cold creams para uso cosmético; colonias, perfumes y productos cosméticos; colorantes de labios [cosméticos]; colorantes labiales [cosméticos]; colorantes labiales [productos cosméticos]; colorantes para los labios [productos cosméticos]; composiciones para aclarar la piel [cosméticos]; compresas oculares para uso cosmético;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para uso cosmético; cremas acondicionadoras para la piel, de uso cosmético; cremas antiarrugas para uso cosmético; cremas antienvejecimiento para uso cosmético; cremas con filtro solar para uso cosmético; cremas con retinol para uso cosmético; cremas con vitamina a para uso cosmético; cremas contra las pecas [para uso cosmético];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limpieza [cosméticos]; cremas de limpieza [para uso cosmético]; cremas de limpieza [productos cosméticos]; cremas de limpieza para uso cosmético; cremas de masaje cosméticas; cremas de protección solar para uso cosmético; cremas exfoliantes para uso cosmético; cremas faciales para uso cosmético; cremas hidratantes para la piel [cosméticos]; cremas limpiadoras [cosméticos]; cremas limpiadoras [productos cosméticos]; cremas limpiadoras para uso cosmético; cremas para atenuar las manchas de la vejez de uso cosmético; cremas para después del sol de uso cosmético; cremas para el cabello de uso cosmético; cremas para el cabello para uso cosmético; cremas para el cuerpo [cosméticos]; cremas para el cuerpo cosméticas; cremas para el rostro de uso cosmético; cremas para el rostro y el cuerpo de uso cosmético; cremas para la cara [cosméticos]; cremas para la piel de uso cosmético; cremas para las manos de uso cosmético; cremas para los labios de uso cosmético; cremas para los ojos de uso cosmético; cremas para reducir la celulitis de uso cosmético; cremas para tez clara de uso cosmético; cremas perfumadas para uso cosmético; cremas reparadoras para la piel [cosméticos]; cremas reparadoras para la piel de uso cosmético; cremas tonificantes [cosméticos]; cremas y geles cosméticos para cara, manos y cuerpo; cremas y geles cosméticos para rostro, manos y cuerpo; cremas y lociones cosméticas; cremas y lociones cosméticas para el cuidado de la cara y el cuerpo; cremas y lociones cosméticas para el cuidado del rostro y el cuerpo; cremas, aceites, lociones, aerosoles, lápices y bálsamos para uso cosmético; cremas, leches, lociones, geles y polvos cosméticos para la cara, el cuerpo y las manos; cremas, lociones y otras preparaciones cosméticas bronceadoras; cristales de baño para uso cosmético; decolorantes para uso cosmético; discos de algodón para uso cosmético; emolientes para la piel de uso cosmético; emulsiones faciales para uso cosmético; emulsiones para el cuerpo de uso cosmético; emulsiones térmicas para uso cosmético; enjuagues para el cabello de uso cosmético; espumas [cosméticas]; espumas cosméticas con filtro solar; exfoliantes [preparaciones cosméticas]; exfoliantes corporales cosméticos; exfoliantes corporales para uso cosmético; exfoliantes para el cuerpo de uso cosmético; exfoliantes para uso cosmético; extractos de plantas para uso cosmético; fangos corporales para uso cosmético; filtro solar [cosméticos]; geles antienvejecimiento para uso cosmético; geles bronceadores [cosméticos]; geles corporales y faciales [cosméticos]; geles cosméticos; geles de aloe vera para uso cosmético; geles de lavanda para uso cosmético; geles hidratantes [cosméticos]; geles para después del sol [productos cosméticos]; geles para después del sol de uso cosmético; geles para el cuerpo [cosméticos]; geles para el cuerpo y la cara [cosméticos]; geles para la cara [cosméticos]; geles para los ojos de uso cosmético; geles para uso cosmético; grasas para uso cosmético; guantes pre-humedecidos con preparaciones cosméticas para uso cosmético; guata para uso cosmético; guata y bastoncillos de algodón para uso cosmético; henna [tinte cosmético]; henna para uso cosmético; henna para uso cosmético [alheña]; hidratantes [cosméticos]; hidratantes cosméticas para el rostro; hidratantes cosméticas para la cara; hidratantes faciales [cosméticos]; hidratantes faciales de uso cosmético; hidratantes para la piel utilizados como cosméticos; hilas para uso cosmético; hisopos de algodón para uso cosmético; hisopos para uso cosmético; jabones cosméticos; jalea de petróleo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 de almendras para uso cosmético; leches bronceadoras [cosméticos]; leches para después de tomar el sol para uso cosmético; leches para después del sol [productos cosméticos]; leches para después del sol de uso cosmético; leches para el cuerpo de uso cosmético; leches para el rostro y el cuerpo de uso cosmético; leches y lociones para el rostro de uso cosmético; leches, geles y aceites bronceadores y para después del sol, de uso cosmético; limpiador cutáneo con propiedades suavizantes [cosmético];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antienvejecimiento para uso cosmético; lociones autobronceadoras [cosméticos]; lociones capilares cosméticas; lociones con filtro solar para uso cosmético; lociones con pantalla solar para uso cosmético; lociones cosméticas para el bronceado de la piel; lociones cosméticas para el cuidado de la piel; lociones cosméticas para el rostro; lociones cosméticas para la cara; lociones cosméticas para la piel; lociones cosméticas para reducir la aparición de manchas de envejecimiento y pecas; lociones de baño para uso cosmético; lociones de protección solar para uso cosmético; lociones faciales [cosméticos]; lociones hidratantes [cosméticos]; lociones hidratantes para el cuerpo [cosméticos]; lociones hidratantes para la piel [cosméticos]; lociones no medicinales para el cuidado de la piel [cosméticos]; lociones para después del sol de uso cosmético; lociones para el cabello de uso cosmético; lociones para el cuerpo de uso cosmético; lociones para el cuidado de la piel [cosméticos]; lociones para el cuidado del rostro y del cuerpo de uso cosmético; lociones para el rostro y el cuerpo de uso cosmético; lociones para la piel [productos cosméticos]; lociones para las manos de uso cosmético; lociones para los ojos de uso cosmético; lociones para reducir la celulitis de uso cosmético; lociones para uso cosmético; lociones tónicas para el rostro, el cuerpo y las manos de uso cosmético; lociones, cremas y aceites de aplicación tópica para la piel y el cuerpo, de uso cosmético; loción de malagueta para uso cosmético; lodos corporales para uso cosmético; lápices de ojos para uso cosmético; lápices para uso cosmético; manteca a base de vegetales para uso cosmético; manteca corporal para uso cosmético; manteca de almendra para uso cosmético; manteca de aloe vera para uso cosmético; manteca de argán para uso cosmético; manteca de cacao para uso cosmético; manteca de coco para uso cosmético; manteca de karité para uso cosmético; maquillaje [cosméticos]; mascarillas corporales en forma de cremas para uso cosmético; mascarillas corporales en forma de lociones para uso cosmético; mascarillas corporales en polvo para uso cosmético; mascarillas corporales para uso cosmético; mascarillas cosméticas; mascarillas cosméticas para el cutis; mascarillas envasadas para uso cosmético; mascarillas faciales [productos cosméticos]; mascarillas faciales cosméticas; mascarillas faciales para uso cosmético; mascarillas oculares para uso cosmético; mascarillas para el cutis [cosméticos]; mascarillas para la piel [cosméticos]; mascarillas para la piel de uso cosmético; motivos decorativos para uso cosmético; máscaras cosméticas de barro; neceseres de cosmética;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papel secante anti-brillo [cosméticos]; papel secante anti-brillo para uso cosmético; papel secante facial [cosméticos]; papel secante facial para uso cosmético; papel secante para uso cosmético; parches cosméticos con filtro y pantalla solar para aplicar sobre la piel; parches de estiramiento facial para uso cosmético; parches de gel para los ojos con fines cosméticos; parches de gel para los ojos de uso cosmético; parches de lifting facial para uso cosmético; parches desechables calentados al vapor para uso cosmético; pastas cosméticas matificantes para la cara; pastas perfumadas para uso cosmético; pañitos cosméticos prehumedecidos; pañitos para bebés para uso cosmético; paños húmedos para bebés de uso cosmético; paños impregnados con sustancias cosméticas; perfumería para cosméticos; perlas de baño para uso cosmético; perlitas de baño para uso cosmético; peróxido de hidrógeno para uso cosmético; piedras astringentes para después del afeitado para uso cosmético; piedras para el afeitado en cuanto astringentes para uso cosmético; pintura corporal de látex líquido para uso cosmético; pintura corporal para uso cosmético; polvos compactos para polveras [cosméticos]; polvos compactos para polveras cosméticas; polvos cosméticos; polvos de baño para uso cosmético; polvos de brillo para uso cosmético; polvos dentales para uso cosmético; polvos faciales [cosméticos]; polvos faciales blancos para uso cosmético; polvos faciales cosméticos; polvos faciales cosméticos de color blanco; polvos faciales para uso cosmético; polvos para el cuerpo de uso cosmético; polvos perfumados para uso cosmético; pomadas en barra para uso cosmético; pomadas para el cabello de uso cosmético; pomadas para uso cosmético; preparaciones autobronceadoras [cosméticos]; preparaciones blanqueadoras para la piel [productos cosméticos]; preparaciones colorantes de uso cosmético; preparaciones cosméticas; preparaciones cosméticas adelgazantes; preparaciones cosméticas antienvejecimiento; preparaciones cosméticas colorantes; preparaciones cosméticas contra la sequedad de la piel durante el embarazo; preparaciones cosméticas contra las quemaduras solares; preparaciones cosméticas de cuidado facial; preparaciones cosméticas de peluquería; preparaciones cosméticas de protección solar; preparaciones cosméticas de uso tópico para atenuar las arrugas faciales; preparaciones cosméticas no espumantes; preparaciones cosméticas no medicadas; preparaciones cosméticas no medicamentosas para tratamientos capilares; preparaciones cosméticas no medicinales para tratamientos capilares; preparaciones cosméticas para el baño; preparaciones cosméticas para el baño y la ducha; preparaciones cosméticas para el bronceado de la piel; preparaciones cosméticas para el cabello y el cuero cabelludo; preparaciones cosméticas para el cuidado bucal; preparaciones cosméticas para el cuidado de la piel; preparaciones cosméticas para el cuidado de la piel en forma de geles; preparaciones cosméticas para el cuidado del cabello; preparaciones cosméticas para el cuidado del cuerpo; preparaciones cosméticas para el cuidado y el tratamiento de la piel; preparaciones cosméticas para el rostro; preparaciones cosméticas para el rostro y el cuerpo; preparaciones cosméticas para el tratamiento de la piel; preparaciones cosméticas para impedir el crecimiento del cabello; preparaciones cosméticas para la cara; preparaciones cosméticas para la ducha; preparaciones cosméticas para la regeneración de la piel; preparaciones cosméticas para pestañas; preparaciones cosméticas para proteger la piel de los rayos del sol; preparaciones cosméticas para reafirmar el busto; preparaciones cosméticas que contienen colágeno; preparaciones cosméticas termoactivas para el cuidado de la piel; preparaciones de aloe vera para uso cosmético; preparaciones de bloqueadores solares para uso cosmético; preparaciones de colágeno para uso cosmético; preparaciones de cuidado corporal y de belleza para uso cosmético; preparaciones de cuidado facial [cosméticos]; preparaciones de protección solar [productos cosméticos]; preparaciones de protección solar para uso cosmético; preparaciones exfoliantes faciales para uso cosmético; preparaciones faciales [cosméticos]; preparaciones fito-cosméticas; preparaciones hidratantes [cosméticos]; preparaciones para aclarar la piel [cosméticos]; preparaciones para baños de espuma para uso cosmético; preparaciones para blanquear la piel [cosméticos]; preparaciones para el cuidado de la piel [productos cosméticos]; preparaciones para quitar las cutículas de uso cosmético; preparados cosméticos para el cuidado del cuerpo; preparados cosméticos para el tratamiento de la piel; productos con filtro solar para uso cosmético;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productos y preparaciones cosméticos para el cuidado de la piel; protectores solares para los labios [productos cosméticos]; reafirmantes en gel para el cuerpo para uso cosmético; revitalizantes cutáneos para uso cosmético; revitalizantes para el cabello de uso cosmético; sales de baño cosméticas; sales de baño para uso cosmético; serum para calmar la piel [cosmético]; sprays de agua mineral para uso cosmético; sprays para el cuerpo de uso cosmético; suavizantes para el cabello de uso cosmético; sueros faciales para uso cosmético; sueros para uso cosmético; talco para uso cosmético; talco perfumado para uso cosmético; tatuajes temporales con fines cosméticos; tatuajes temporales para uso cosmético; tintas para uso cosmético; tintes cosméticos; tintes de labios [cosméticos]; tintes de labios para uso cosmético; tintes labiales [cosméticos]; tintes labiales [productos cosméticos]; tintes labiales para uso cosmético; tintes para los labios [productos cosméticos]; tiras blanqueadoras de dientes impregnadas con preparaciones blanqueadoras [cosméticos]; tiza para uso cosmético; toallas de papel para las manos impregnadas de cosméticos; toallas de papel para las manos impregnadas de productos cosméticos; toallitas cosméticas impregnadas; toallitas cosméticas prehumedecidas; toallitas desechables impregnadas con preparados cosméticos para bebés; toallitas húmedas para uso higiénico y cosmético; toallitas impregnadas con preparados cosméticos; toallitas impregnadas con sustancias cosméticas; toallitas impregnadas de aceites esenciales, para uso cosmético; toallitas impregnadas de lociones cosméticas; toallitas impregnadas de productos cosméticos; tonificantes para el cabello para uso cosmético; tónicos cosméticos; tónicos cosméticos para el rostro; tónicos cosméticos para la cara; tónicos faciales [cosméticos]; tónicos para la piel para uso cosmético; tónicos para uso cosmético; velas de masaje para uso cosmético; veneno de abeja con fines cosméticos; brillantina corporal; brillos corporales; brillos faciales y corporales; champús corporales; crema corporal; cremas corporales; cremas reafirmantes corporales; desodorantes corporales; desodorantes corporales [perfumería]; desodorantes corporales [productos de perfumería]; desodorantes corporales en comprimidos; escarcha corporal; espráis utilizados como desodorantes y perfumes corporales; exfoliante corporal; exfoliantes corporales; exfoliantes faciales y corporales no medicamentosos; exfoliantes faciales y corporales no medicinales; fragancias corporales; hidratantes corporales a base de cáñamo; jabones corporales no medicados; leches corporales para bebés; leches hidratantes corporales; lociones corporales; lociones y cremas corporales perfumadas; manteca corporal; mascarillas corporales; mascarillas corporales en forma de cremas; mascarillas corporales en forma de lociones; mascarillas corporales en polvo; mascarillas limpiadoras para corporales; niebla corporal; niebla corporal en espray; niebla corporal pefumado a rosa en espray; pegatinas de arte corporal; piedras pómez para uso corporal; pintura corporal; pintura corporal de látex líquido; preparaciones de cuidado corporal no medicamentosas; preparaciones de cuidado corporal no medicinales; preparaciones para cuidados corporales y de belleza; purpurina corporal; souflés corporal [preparaciones perfumadas para el cuidado del cuerpo]; souflés corporal en cuanto preparaciones perfumadas para el cuidado del cuerpo; aceites faciales; brillos faciales; corrector facial; correctores de líneas y arrugas faciales; cremas faciales; cremas no medicadas para exfoliantes faciales; cremas orgánicas de estiramiento facial; emulsiones faciales; emulsiones faciales de vitalidad; exfoliantes faciales; granulados de limpieza facial; hidratantes faciales; jabones faciales; leches de limpieza facial; limpiadores faciales; lociones faciales; lociones faciales no medicadas; maquillajes faciales; mascarillas faciales;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limpiadoras para faciales; paños desechables impregnados de compuestos limpiadores para uso facial; pintura facial; polvos faciales; polvos faciales compactos; polvos faciales en crema; polvos faciales en papel; polvos faciales sueltos; polvos faciales, a saber, papel revestido con polvo facial; preparaciones de cuidado facial; preparaciones faciales; sueros faciales; sueros para el lifting facial; tónicos clarificadores faciales; tónicos faciales; tónicos faciales clarificantes; tónicos faciales revitalizantes; tónicos revitalizantes faciales; champúes para el cabello; champúes para el cabello a base de cáñamo; champús 3 en 1; champús acondicionadores; champús anticaspa; champús capilares; champús de ph neutro; champús en barritas sólidas; champús en seco*; champús equilibrados de ph; champús no medicinales; champús no medicinales contra la caspa;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para bebés; champús para el cabello; champús para el cabello humano; champús para el cabello y el cuerpo; champús para el cuerpo; champús y acondicionadores; champús y acondicionadores para animales de compañía [preparaciones de peluquería no medicinales ni veterinarias]; champús y acondicionadores para el cabello; champús*; productos de enjuague para el cabello [champús acondicionadores]; productos para lavar perros [champús]; aceites y lociones bronceadoras; aceites y lociones con filtro solar; aceites y lociones de masaje; aceites y lociones de protección solar; cremas y lociones bronceadoras; cremas, aceites, lociones y preparaciones limpiadoras e hidratantes; cremas, lociones y geles hidratantes; emulsiones, geles y lociones para el cuidado de la piel; leches y lociones para el rostro; leches, geles, lociones y cremas desmaquillantes; lociones antienvejecimiento; lociones brillantes para el cuerpo; lociones bronceadoras; lociones capilares no medicinales; lociones capilares reparadoras no medicamentosas; lociones capilares reparadoras no medicinales; lociones capilares*; lociones colorantes para el cabello; lociones con filtro solar; lociones con pantalla solar; lociones de aromaterapia; lociones de baño; lociones de belleza; lociones de protección para el cabello; lociones de protección solar; lociones depilatorias; lociones desmaquillantes; lociones estimulantes no medicinales para la piel; lociones fijadoras para ondular el cabello; lociones hidratantes; lociones hidratantes para el cuerpo; lociones hidratantes para la piel; lociones lechosas; lociones lechosas para el cuidado de la piel; lociones limpiadoras no medicadas; lociones limpiadoras para la piel; lociones lácteas; lociones lácteas para el cuidado de la piel; lociones no medicadas para el rostro; lociones no medicinales para aclarar la piel; lociones no medicinales para la piel; lociones no medicinales para los pies; lociones para bebés; lociones para bebés [productos de tocador]; lociones para después de afeitar; lociones para después del afeitado; lociones para después del sol; lociones para el afeitado; lociones para el bronceado de la piel; lociones para el cabello; lociones para el cuerpo; lociones para el cuidado de la piel; lociones para el cuidado del rostro y del cuerpo; lociones para el peinado; lociones para el rostro y el cuerpo; lociones para fortalecer el cabello; lociones para la barba; lociones para la piel; lociones para la piel no medicadas; lociones para las manos; lociones para los ojos; lociones para ondular el cabello; lociones tónicas para el cuerpo; pomadas y lociones no medicinales contra la dermatitis del pañal.
5. Aceites para el tratamiento las micosis de las uñas; aceites para el tratamiento los hongos de las uñas; aceites para tratar las micosis de las uñas; aceites para tratar los hongos de las uñas; preparaciones de uso médico para el cuidado de las uñas; preparaciones farmacéuticas para el tratamiento y profilaxis de enfermedades de la piel y las uñas; preparaciones medicinales para el cuidado de las uñas; preparaciones para desinfectar las uñas; preparaciones para el tratamiento de los hongos de las uñas; preparaciones para evitar morderse las uñas; preparaciones para la prevención de la costumbre de comerse las uñas; preparaciones para prevenir de morderse las uñas; preparaciones para prevenir el mordisco de las uñas; geles corporales para uso farmacéutico; limpiadores faciales antibacterianos medicinales; lociones faciales medicinales; champú para el crecimiento del cabello; champús en seco medicinales; champús medicinales; champús medicinales anticaspa; champús medicinales para animales de compañía; champús pediculicidas; antibióticos en forma de lociones; gasas impregnadas de lociones antibacterianas; lociones antibacterianas para las manos; lociones capilares medicinales; lociones dermatológicas; lociones farmacéuticas para la piel; lociones y cremas medicamentosas para el cuerpo, piel, cara y manos; lociones y cremas medicamentosas para el cuerpo, piel, rostro y manos; lociones y cremas medicinales para el cuerpo, piel, cara y manos.</t>
  </si>
  <si>
    <t>REHUMATRIX</t>
  </si>
  <si>
    <t>5. Alimentos y sustancias Preparados multivitamínicos; preparaciones proteicas para uso en cuanto aditivos de productos alimenticios para el consumo humano para uso médico; sustancias proteicas para la alimentación humana para uso médico; bebidas utilizadas como complementos dietéticos; complementos alimenticios dietéticos, suplementos y complementos nutricionales; complementos nutricionales y alimenticios,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 suplementos alimenticios dietéticos; suplementos alimenticios minerales.
35. Comercialización; comercialización por Internet; gestión comercial; cotización de precios de productos y servicios; distribución de productos con fines publicitarios; gestión, organización y administración de negocios comerciales; información y asesoramiento comerciales al consumidor; marketing de productos; organización de ferias comerciales; servicios de tiendas de venta minorista o mayorista; presentación de productos y servicios por medios electrónicos; publicidad de productos y servicios de vendedores en línea mediante guías consultables en línea; publicidad por Internet; servicios de gestión de negocios en el marco de las franquicias, gestión comercial de licencias de productos y servicios de terceros.</t>
  </si>
  <si>
    <t>HOMEOECHINACEA</t>
  </si>
  <si>
    <t>REGISTRO NUEVO</t>
  </si>
  <si>
    <t>NATALIA MOYA LAITON, Transv 77 162 08, BOGOTA, CUNDINAMARCA 111156, CO</t>
  </si>
  <si>
    <t>HOMEOVITEX</t>
  </si>
  <si>
    <t>HOMEOCYKLO</t>
  </si>
  <si>
    <t>FIBRAVIT</t>
  </si>
  <si>
    <t>COLLAG100</t>
  </si>
  <si>
    <t>5. Alimentos y sustancias Preparados multivitamínicos; preparaciones proteicas para uso en cuanto aditivos de productos alimenticios para el consumo humano para uso médico; sustancias proteicas para la alimentación humana para uso médico; bebidas utilizadas como complementos dietéticos; complementos alimenticios dietéticos, suplementos y complementos nutricionales; complementos nutricionales y alimenticios,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t>
  </si>
  <si>
    <t>HTODRENLAX</t>
  </si>
  <si>
    <t>HTODREN</t>
  </si>
  <si>
    <t>DIB TZAN NF</t>
  </si>
  <si>
    <t>ALIVGAS FAST</t>
  </si>
  <si>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t>
  </si>
  <si>
    <t>ALAMBIC DE PLANTAS</t>
  </si>
  <si>
    <t>AURA CRISTINA RODRIGUEZ QUIZZA, Calle 10 8 47, ROLDANILLO, VALLE DEL CAUCA, CO</t>
  </si>
  <si>
    <t>5. Extractos herbarios para uso medicinal; preparaciones herbarias para uso médico.</t>
  </si>
  <si>
    <t>V&amp;S ESSENTIAL VITAMINS AND SUPPLEMENTS</t>
  </si>
  <si>
    <t>31 dic. 2022</t>
  </si>
  <si>
    <t>V&amp;SESSENTIALVITAMINSANDSUPPLEMENTS</t>
  </si>
  <si>
    <t>Sebastián Alejandro  Arias Tamayo , Calle 13B # 74 - 133 Barrio Quintas de Don Simón , TULUA, VALLE DEL CAUCA, CO</t>
  </si>
  <si>
    <t>5. Suplementos nutricionales; suplementos alimenticios a base de caseína; suplementos alimenticios minerales; parches de suplementos vitamínicos; preparaciones de vitaminas; suplementos alimenticios a base de proteínas; suplementos alimenticios de proteína de suero de leche; complementos alimenticios a base de proteínas; complementos alimenticios de proteína de suero de leche; productos farmacéuticos, preparaciones para uso médico; alimentos y sustancias dietéticas para uso médico, alimentos para bebés; complementos alimenticios para personas.</t>
  </si>
  <si>
    <t>GUSTAVO ADOLFO PALACIO CORREA, CALLE 19 # 5-30. Oficina 2204 (Torre Bacatá), BOGOTÁ, D.C., CO</t>
  </si>
  <si>
    <t>PEPTOGASNF</t>
  </si>
  <si>
    <t>PEPTO FULL GEL NF</t>
  </si>
  <si>
    <t>AF GYM</t>
  </si>
  <si>
    <t>AFGYM1222</t>
  </si>
  <si>
    <t>Andres Ruiz, Cra. 38a, numero 74-61., BARRANQUILLA, ATLÁNTICO 083004, CO</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</si>
  <si>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35. Publicidad; gestión de negocios comerciales; administración comercial; trabajos de oficina.
41. Educación; formación; servicios de entretenimiento; actividades deportivas y culturales.</t>
  </si>
  <si>
    <t>ECLII CARE</t>
  </si>
  <si>
    <t>Solicitud ECLII CARE</t>
  </si>
  <si>
    <t>maria paulina duque navarro, cra 2 este # 70a-63, BOGOTA, CUNDINAMARCA, CO; MARIA CAMILA BOTERO SERNA, CARRERA 121 B 5 80, CALI, VALLE DEL CAUCA, CO</t>
  </si>
  <si>
    <t>3. Aceites para el cabello; aceites suavizantes para el cabello; acondicionadores de cabello; champúes para el cabello; champús para el cabello; champús para el cabello y el cuerpo; champús y acondicionadores para el cabello; cremas para el cabello; cremas para el cabello de uso cosmético; enjuagues para el cabello; enjuagues para el cabello de uso cosmético; espuma de protección para el cabello; espumas para el cabello; espumas y geles para peinar el cabello; hidratantes para el cabello; mascarillas de belleza para el cabello; mascarillas para el cabello; mascarillas para el cuidado del cabello; máscaras para el cabello; preparaciones no medicinales para el cuidado de la piel, el cabello y el cuero cabelludo; preparaciones no medicinales para el cuidado del cabello; productos cosméticos para el cabello y el cuero cabelludo; productos hidratantes para el cabello; champús 3 en 1; champús acondicionadores; champús en seco*.
5. Estimulantes para el crecimiento del cabello; preparaciones medicinales para el crecimiento del cabello; champús medicinales.</t>
  </si>
  <si>
    <t>Estefania Hoyos Osorio , carrera 121 b # 5-80, CALI, VALLE DEL CAUCA 760008, CO</t>
  </si>
  <si>
    <t>ABA</t>
  </si>
  <si>
    <t>1090510363</t>
  </si>
  <si>
    <t>Gustavo Andres Vera Suárez, Parcela #35 la galicia, corregimiento campo dos, TIBU, NORTE DE SANTANDER, CO</t>
  </si>
  <si>
    <t>5. Suplementos alimenticios.
29. Nueces procesadas.
30. Bizcochos de chocolate y nueces.</t>
  </si>
  <si>
    <t>ECLII SOULS</t>
  </si>
  <si>
    <t>Solicitud ECLII SOULS</t>
  </si>
  <si>
    <t>3. Champúes para el cabello; champús 3 en 1; champús acondicionadores; champús anticaspa; champús capilares; champús corporales; champús no medicinales; champús no medicinales contra la caspa; champús para el cabello y el cuerpo; champús y acondicionadores; aceites para el cabello; aceites suavizantes para el cabello; acondicionadores de cabello; acondicionadores para el cabello; bálsamos para el cabello; champús para el cabello; champús para el cabello humano; champús y acondicionadores para el cabello; cremas para el cabello; cremas para el cuidado del cabello; hidratantes para el cabello; productos hidratantes para el cabello; suavizantes para el cabello.
5. Champú para el crecimiento del cabello; champús medicinales; champús medicinales anticaspa; estimulantes para el crecimiento del cabello; preparaciones medicinales para el crecimiento del cabello.</t>
  </si>
  <si>
    <t>mucolyptus</t>
  </si>
  <si>
    <t>Luis Eduardo Higuera Calderon, Carrera 113A # 78C 94, BOGOTÁ, D.C. 111031|, CO</t>
  </si>
  <si>
    <t>BIONUTRITION</t>
  </si>
  <si>
    <t>Fantasy</t>
  </si>
  <si>
    <t>Nicolas Oviedo Guzman, Cra 46 Sur No 158 116 Barrio San Martin casa 57 a, IBAGUE, TOLIMA 70001, CO</t>
  </si>
  <si>
    <t>5. PREPARACIONES NUTRACÉUTICAS PARA USO TERAPÉUTICO Ó MÉDICO. LUBRICANTES SEXUALES, GELES DE ESTIMULACIÓN SEXUAL, PREPARACIONES PARA LA ACTIVIDAD SEXUAL. MEDICAMENTOS PARA LA DISFUNCIÓN ERÉCTIL, Y PRODUCTOS FARMACÉUTICOS PARA MEJORAR EL DESEMPEÑO SEXUAL COMO RETARDANTES. PRODUCTOS FARMACÉUTICOS Y MEDICINALES, MULTIVITAMINICOS, ENERGIZANTES, SUPLEMENTOS ALIMENTICIOS, NUTRICIONALES Y DIETARIOS. ALIMENTOS ENRIQUECIDOS Y FORTALECIDOS CON PROTEINAS, VITAMINAS Y MINERALES..</t>
  </si>
  <si>
    <t>FORMED</t>
  </si>
  <si>
    <t>5. Complementos alimenticios de vitaminas y minerales; complementos dietéticos de vitaminas; pastillas efervescentes de vitaminas; preparaciones de vitaminas y minerales; sustancias dietéticas de vitaminas, minerales, aminoácidos y oligoelementos; sustancias dietéticas de vitaminas, minerales, aminoácidos y oligoelementos, ya sean por separado o combinadas; vitaminas; barritas vitamínicas y minerales para uso médico; complementos alimenticios para uso médico a base de aminoácidos, minerales y oligoelementos; complementos minerales; complementos minerales nutricionales; complementos vitamínicos y minerales; preparaciones y sustancias minerales para uso médico; extractos de plantas para uso farmacéutico; extractos de plantas y hierbas para uso medicinal; preparaciones medicinales para adelgazar.</t>
  </si>
  <si>
    <t>KAMME.CO</t>
  </si>
  <si>
    <t>KAMME.co</t>
  </si>
  <si>
    <t>Purlax</t>
  </si>
  <si>
    <t>1960</t>
  </si>
  <si>
    <t>vital nutrition</t>
  </si>
  <si>
    <t>Vital nutrition</t>
  </si>
  <si>
    <t>KELCO PIPICAT</t>
  </si>
  <si>
    <t>10 ene. 2023</t>
  </si>
  <si>
    <t>M2022/001112</t>
  </si>
  <si>
    <t>KELCO PET CARE PRODUTOS ANIMAIS LTDA., Calle Roque Medaldo Frias, 1341- Cobertizo 5, Indaiatuba, SAO PAULO, SAO PAULO 13347-035, BR</t>
  </si>
  <si>
    <t>5. Preparaciones y sustancias veterinarias; preparaciones higiénicas para uso veterinario; preparaciones sanitarias para uso veterinario.</t>
  </si>
  <si>
    <t>BIOPROMOTE</t>
  </si>
  <si>
    <t>11 ene. 2023</t>
  </si>
  <si>
    <t>Tuavit</t>
  </si>
  <si>
    <t>17 ene. 2023</t>
  </si>
  <si>
    <t>INNOVATE NUTRITION S.A.S., CRA. 37A NO. 7-60, BOGOTÁ, D.C., CO</t>
  </si>
  <si>
    <t>5. Aceite de hígado de bacalao; aditivos minerales para productos alimenticios de consumo humano; alimentos para bebés; alimentos para bebés y niños pequeños; alimentos para diabéticos; alimentos para lactantes; alimentos para niños; alimentos para niños pequeños; almidón dietético; antioxidantes [complementos dietéticos]; antioxidantes [suplementos dietéticos]; antioxidantes utilizados como complementos alimenticios; antioxidantes utilizados como suplementos alimenticios; bacterias probióticas [complementos alimenticios]; bacterias probióticas [suplementos alimenticios]; bacterias probióticas en cuanto complementos alimenticios; bacterias probióticas en cuanto suplementos alimenticios; barras de probióticos utilizadas como suplementos dietéticos; barras energéticas utilizadas como complementos alimenticios; barras energéticas utilizadas como suplementos dietéticos; barras energéticas utilizadas como suplementos nutricionales; barritas dietéticas en cuanto sustitutos de comidas; batidos a base de complementos proteínicos para aumentar de peso; batidos a base de suplementos proteínicos para aumentar de peso; batidos de leche en cuanto complementos proteínicos; batidos de leche en cuanto suplementos proteínicos;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de leche malteada para bebés; bebidas de leche malteada para minusválidos; bebidas nutricionales en cuanto complementos alimenticios; bebidas nutricionales en cuanto suplementos alimenticios; bebidas nutricionales enriquecidas con prebióticos para uso dietético; bebidas nutricionales enriquecidas con probióticos para uso dietético; bebidas nutricionales enriquecidas con vitaminas para uso dietético; bebidas nutricionales para uso dietético; bebidas para bebés; bebidas utilizadas como complementos dietéticos; caramelos de goma vitaminados; comementos de proteína de suero de leche; complejos vitamínicos; complementos a base de hierbas; complementos alimenticios; complementos alimenticios a base de aceite de linaza; complementos alimenticios a base de aceite de lino; complementos alimenticios a base de albúmina; complementos alimenticios a base de alginatos; complementos alimenticios a base de aminoácidos; complementos alimenticios a base de caseína; complementos alimenticios a base de chlorella; complementos alimenticios a base de cáñamo; complementos alimenticios a base de enzimas; complementos alimenticios a base de germen de trigo; complementos alimenticios a base de glucosa; complementos alimenticios a base de isoflavona de soja; complementos alimenticios a base de jalea real; complementos alimenticios a base de kiwicha; complementos alimenticios a base de lecitina; complementos alimenticios a base de levadura; complementos alimenticios a base de levadura de cerveza; complementos alimenticios a base de linaza; complementos alimenticios a base de maca; complementos alimenticios a base de minerales; complementos alimenticios a base de oligoelementos; complementos alimenticios a base de polen; complementos alimenticios a base de polen de pino; complementos alimenticios a base de propóleos; complementos alimenticios a base de proteínas; complementos alimenticios a base de proteínas de soja; complementos alimenticios a base de proteínas vegetales en forma de polvo; complementos alimenticios a base de quinua; complementos alimenticios a base de semillas de lino; complementos alimenticios a base de yacón; complementos alimenticios antioxidantes; complementos alimenticios compuestos de aminoácidos; complementos alimenticios de vitaminas y minerales; complementos alimenticios dietéticos; complementos alimenticios dietéticos a base de extractos de hierbas deshidratadas en cápsulas; complementos alimenticios dietéticos en cápsulas; complementos alimenticios dietéticos en cápsulas, que no sean para uso médico; complementos alimenticios dietéticos en forma de cápsulas, que no sean para uso médico; complementos alimenticios dietéticos en forma de gránulos; complementos alimenticios dietéticos en forma de gránulos, que no sean para uso médico; complementos alimenticios dietéticos en forma de polvo; complementos alimenticios dietéticos en forma de polvo, que no sean para uso médico; complementos alimenticios dietéticos en gránulos; complementos alimenticios dietéticos en gránulos, que no sean para uso médico; complementos alimenticios dietéticos en polvo; complementos alimenticios dietéticos en polvo, que no sean para uso médico; complementos alimenticios en polvo a base de cáñamo; complementos alimenticios en polvo a base de proteinas; complementos alimenticios en polvo a base de proteínas vegetales; complementos alimenticios medicinales a base de colágeno; complementos alimenticios medicinales para consumo humano; complementos alimenticios minerales; complementos alimenticios minerales para seres humanos; complementos alimenticios para humanos; complementos alimenticios para personas; complementos alimenticios para seres humanos; complementos alimenticios probióticos; complementos alimenticios probióticos en cápsulas; complementos alimenticios proteicos en polvo; complementos de calcio; complementos de oligoelementos para productos alimenticios de consumo humano; complementos de proteínas para personas; complementos de proteínas para seres humanos; complementos de vitaminas para productos alimenticios de consumo humano; complementos de zinc en pastillas; complementos dietéticos; complementos dietéticos a base de acai en polvo; complementos dietéticos a base de aminoácidos; complementos dietéticos a base de minerales; complementos dietéticos a base de oligoelementos; complementos dietéticos a base de trigo; complementos dietéticos a base de zinc; complementos dietéticos con efecto cosmético; complementos dietéticos de carbón activado; complementos dietéticos de clorela; complementos dietéticos de vitaminas; complementos dietéticos de ácido fólico; complementos dietéticos en forma de polvo; complementos dietéticos en forma líquida; complementos dietéticos en polvo con sabor a frutas para elaborar bebidas; complementos dietéticos en polvo de esporas a base de ganoderma lucidum; complementos dietéticos naturales para tratar la claustrofobia; complementos dietéticos para controlar el colesterol; complementos dietéticos para la alimentación humana; complementos dietéticos para niños; complementos dietéticos y nutricionales; complementos minerales; complementos minerales nutricionales; complementos nutricionales; complementos nutricionales líquidos; complementos nutricionales para seres humanos; complementos nutricionales y alimenticios; complementos nutricionales y dietéticos contra el envejecimiento del sistema inmunitario; complementos nutricionales y dietéticos para el alivio del estrés; complementos nutricionales y dietéticos para el fortalecimiento del sistema inmunitario; complementos nutricionales y dietéticos para la desintoxicación; complementos para el control de peso; complementos prebióticos; complementos probióticos; complementos proteicos para seres humanos; complementos simbióticos; complementos vitamínicos; complementos vitamínicos en comprimidos que disueltos en agua sirven para elaborar bebidas efervescentes; complementos vitamínicos para productos alimenticios de consumo humano; complementos vitamínicos y minerales; complementos y preparaciones dietéticas; complementos y preparaciones nutricionales; comprimidos de vitaminas; comprimidos vitamínicos;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cremas de uso dermatológico; cremas para callosidades y durezas; cremas para uso dermatológico; cápsulas a base de hierbas para potenciar la sexualidad masculina; cápsulas de aceite de hígado de bacalao; cápsulas para adelgazar; diuréticos; fibra alimentaria para facilitar la digestión; fibra alimenticia para tratar el estreñimiento; fibras alimentarias; fibras de semillas de lino molidas utilizadas como complementos dietéticos; fibras dietéticas para facilitar la digestión; geles para uso dermatológico; geles, cremas y soluciones para uso dermatológico; gotas vitamínicas; harinas lacteadas para bebés; hidrolizados de proteína de suero de leche [complementos dietéticos]; hidrolizados de proteína de suero de leche [suplementos dietéticos]; hidrolizados de proteína de suero de leche en cuanto complementos dietéticos; hidrolizados de proteína de suero de leche en cuanto suplementos dietéticos; jabones antibacterianos; jabones antibacterianos para la piel; jabones carbólicos; jabones desinfectantes; jabones desinfectantes perfumados; leche en polvo para bebés; leche en polvo para bebés y lactantes; leche en polvo para bebés y niños pequeños; leche en polvo para lactantes; leche en polvo para niños pequeños; leche malteada en cuanto complementos alimenticios para bebés; leche malteada en cuanto complementos alimenticios para minusválidos; leche malteada en cuanto complementos alimenticios para personas discapacitadas; leche malteada en cuanto complementos alimenticios para personas minusválidas;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leche malteada para bebés; leche malteada para minusválidos; leche malteada para personas discapacitadas; leche malteada para personas minusválidas; leche para bebé; levadura de cerveza para ser utilizada como complementos alimenticios; levadura de cerveza para ser utilizada como suplementos alimenticios; mentol; mezclas de bebidas dietéticas en cuanto sustitutos de comidas; mezclas de bebidas dietéticas en cuanto sustitutos de comidas para uso nutricional; mezclas de bebidas dietéticas para aumentar el rendimiento deportivo; mezclas de bebidas dietéticas para aumentar el rendimiento deportivo para uso nutricional; mezclas de bebidas dietéticas para el aumento de peso; mezclas de bebidas dietéticas para el aumento de peso para uso nutricional; mezclas de bebidas dietéticas para el control de peso; mezclas de bebidas dietéticas para el control de peso para uso nutricional; mezclas de bebidas dietéticas para la pérdida de peso; mezclas de bebidas dietéticas para la pérdida de peso para uso nutricional; mezclas de bebidas dietéticas para mejorar el rendimiento; mezclas de bebidas dietéticas para mejorar el rendimiento para uso nutricional; mezclas de complementos nutricionales en polvo para bebidas; mezclas para bebidas en cuanto complementos dietéticos; multivitaminas; multivitamínicos; nutracéuticos utilizados como complementos dietéticos; pastillas antioxidantes; pastillas de miel de hierbas para la garganta; pastillas de vitaminas; pastillas efervescentes de vitaminas; pastillas para adelgazar; pastillas para la garganta; pastillas supresoras del apetito; polen de abeja utilizado como complemento dietético alimenticio; preparaciones a base de cafeína utilizadas como estimulantes; preparaciones alimenticias para bebés; preparaciones alimenticias para bebés y lactantes; preparaciones alimenticias para bebés y niños pequeños; preparaciones de oligoelementos para consumo humano; preparaciones de oligoelementos para uso humano; preparaciones de vitaminas para el consumo humano; preparaciones de vitaminas para la alimentación humana; preparaciones de vitaminas y minerales; preparaciones de vitaminas*; preparaciones dermatológicas; preparaciones dermocosméticas; preparaciones multivitamínicas; preparaciones neutracéuticas para personas; preparaciones neutracéuticas para seres humanos; preparaciones no médicas de oligoelementos para uso humano; preparaciones que contienen vitamina a; preparaciones que contienen vitamina b; preparaciones que contienen vitamina c; preparaciones que contienen vitamina d; preparaciones vitamínicas para el consumo humano; preparaciones vitamínicas para la alimentación humana; preparaciones y complementos nutricionales para la salud; preparaciones y complementos para la salud; preparaciones y suplementos nutricionales para la salud; preparaciones y suplementos para la salud; preparaciones y sustancias vitamínicas; preparados alimenticios para bebés y lactantes; preparados alimenticios para bebés y niños pequeños; preparados de oligoelementos para uso humano; preparados multivitamínicos; preparados neutracéuticos para personas; preparados neutracéuticos para seres humanos; preparados no médicos de oligoelementos para uso humano; preparados vitamínicos para el consumo humano; preparados vitamínicos para la alimentación humana; probióticos en cuanto complementos dietéticos; productos alimenticios para la alimentación enteral; proteína vegana en cuanto complemento nutricional de bebidas listas para beber; proteína vegana en cuanto suplemento nutricional de bebidas listas para beber; proteínas de suero [complementos dietéticos]; proteínas de suero de leche [complementos alimenticios]; proteínas de suero de leche [complementos nutricionales]; proteínas de suero de leche [suplementos alimenticios]; proteínas de suero de leche [suplementos dietéticos]; proteínas de suero de leche [suplementos nutricionales]; proteínas de suero de leche en cuanto complementos alimenticios; proteínas de suero de leche en cuanto complementos nutricionales; proteínas de suero de leche en cuanto suplementos alimenticios; proteínas de suero de leche en cuanto suplementos dietéticos; proteínas de suero de leche en cuanto suplementos nutricionales; proteínas de suero de leche en polvo [complementos nutricionales]; proteínas de suero de leche en polvo [suplementos nutricionales]; proteínas de suero de leche en polvo en cuanto complementos nutricionales; proteínas de suero de leche en polvo en cuanto suplementos nutricionales; proteínas de suero en cuanto complementos dietéticos; píldoras antioxidantes; píldoras de hierbas para el tratamiento de la diabetes; píldoras para adelgazar; píldoras supresoras del apetito;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que no sean para uso médico; suplementos alimenticios dietéticos en forma de gránulos; suplementos alimenticios dietéticos en forma de gránulos, que no sean para uso médico; suplementos alimenticios dietéticos en forma de polvo; suplementos alimenticios dietéticos en forma de polvo, que no sean para uso médico; suplementos alimenticios dietéticos en polvo; suplementos alimenticios dietéticos en polvo, que no sean para uso médico; suplementos alimenticios en polvo a base de cáñamo; suplementos alimenticios en polvo a base de proteinas; suplementos alimenticios en polvo a base de proteínas vegetales; suplementos alimenticios minerales; suplementos alimenticios minerales para seres humanos; suplementos alimenticios para humanos; suplementos alimenticios para personas; suplementos alimenticios para seres humanos; suplementos alimenticios probióticos; suplementos alimenticios probióticos en cápsulas; suplementos alimenticios proteicos en polvo; suplementos alimenticios que no sean para uso médico;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ácido fólico; suplementos dietéticos en forma de polvo; suplementos dietéticos en forma líquida; suplementos dietéticos en polvo a base de esporas de ganoderma lucidum;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productos alimenticios de consumo humano; suplementos y preparaciones dietéticas; suplementos y preparaciones nutricionales; sustancias dietéticas de vitaminas, minerales, aminoácidos y oligoelementos; sustancias dietéticas de vitaminas, minerales, aminoácidos y oligoelementos, ya sean por separado o combinadas; sustitutos de la leche materna; sustitutos de la leche para bebé; vitaminas; vitaminas de consistencia gomosa; vitaminas para adultos; vitaminas para bebés; vitaminas para embarazadas; vitaminas para niños; vitaminas prenatales; vitaminas, minerales y antioxidantes en cuanto complementos nutricionales y dietéticos; vitaminas, minerales y antioxidantes en cuanto suplementos nutricionales y dietéticos.</t>
  </si>
  <si>
    <t>Julián Alexander Pineda Ceballos, Carrera 37A 7-60, BOGOTÁ, D.C. 111711, CO</t>
  </si>
  <si>
    <t>Inmunorex</t>
  </si>
  <si>
    <t>12 ene. 2023</t>
  </si>
  <si>
    <t>0003</t>
  </si>
  <si>
    <t>5. Medicamentos; medicamentos de venta libre; medicamentos homeopáticos.</t>
  </si>
  <si>
    <t>Heperex</t>
  </si>
  <si>
    <t>0005</t>
  </si>
  <si>
    <t>Thyrocell</t>
  </si>
  <si>
    <t>0008</t>
  </si>
  <si>
    <t>CECILIA MARIA  PARRA IBAÑEZ, CALLE 71A 22 14, BOGOTÁ, D.C., CO</t>
  </si>
  <si>
    <t>Neocosmética Santo Remedio</t>
  </si>
  <si>
    <t>13 ene. 2023</t>
  </si>
  <si>
    <t>NEOCOSMÉTICA</t>
  </si>
  <si>
    <t>NEOTRÓPICO COLOMBIA SAS, CARRERA 17 # 150 - 52, OFICINA 201, BOGOTÁ, D.C., CO</t>
  </si>
  <si>
    <t>3. Productos cosméticos para la piel; extractos de plantas para uso cosmético; aceites bronceadores [cosméticos]; aceites cosméticos; aceites cosméticos para la piel; aceites para después del sol [productos cosméticos]; aceites de protección solar [cosméticos]; aerosoles cosméticos de uso tópico para la piel; autobronceadores [cosméticos]; colonias, perfumes y productos cosméticos; correctores de imperfecciones [productos cosméticos]; cosméticos; cosméticos para cuidados corporales y estéticos; cosméticos y preparaciones cosméticas; cosméticos y preparaciones de cuidado personal; cremas y geles cosméticos para cara, manos y cuerpo; cremas, leches, lociones, geles y polvos cosméticos para la cara, el cuerpo y las manos; exfoliantes corporales cosméticos; geles bronceadores [cosméticos]; geles para después del sol [productos cosméticos]; geles hidratantes [cosméticos]; jabones cosméticos; leches bronceadoras [cosméticos]; leches para después del sol [productos cosméticos]; lociones hidratantes [cosméticos]; lociones hidratantes para el cuerpo [cosméticos]; lociones hidratantes para la piel [cosméticos]; pañitos de limpieza preimpregnados; cremas y lociones cosméticas; cremas y lociones cosméticas para el cuidado de la cara y el cuerpo; preparaciones hidratantes [cosméticos]; preparaciones de protección solar [productos cosméticos]; productos cosméticos en aerosol para el cuidado de la piel; productos cosméticos para el cuidado de la piel; productos cosméticos para uso personal; productos cosméticos y de belleza; productos cosméticos y de maquillaje;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protectores solares para los labios [productos cosméticos]; toallitas impregnadas de productos cosméticos; tónicos cosméticos para la cara.
5. Extractos de hierbas medicinales; extractos de hierbas medicinales para uso médico; extractos de hierbas para uso medicinal; extractos de plantas para uso farmacéutico; extractos de plantas para uso médico; extractos de plantas y hierbas para uso medicinal.</t>
  </si>
  <si>
    <t>Coenplex</t>
  </si>
  <si>
    <t>0010</t>
  </si>
  <si>
    <t>Redutrix</t>
  </si>
  <si>
    <t>0011</t>
  </si>
  <si>
    <t>Apetrix</t>
  </si>
  <si>
    <t>0012</t>
  </si>
  <si>
    <t>Graphypot</t>
  </si>
  <si>
    <t>0013</t>
  </si>
  <si>
    <t>Shussler Salz Lessensa</t>
  </si>
  <si>
    <t>0014</t>
  </si>
  <si>
    <t>ELEBRANS</t>
  </si>
  <si>
    <t>M2022/000666</t>
  </si>
  <si>
    <t>SYNGENTA CROP PROTECTION AG, Rosentalstrasse 67 CH-4058 Basel, CH</t>
  </si>
  <si>
    <t>1. Preparaciones químicas destinadas a la agricultura, horticultura y silvicultura; Preparaciones biológicas que no sean para uso médico o veterinario; Preparaciones biológicas destinadas a la industria; Compost, abonos, fertilizantes; Biofertilizantes; Nutrientes vegetales; Preparaciones químicas para el tratamiento de semillas; Inoculantes [que no sean para uso médico o veterinario]; Preparados de microorganismos, que no sean para uso médico o veterinario; Reguladores del crecimiento de las plantas que contengan microorganismos; Estimulantes del crecimiento [que no sean para uso médico o veterinario]; Preparados para mejorar el suelo; Acondicionadores del suelo; Feromonas, que no sean para uso médico.
5. Preparaciones para la destrucción de animales dañinos; fungicidas, herbicidas, insecticidas, nematicidas; preparaciones repelentes de insectos; preparaciones repelentes de animales dañinos.</t>
  </si>
  <si>
    <t>ENVISTAT</t>
  </si>
  <si>
    <t>M2023/000002</t>
  </si>
  <si>
    <t>SAVANNA BOTANICAL CARE</t>
  </si>
  <si>
    <t>Savanna</t>
  </si>
  <si>
    <t>GAMMA INVERSIONES S.A.S, Avenida Pradilla No. 5-31 LC 1-3 CC Plaza Mayor, CHIA, CUNDINAMARCA 250001	, CO</t>
  </si>
  <si>
    <t>3. Aceites cosméticos; aceites cosméticos para la piel; cosméticos; cosméticos a base de cannabis.
5. Cannabis medicinal en forma de tisanas para uso medicinal; cannabis para uso médico.</t>
  </si>
  <si>
    <t>Jhamer Arley  Patiño Castillo, Calle 32 No. 6a - 15 Oficina 1102, BOGOTÁ, D.C., CO</t>
  </si>
  <si>
    <t>FYSIKÓS</t>
  </si>
  <si>
    <t>21 ene. 2023</t>
  </si>
  <si>
    <t>BIO HEALTHY S.A.S, CR 19A 8 35 BRR LOS CORTIJOS, VALLEDUPAR, CESAR, CO</t>
  </si>
  <si>
    <t>victor julio ruiz echeverria, cra. 19 A 8 35, VALLEDUPAR, CESAR 20005, CO</t>
  </si>
  <si>
    <t>SAUCO-PRO</t>
  </si>
  <si>
    <t>24 ene. 2023</t>
  </si>
  <si>
    <t>DARINSON BEJARANO SANCHEZ, AVENIDA ESPERANZA No 84-66, BOGOTÁ, D.C., CO</t>
  </si>
  <si>
    <t>Epi3</t>
  </si>
  <si>
    <t>25 ene. 2023</t>
  </si>
  <si>
    <t>154278</t>
  </si>
  <si>
    <t>Mylan Inc., 1000 Mylan Boulevard Canonsburg PA 15317, US</t>
  </si>
  <si>
    <t>5. Productos farmacéuticos inyectables para el tratamiento de reacciones anafilácticas.
10. Inyectores de fluidos médicos.</t>
  </si>
  <si>
    <t>DIFENEX</t>
  </si>
  <si>
    <t>27 ene. 2023</t>
  </si>
  <si>
    <t>RAUL ANDRE BORJA PRADO , Carrera  40 #4A-23 Barrio  NUEVA GRANADA, CALI, VALLE DEL CAUCA, CO</t>
  </si>
  <si>
    <t>5. Pesticidas para la agricultura.</t>
  </si>
  <si>
    <t>SYMMETRIA MARIA ALEJANDRA TABORDA</t>
  </si>
  <si>
    <t>28 ene. 2023</t>
  </si>
  <si>
    <t>MAT</t>
  </si>
  <si>
    <t>MARIA ALEJANDRA TABORDA SAMPER, Carrera 13 # 49-40 Consultorio 615, BOGOTÁ, D.C., CO</t>
  </si>
  <si>
    <t>3. Bálsamos [cremas] para disimular las imperfecciones de la piel; cosméticos en forma de cremas; cremas acondicionadoras; cremas acondicionadoras para la piel, de uso cosmético; cremas antiarrugas; cremas antiarrugas para uso cosmético; cremas antienvejecimiento; cremas antienvejecimiento para uso cosmético; cremas capilares; cremas con filtro solar para uso cosmético; cremas con vitamina a para uso cosmético; cremas corporales; cremas cosmética para el cuerpo;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belleza para el rostro y el cuerpo; cremas de hidratación intensiva; cremas de limpieza; cremas exfoliantes; cremas faciales; cremas regeneradoras;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geles, cremas y aceites de ducha; leches, geles, lociones y cremas desmaquillantes; lociones y cremas corporales perfumadas; mascarillas corporales en forma de cremas.
5. Cremas a base de hierbas para uso médico; cremas analgésicas para uso tópico; cremas analgésicas tópicas; cremas antibióticas; cremas antihistamínicas; cremas antimicóticas para uso médico; cremas de hidrocortisona para erupciones cutáneas; cremas de uso dermatológico; cremas labiales medicinales; cremas medicamentosas protectoras; cremas medicinales antibióticas de amplio espectro; cremas medicinales antibióticas polivalentes; cremas medicinales para los pies; cremas para uso dermatológico; gasas impregnadas de cremas medicinales; lociones y cremas medicamentosas para el cuerpo, piel, cara y manos.
44. Análisis médicos para el diagnóstico y tratamiento de personas; servicios de análisis médicos; servicios de análisis médicos con fines diagnósticos; servicios de análisis médicos para fines de tratamiento prestados por laboratorios médicos; servicios de análisis médicos prestados por laboratorios médicos con fines diagnósticos y terapéuticos; servicios médicos alternativos; servicios de exámenes de salud en el ámbito de la apnea del sueño; servicios de exámenes médicos en el ámbito de la apnea del sueño; servicios de asesoramiento y de consultoría de estilo de vida con fines médicos; servicios de laboratorios médicos para el análisis de muestras de sangre obtenidas de pacientes; análisis y tratamientos del plasma sanguíneo y de las células madre en cuanto servicios médicos; suministro de información sobre reconocimientos médicos; servicios médicos para el tratamiento del cáncer de piel; servicios de asesoramiento en materia de aparatos e instrumentos médicos; consultoría en productos farmacéuticos y médicos; servicios médicos y quirúrgicos; servicios prestados por médicos; servicios de médicos.</t>
  </si>
  <si>
    <t>VAC PHARMA</t>
  </si>
  <si>
    <t>vac pharma</t>
  </si>
  <si>
    <t>Alexandra Maria Garces Cervera, Avenida 4BN #58N-60 apartamento 204 bloque E, CALI, VALLE DEL CAUCA 760050, CO</t>
  </si>
  <si>
    <t>5. Suplementos alimenticios medicinales a base de colágeno.</t>
  </si>
  <si>
    <t>30 nov. 2023</t>
  </si>
  <si>
    <t>INBIOTEC HARMONIE</t>
  </si>
  <si>
    <t>31 ene. 2023</t>
  </si>
  <si>
    <t>INSTITUTO DE TECNOLOGIA Y ESTETICA PHARMA, S.L., Ciudad del Transporte, c/ Olite, 9 E-31119 IMARCOAIN, ES</t>
  </si>
  <si>
    <t>5. Hidratadores cutáneos en forma de rellenos dérmicos inyectables a base de ácido hialurónico; Rellenos dérmicos inyectables elaborados a base de ácido hialurónico.</t>
  </si>
  <si>
    <t>Juliana Carmona Velasquez, Calle 77 # 10 -28, BOGOTÁ, D.C. 0000, CO</t>
  </si>
  <si>
    <t>INBIOTEC AMBER</t>
  </si>
  <si>
    <t>CALCIFORTE D</t>
  </si>
  <si>
    <t>MEDIGEN S.A.S., CALLE 30 NO. 11G-46, CALI, VALLE DEL CAUCA, CO</t>
  </si>
  <si>
    <t>GUSTAVO ADOLFO SALAS TROYA, CALLE 4 N° 25-05, CALI, VALLE DEL CAUCA, CO</t>
  </si>
  <si>
    <t>krio Extractos</t>
  </si>
  <si>
    <t>BIO-CROP SAS, CRA. 24 # 21-31, PALMIRA, VALLE DEL CAUCA, CO</t>
  </si>
  <si>
    <t>5. Preparaciones para combatir el ataque de animales dañinos; preparaciones para el control de animales dañinos; productos para eliminar animales dañinos; productos para el control de animales dañinos; preparaciones herbicidas y plaguicidas; insecticidas para uso agrícola; preparaciones insecticidas; insecticidas; fungicidas, herbicidas; herbicidas; herbicidas para uso agrícola; herbicidas biológicos; preparaciones herbicidas y pesticidas; repelentes de insectos; repelentes para animales; preparaciones para combatir el ataque de plagas a los vegetales; preparaciones para el control de plagas; preparaciones para la destrucción de plagas; productos para el control de plagas.</t>
  </si>
  <si>
    <t>EGNA MARIBEL  BENAVIDES RAMÍREZ, CRA 24 NO 21-31, PALMIRA, VALLE DEL CAUCA, CO</t>
  </si>
  <si>
    <t>Geriax</t>
  </si>
  <si>
    <t>08 feb. 2023</t>
  </si>
  <si>
    <t>COLO-27602-701-002-0</t>
  </si>
  <si>
    <t>Laboratorios Biomont S.A., Av. Industrial, 184 Ate, Lima, Perú., LIMA, LIMA, PE</t>
  </si>
  <si>
    <t>5. Suplementos nutricionales.</t>
  </si>
  <si>
    <t>DURMIX</t>
  </si>
  <si>
    <t>14 feb. 2023</t>
  </si>
  <si>
    <t>DURMIX - FADIVET</t>
  </si>
  <si>
    <t>FADIVET S.A.S., Calle 72 A N° 86 - 69 Oficina 209 . Plaza Comercial Punto 72, BOGOTÁ, D.C., CO</t>
  </si>
  <si>
    <t>5. Preparaciones para la destrucción de animales dañinos; fungicidas; fungicidas, herbicidas.</t>
  </si>
  <si>
    <t>Omegapel</t>
  </si>
  <si>
    <t>COLO-27602-701-001-2</t>
  </si>
  <si>
    <t>AMERICA CELL BANK</t>
  </si>
  <si>
    <t>10 feb. 2023</t>
  </si>
  <si>
    <t>TM-002-2023</t>
  </si>
  <si>
    <t>AMERICA CELL BIOMEDICA SAS, CALLE 118 # 70-90, BOGOTÁ, D.C., CO</t>
  </si>
  <si>
    <t>5. Composiciones farmacéuticas que contienen células madre; cultivos de células madre para implantes quirúrgicos; células madre para uso médico; cultivos de tejidos biológicos para uso médico; implantes quirúrgicos compuestos de tejidos vivos.
44. Servicios de bancos de sangre y de tejidos humanos; servicios de bancos de tejidos humanos, servicios de centros de salud; almacenamiento de células madre (servicios de bancos de células madre); servicios de bancos de células madre.</t>
  </si>
  <si>
    <t>Mateo  Patiño Gonzalez, Calle 93 # 15-51 , BOGOTÁ, D.C., CO</t>
  </si>
  <si>
    <t>BANOXAL</t>
  </si>
  <si>
    <t>17 feb. 2023</t>
  </si>
  <si>
    <t>PRODUCTOS Y ESPECIALIDADES QUÍMICAS LIMITADA – PRODESQUIM LTDA., CARRERA 50 N° 85 - 73, MEDELLIN, ANTIOQUIA, CO</t>
  </si>
  <si>
    <t>5. Productos de limpieza para la desinfección de frutas y hortalizas.</t>
  </si>
  <si>
    <t>DAVID EDUARDO  BETANCUR BETANCUR, CARRERA 43A # 19 - 17 OF 332, MEDELLIN, ANTIOQUIA, CO</t>
  </si>
  <si>
    <t>Hs Hero Sport</t>
  </si>
  <si>
    <t>WF 22879</t>
  </si>
  <si>
    <t>BIONUTRIENTS GLOBAL, S. DE R.L. DE C.V, Av. Segunda Sur N° 121 Int. C, Col. Las Palmas, Culiacán, Sinaloa,, CULIACAN, SINALOA 80308, MX</t>
  </si>
  <si>
    <t>CYANIDIN</t>
  </si>
  <si>
    <t>22 feb. 2023</t>
  </si>
  <si>
    <t>5. Medicamentos fitoterapéuticos para el consumo humano; preparaciones y suplementos nutricionales para la salud.</t>
  </si>
  <si>
    <t>PROFERVAL</t>
  </si>
  <si>
    <t>13 feb. 2023</t>
  </si>
  <si>
    <t>OSMO HEALTH TECHNOLOGIES COLOMBIA S.A.S, CARRERA 19 A 90 13 OF 901, BOGOTA, BOGOTA, BOGOTÁ, D.C., CO</t>
  </si>
  <si>
    <t>5. Suplementos dietarios para uso humano.</t>
  </si>
  <si>
    <t>OXY.TABS20 ALTO PODER DESINFECTANTE</t>
  </si>
  <si>
    <t>OXY.TABS20</t>
  </si>
  <si>
    <t>Bucalex</t>
  </si>
  <si>
    <t>BUCALEX COMFAR</t>
  </si>
  <si>
    <t>COMFAR DE COLOMBIA SAS, CALLE 79 #5-81 OFICINA 305, BOGOTÁ, D.C. 110221, CO</t>
  </si>
  <si>
    <t>5. Eucalipto para uso farmacéutico; menta para uso farmacéutico; mentol para uso farmacéutico; preparaciones farmacéuticas contra la tos; preparaciones farmacéuticas contra la tos y el resfriado; medicamentos; medicamentos a base de hierbas; medicamentos analgésicos; medicamentos de venta libre; medicamentos en forma de comprimidos; medicamentos en forma de pastillas; medicamentos en forma de píldoras; medicamentos en forma de tabletas; medicamentos herbarios; medicamentos para uso humano; antiinfecciosos; antiinfecciosos dérmicos; preparaciones antiinfecciosos para uso veterinario; preparaciones farmacéuticas para el tratamiento de enfermedades infecciosas; preparaciones medicinales para tratar enfermedades infecciosas; preparaciones químicas para tratar infecciones patógenas de las plantas; preparaciones para aliviar el dolor.</t>
  </si>
  <si>
    <t>HECTOR MAURICIO  AGUIRRE ORTIZ, CALLE 79B 5-81 OFI 305, BOGOTÁ, D.C. 110110, CO</t>
  </si>
  <si>
    <t>Angripas</t>
  </si>
  <si>
    <t>ANGRIPAS COMFAR</t>
  </si>
  <si>
    <t>5. Analgésicos; analgésicos antipiréticos; analgésicos orales; analgésicos para uso veterinario; ibuprofeno utilizado como analgésico oral; medicamentos analgésicos; antipiréticos; antipiréticos con efecto calmante; productos antipiréticos; descongestivos; descongestivos en cápsulas; descongestivos nasales en espray; preparaciones farmacéuticas para el tratamiento de la rinitis alérgica; jarabes en cuanto medicamentos; medicamentos a base de hierbas; medicamentos de venta libre; medicamentos en forma de comprimidos; medicamentos en forma de pastillas; medicamentos en forma de píldoras; medicamentos en forma de tabletas; medicamentos fitoterapéuticos para el consumano animal.</t>
  </si>
  <si>
    <t>ENTEROBAC PRO</t>
  </si>
  <si>
    <t>RADSKIN</t>
  </si>
  <si>
    <t>radskin</t>
  </si>
  <si>
    <t>Diana Margarita Lafaurie Linero, Calle 104 N 53-93 apto 404 Edificio Prestige, BARRANQUILLA, ATLÁNTICO, CO</t>
  </si>
  <si>
    <t>3. Cremas cosméticas; cremas corporales; cremas para la piel de uso cosmético.
5. Cremas medicinales para la piel; cremas medicinales para la protección de la piel; cremas para uso dermatológico.</t>
  </si>
  <si>
    <t>Helena Novoa, Cra 86c 53c 41 Cerezos de Calasania Apto 723, MEDELLIN, ANTIOQUIA 0500, CO</t>
  </si>
  <si>
    <t>BALANCED CARE</t>
  </si>
  <si>
    <t>RAD - BALANCED CARE CL. 5</t>
  </si>
  <si>
    <t>BALANCED VEGAN CARE</t>
  </si>
  <si>
    <t>RAD - BALANCED VEGAN CARE CL. 5</t>
  </si>
  <si>
    <t>VITA IVF LAB</t>
  </si>
  <si>
    <t>VITA IVF LAB SAS, CALLE 127B No 49-89, BOGOTÁ, D.C. 110110, CO</t>
  </si>
  <si>
    <t>5.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formulaciones bacterianas probióticas para uso veterinario; fórmulas bacterianas probióticas para uso veterinario; hormonas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42. Servicios de información y datos sobre investigación y desarrollo médicos y veterinarios; servicios de laboratorios veterinarios; suministro de información y datos sobre investigación y desarrollo médicos y veterinarios; desarrollo en biotecnología; desarrollo en el ámbito de la biotecnología; investigaciones en biotecnología; investigación científica en el ámbito de la biotecnología; investigación y desarrollo en el ámbito de la biotecnología; preparación de informes en el campo de la biotecnología; preparación de informes en el ámbito de la biotecnología; servicios de consultoría en biotecnología; servicios de información en materia de investigación científica en el ámbito de la biotecnología; servicios de investigación científica en el ámbito de la biotecnología; suministro de información sobre investigación científica en los ámbitos de la bioquímica y la biotecnología.</t>
  </si>
  <si>
    <t>YUBER HOLMEDIS CALIXTO CASTRO, AVENIDA CALLE 116 NO. 23 - 06, BOGOTÁ, D.C. 111121, CO</t>
  </si>
  <si>
    <t>GAVISMAX</t>
  </si>
  <si>
    <t>Aleida Villamil Blandón, Carrera 68A No 30-24 Sur, BOGOTÁ, D.C. 110841, CO</t>
  </si>
  <si>
    <t>BLOQUEO</t>
  </si>
  <si>
    <t>15 feb. 2023</t>
  </si>
  <si>
    <t>FULLAGRO SAS, MANZANA B LOTE 4 BODEGA PARQUE INDUSTRIAL SAN JOSE, FUNZA, CUNDINAMARCA 250027, CO</t>
  </si>
  <si>
    <t>MARIA CATALINA GALOFRE ACOSTA, Calle 25 g # 96 b - 58, BOGOTA, CUNDINAMARCA, CO</t>
  </si>
  <si>
    <t>FULMINANTE</t>
  </si>
  <si>
    <t>MFLUPAZ</t>
  </si>
  <si>
    <t>MODERNATX, INC., 325 Binney Street, CAMBRIDGE, MASSACHUSETTS 02142, US</t>
  </si>
  <si>
    <t>BIO PET'S</t>
  </si>
  <si>
    <t>20 feb. 2023</t>
  </si>
  <si>
    <t>LABORATORIO COLOMBIANO DE VETERINARIA SAS, Parque Industrial del Norte Vereda Canavita Bodega 15 Kilometro 22, TOCANCIPA, CUNDINAMARCA, CO</t>
  </si>
  <si>
    <t>5. Complementos alimenticios para animales de uso veterinario.</t>
  </si>
  <si>
    <t>DORA CONSUELO PORRAS DURAN, Calle 162 # 21-51, BOGOTÁ, D.C., CO</t>
  </si>
  <si>
    <t>OROVERDE</t>
  </si>
  <si>
    <t>21 feb. 2023</t>
  </si>
  <si>
    <t>JUAN SANTIAGO RAMIREZ POSADA, Cra. 25 1a Sur 16 casa 103, MEDELLIN, ANTIOQUIA, CO; JUAN JOSE ANGEL RAMIREZ, Cra. 25 1a Sur 16 casa 103, MEDELLIN, ANTIOQUIA, CO</t>
  </si>
  <si>
    <t>5. Cánnabis médico; cannabis para uso médico; cannabis medicinal en forma de aceites para facilitar la administración de fármacos; cannabis medicinal en forma de tisanas para uso medicinal; cannabis medicinal en forma de tisanas.</t>
  </si>
  <si>
    <t>TAKEDOWN LIPHA</t>
  </si>
  <si>
    <t>sol reg TAKEDOWN LIPHA cl05</t>
  </si>
  <si>
    <t>LIPHATECH COLOMBIA S.A.S., CARRERA 15 119 43 OFC 301, BOGOTÁ, D.C. 110111, CO</t>
  </si>
  <si>
    <t>5. Productos para el control y destrucción de animales, plantas, parásitos y organismos dañinos; fungicidas, herbicidas, insecticidas, cucarachicidas, acaricidas, rodenticidas, nematocidas, pesticidas. Se excluyen expresamente productos de aplicación humana.</t>
  </si>
  <si>
    <t>PABLO ANDRES MEDINA LOPEZ, CARRERA 15 No. 119 - 43 OFICINA 301, BOGOTÁ, D.C. 110111, CO</t>
  </si>
  <si>
    <t>ELEVIDYS</t>
  </si>
  <si>
    <t>M2023/000184</t>
  </si>
  <si>
    <t>SAREPTA THERAPEUTICS, INC., 215 First Street, CAMBRIDGE, MASSACHUSETTS MA 02142, US</t>
  </si>
  <si>
    <t>5. Preparaciones farmacéuticas de terapia génica para el tratamiento de la distrofia muscular y las enfermedades del sistema nervioso central.</t>
  </si>
  <si>
    <t>OXITOCINA VM</t>
  </si>
  <si>
    <t>23 feb. 2023</t>
  </si>
  <si>
    <t>LABORATORIOS V.M. S.A.S, AUTOPISTA NORTE KILOMETRO 19, CHIA, CUNDINAMARCA, CO</t>
  </si>
  <si>
    <t>RAFAEL ALBERTO MORENO DE LOS  RIOS, AUT. NORTE KM 19 URB. IND. EL PI, CHIA, CUNDINAMARCA, CO</t>
  </si>
  <si>
    <t>BIOSTAR BIOGAN</t>
  </si>
  <si>
    <t>BIOSTAR PHARMACEUTICAL S.A, PARQUE INDUSTRIAL GRAN SABANA -Bodega M12. Vereda Tibitó, frente al autódromo de Tocancipá, (C/marca), en la variante Tocancipá - Zipaquirá., TOCANCIPA, CUNDINAMARCA, CO</t>
  </si>
  <si>
    <t>PROBEX</t>
  </si>
  <si>
    <t>24 feb. 2023</t>
  </si>
  <si>
    <t>SENSOLIFE SAS, CRA 15 98 21, BOGOTÁ, D.C., CO</t>
  </si>
  <si>
    <t>AMOXIPET</t>
  </si>
  <si>
    <t>INDUSTRIA COLOMBIANA FARMACEUTICA ICOFARMA S.A, CARRERA 21 NO. 70A-39, BOGOTÁ, D.C., CO</t>
  </si>
  <si>
    <t>BLANCA LILIA BELTRÁN DE GARRIDO, Cra 21 N° 70A N° - 39, BOGOTÁ, D.C., CO</t>
  </si>
  <si>
    <t>CYL CYCLON</t>
  </si>
  <si>
    <t>SOLICITUD DE REGITRO DE MARCA CYL CYCLON</t>
  </si>
  <si>
    <t>GALLO FINO CORP S.A.S. , Cra. 18 B 34 28, BOGOTÁ, D.C., CO</t>
  </si>
  <si>
    <t>JENNY BIVIANA  LINARES REAL, Cra. 18 B 34 28, BOGOTA, CUNDINAMARCA, CO</t>
  </si>
  <si>
    <t>BALATRON</t>
  </si>
  <si>
    <t>SOLICITUD DE REGITRO DE MARCA BALATRON</t>
  </si>
  <si>
    <t>VLT VOLTA 7</t>
  </si>
  <si>
    <t>SOLICITUD DE REGITRO DE MARCA VLT VOLTA 7</t>
  </si>
  <si>
    <t>NOURISH CARE</t>
  </si>
  <si>
    <t>RAD - NOURISH CARE CL. 5</t>
  </si>
  <si>
    <t>5. Productos farmacéuticos, preparaciones para uso médico y veterinario; productos higiénicos y sanitarios para uso médico; alimentos y sustancias dietéticas para uso médico o veterinario, alimentos para bebés; complementos alimenticios, suplementos alimenticios; suplementos de proteínas para personas; complementos de proteínas para seres humanos.</t>
  </si>
  <si>
    <t>WAW PETS</t>
  </si>
  <si>
    <t>01 mar. 2023</t>
  </si>
  <si>
    <t>MUNDIAL DE SUMINISTROS Y CONTRATOS S.A.S, carrera 68 No. 57 f 39 sur, BOGOTÁ, D.C., CO</t>
  </si>
  <si>
    <t>5, 18, 31, 44</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</si>
  <si>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18. Cuero y cuero de imitación; pieles de animales; artículos de equipaje y bolsas de transporte; paraguas y sombrillas; bastones; fustas, arneses y artículos de guarnicionería; collares, correas y ropa para animales.
31. Productos agrícolas, acuícolas, hortícolas y forestales en bruto y sin procesar; granos y semillas en bruto o sin procesar; frutas y verduras, hortalizas y legumbres frescas, hierbas aromáticas frescas; plantas y flores naturales; bulbos, plantones y semillas para plantar; animales vivos; productos alimenticios y bebidas para animales; malta.
44. Servicios médicos; servicios veterinarios; tratamientos de higiene y de belleza para personas o animales; servicios de agricultura, horticultura y silvicultura.</t>
  </si>
  <si>
    <t>JULIAN RODRIGO MENDEZ MORA, carrera 68 No. 57 f 39 sur, BOGOTÁ, D.C., CO</t>
  </si>
  <si>
    <t>NOURISH VEGAN CARE</t>
  </si>
  <si>
    <t>RAD - NOURISH VEGAN CARE CL. 5</t>
  </si>
  <si>
    <t>COLLAGEN-F PRO</t>
  </si>
  <si>
    <t>SOL. COLLAGEN-F PRO CL. 5</t>
  </si>
  <si>
    <t>5. Productos farmacéuticos de uso humano, productos para el tratamiento o prevención de enfermedades óseas, articulares y dermatológicas, preparaciones para uso médico y veterinario; productos higiénicos y sanitarios para uso médico; alimentos y sustancias dietéticas para uso médico o veterinario, suplementos dietarios, alimentos para bebés; complementos alimenticios para personas o animales; emplastos, material para apósitos; material para empastes e improntas dentales; desinfectantes; productos para eliminar animales dañinos; fungicidas, herbicidas.</t>
  </si>
  <si>
    <t>RASIDES</t>
  </si>
  <si>
    <t>RASIDES-1-3-2023</t>
  </si>
  <si>
    <t>ALPHISOL</t>
  </si>
  <si>
    <t>02 mar. 2023</t>
  </si>
  <si>
    <t>ANTALVET</t>
  </si>
  <si>
    <t>FRIPETS</t>
  </si>
  <si>
    <t>HALATAL</t>
  </si>
  <si>
    <t>PROLEVAN</t>
  </si>
  <si>
    <t>XTRACAL</t>
  </si>
  <si>
    <t>ZEUS</t>
  </si>
  <si>
    <t>Ensusalud</t>
  </si>
  <si>
    <t>13 mar. 2023</t>
  </si>
  <si>
    <t>Grupo C&amp;V SAS,  Calle 36 Sur #51D - 84, BOGOTÁ, D.C., CO</t>
  </si>
  <si>
    <t>5. Complementos alimenticios de vitaminas y minerales; complementos dietéticos de vitaminas; multivitaminas; pastillas de vitaminas; vitaminas para adultos; vitaminas para niños; complementos alimenticios en polvo a base de proteinas; aerosoles y cremas de hierbas medicinales de uso externo; cremas de uso dermatológico; lociones y cremas medicamentosas para el cuerpo, piel, rostro y manos; lociones medicinales contra las quemaduras solares; preparaciones con filtro solar, medicinales; preparaciones medicinales de protección solar; mezclas para bebidas en cuanto complementos dietéticos; lociones capilares medicinales; preparaciones medicinales para el cuidado capilar.</t>
  </si>
  <si>
    <t>Martha Consuelo Mahecha Vera, Cr 118 #86-20 interior 51 apto 204, BOGOTÁ, D.C. 111011, CO</t>
  </si>
  <si>
    <t>REDULIP</t>
  </si>
  <si>
    <t>03 mar. 2023</t>
  </si>
  <si>
    <t>5. Suplementos dietéticos.</t>
  </si>
  <si>
    <t>SINOCHRON</t>
  </si>
  <si>
    <t>SINOCHRON-3-3-2023</t>
  </si>
  <si>
    <t>A BIT EVERY DAY A BETTER DAY</t>
  </si>
  <si>
    <t>06 mar. 2023</t>
  </si>
  <si>
    <t>A BIT</t>
  </si>
  <si>
    <t>HYPATIA S.A.S., CR 42B NO 23A SUR 84 IN 301, MEDELLIN, ANTIOQUIA, CO</t>
  </si>
  <si>
    <t>5, 30, 32, 43</t>
  </si>
  <si>
    <t>5. Productos farmacéuticos; preparaciones sanitarias y higiénicas para uso médico; alimentos y sustancias dietéticas para uso médico o veterinario; alimentos para bebés y niños pequeños; suplementos alimenticios; emplastos, material para apósitos; desinfectantes; preparaciones para el control de animales dañinos; preparaciones para repeler animales dañinos; fungicidas, herbicidas; aditivos minerales para productos alimenticios de consumo humano; aditivos nutricionales para la alimentación animal para uso médico; alimentos dietéticos para uso médico; alimentos para bebés; alimentos para bebés especialmente leche en polvo para bebés; alimentos para diabéticos; alimentos para niños; alimentos y suplementos alimenticios sin gluten, todos adecuados a fines médicos; antioxidantes utilizados como complementos alimenticios; antioxidantes utilizados como suplementos alimenticios; complementos alimenticios; complementos alimenticios dietéticos en cápsulas; complementos alimenticios minerales; complementos alimenticios minerales para seres humanos; complementos alimenticios para personas; complementos alimenticios para personas o animales; mezclas para bebidas en cuanto complementos dietéticos; preparaciones para elaborar bebidas medicinales; proteína vegana en cuanto complemento nutricional de bebidas listas para beber; proteína vegana en cuanto suplemento nutricional de bebidas listas para beber.
30. Café, té, cacao y sus sucedáneos; arroz*; pastas alimenticias; tapioca y sagú; harinas y preparaciones a base de cereales; pan, productos de pastelería y confitería; chocolate; helados cremosos; azúcar, miel, jarabe de melaza; levadura, polvos de hornear; sal; productos para sazonar; especias; mezclas de especias; hierbas en conserva; mostaza; vinagre con mostaza; salsas [condimentos]; vinagre, salsas [condimentos]; alimentos a base de avena; alimentos de aperitivo a base de almidón de yuca extrudido; alimentos para picar a base de granola; alimentos para picar a base de maíz extrudido; alimentos para picar a base de muesli; alimentos para picar a base de trigo; alimentos para picar a base de trigo extrudido; alimentos para refrigerios a base de cereales sin gluten.
32. Cervezas; aguas minerales y gaseosas y otras bebidas sin alcohol; bebidas a base de frutas y zumos de frutas; siropes y otras preparaciones para elaborar bebidas; aguas minerales y gaseosas, y otras bebidas sin alcohol; aguas minerales y otras bebidas sin alcohol; bebidas de jugos de frutas sin alcohol; bebidas de zumo de frutas, azúcar y agua; bebidas desalcoholizadas; bebidas energéticas sin azúcar; bebidas para deportistas; bebidas para deportistas que contienen electrólitos; bebidas para deportistas y bebidas energéticas; bebidas para el deporte; bebidas y zumos de frutas; siropes para bebidas; siropes para elaborar bebidas; siropes para elaborar bebidas sin alcohol; smoothies [bebidas de fruta, en las que predomina la fruta]; sorbetes [bebidas]; sorbetes [bebidas] con infusión de alcohol.
43. Servicios de restauración (alimentación); hospedaje temporal; facilitación de información en materia de preparación de alimentos y bebidas; preparación de alimentos; preparación de alimentos y bebidas; servicios de consultoría relacionados con la preparación de alimentos; servicios de preparación de alimentos; servicios de preparación de alimentos y bebidas; servicios de restauración (alimentación) y catering para eventos deportivos, conciertos, convenciones y exposiciones; servicios de restauración [alimentación]; suministro de alimentos y bebidas; suministro de información en materia de preparación de alimentos y bebidas.</t>
  </si>
  <si>
    <t>JUAN CAMILO VILLA BETANCOURT, Calle 1 #29-110 - Medellín, MEDELLIN, ANTIOQUIA, CO</t>
  </si>
  <si>
    <t>Erytrovit B</t>
  </si>
  <si>
    <t>DENOVA PHARMACEUTICAL S.A.S., Kilometro 2 Variante Chía, Vereda Canelón,, CAJICA, CUNDINAMARCA 250240, CO</t>
  </si>
  <si>
    <t>5. Preparaciones de vitaminas*; preparaciones que contienen vitamina b; preparaciones farmacéuticas; preparaciones farmacéuticas y veterinarias para uso médico.</t>
  </si>
  <si>
    <t>MAYED VARELA PARRA, KM 2 VARIANTE CHIA, CAJICA, CAJICA, CUNDINAMARCA, CO</t>
  </si>
  <si>
    <t>ONCO BCG</t>
  </si>
  <si>
    <t>SERUM INSTITUTE OF INDIA LTD., 212/2 HADAPSAR, OFF SOLI POONAWALLA ROAD, PUNE-41 1028, PUNE, IN</t>
  </si>
  <si>
    <t>5. Preparaciones biofármacos para el tratamiento del cáncer; preparaciones farmacéuticas; preparaciones farmacéuticas para el tratamiento del cáncer.</t>
  </si>
  <si>
    <t>JOSE LUIS ROMERO TOBIAS , AV 19 114 09 OF. 201, BOGOTÁ, D.C., CO</t>
  </si>
  <si>
    <t>CONTRISO</t>
  </si>
  <si>
    <t>COLO-25238-701-017-3</t>
  </si>
  <si>
    <t>BASF AGRICULTURAL SOLUTIONS SEED US LLC, 100 Park Avenue Florham Park,, FLORHAM PARK, NEW JERSEY 07932, US</t>
  </si>
  <si>
    <t>1, 5, 31</t>
  </si>
  <si>
    <t>1. Productos químicos para la agricultura, la horticultura y la silvicultura, especialmente preparaciones para fortalecer las plantas; preparaciones químicas para el manejo del estrés en las plantas; preparaciones biológicas para el manejo del estrés en las plantas; preparaciones para regular el crecimiento de las plantas; preparaciones químicas para el tratamiento de las semillas; genes derivados de la biotecnología para ser utilizados en la fabricación de semillas agrícolas; tensioactivos para uso industrial, a saber, para uso agrícola.
5. Preparaciones para destruir y combatir animales dañinos; insecticidas, fungicidas, herbicidas, pesticidas.
31. Productos agrícolas, hortícolas y silvícolas, a saber, semillas para uso agrícola y hortícola, granos sin procesar y partes vegetales de plantas que son rizomas vivos.</t>
  </si>
  <si>
    <t>DERMALY</t>
  </si>
  <si>
    <t>MA 1086-2 DERMALY, CL.5</t>
  </si>
  <si>
    <t>DERMALY LABORATORIO S.A.S., Cra 15 # 85-23, BOGOTÁ, D.C., CO</t>
  </si>
  <si>
    <t>5. Suplementos dietarios; productos farmacéuticos; preparaciones para uso médico; productos higiénicos y sanitarios para uso médico; alimentos y sustancias dietéticas para uso médico; alimentos para bebés; complementos alimenticios para personas; emplastos, material para apósitos; material para empastes e improntas dentales.</t>
  </si>
  <si>
    <t>Felipe  Serrano Pinilla, Calle 76 # 8-28, BOGOTA, CUNDINAMARCA 5, CO</t>
  </si>
  <si>
    <t>BOWIE GOOD PET FOOD</t>
  </si>
  <si>
    <t>08 mar. 2023</t>
  </si>
  <si>
    <t>Sergio Fog Pombo, Carrera 19A # 122 - 33, BOGOTÁ, D.C. 110111, CO</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</si>
  <si>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los sustitutos de comidas y los alimentos y bebidas dietéticos para uso médico o veterinario, suplementos para animales.
31. Productos agrícolas, acuícolas, hortícolas y forestales en bruto y sin procesar; granos y semillas en bruto o sin procesar; frutas y verduras, hortalizas y legumbres frescas, hierbas aromáticas frescas; plantas y flores naturales; bulbos, plantones y semillas para plantar; animales vivos; productos alimenticios y bebidas para animales; malta, subproductos del procesamiento de cereales para la alimentación animal.</t>
  </si>
  <si>
    <t>MARIANA CASTILLO PINZON, CALLE 70 A NO. 4-78, BOGOTÁ, D.C., CO</t>
  </si>
  <si>
    <t>FosphoBact</t>
  </si>
  <si>
    <t>FOSPHOBACT</t>
  </si>
  <si>
    <t>VESALIUS PHARMA S.A.S., CARRERA 21 A NO 170 - 33, BOGOTÁ, D.C., CO</t>
  </si>
  <si>
    <t>5. Preparaciones farmacéuticas; preparaciones farmacéuticas antibacterianas; preparaciones farmacéuticas para el cuidado de la salud; preparaciones farmacéuticas para el tratamiento de enfermedades infecciosas; preparaciones farmacéuticas para el tratamiento de enfermedades raras; preparaciones farmacéuticas para el tratamiento de infecciones virales; medicamentos; medicamentos en forma de comprimidos; medicamentos en forma de pastillas; medicamentos en forma de píldoras; medicamentos en forma de tabletas; medicamentos líquidos; medicamentos para uso humano; medicamentos para uso médico.</t>
  </si>
  <si>
    <t>ROSA ELENA SILVA POLANCO, KR  21A No. 170-33, BOGOTÁ, D.C., CO</t>
  </si>
  <si>
    <t>09 ago. 2023</t>
  </si>
  <si>
    <t>REPELEX</t>
  </si>
  <si>
    <t>09 mar. 2023</t>
  </si>
  <si>
    <t>MEDKOVA LAB S.A.S, Calle 69A N° 99 - 07, BOGOTÁ, D.C., CO</t>
  </si>
  <si>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 repelentes de insectos.</t>
  </si>
  <si>
    <t>JEFFER FABIAN BENAVIDES MAYORGA, Cra 18C N° 1C-13, BOGOTA, CUNDINAMARCA, CO</t>
  </si>
  <si>
    <t>SUNIGI</t>
  </si>
  <si>
    <t>LABORATORIOS LEGRAND S.A, CALLE 19 NO. 68B-50, BOGOTÁ, D.C., CO</t>
  </si>
  <si>
    <t>ALERPET</t>
  </si>
  <si>
    <t>10 mar. 2023</t>
  </si>
  <si>
    <t>VALLECILLA B. Y VALLECILLA M. Y CIA S.C.A CARVAL DE COLOMBIA, Calle 15 # 32 450 km 2 acopi yumbo, YUMBO, VALLE DEL CAUCA, CO</t>
  </si>
  <si>
    <t>PILARCABRIO</t>
  </si>
  <si>
    <t>14 mar. 2023</t>
  </si>
  <si>
    <t>A.DIAZ-PERU-06</t>
  </si>
  <si>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pesticidas, insecticidas, vermicidas, rodenticidas, preparados para matar las malas hierbas y destruir bichos.</t>
  </si>
  <si>
    <t>VIRALIPS</t>
  </si>
  <si>
    <t>15 mar. 2023</t>
  </si>
  <si>
    <t>viralips</t>
  </si>
  <si>
    <t>MARTA YANET PARRA PUEYO, DIAGONAL 4 NO. 3 E - 35, CAJICA, CUNDINAMARCA, CO</t>
  </si>
  <si>
    <t>5. Agentes farmacéuticos que actúan sobre los órganos sensoriales; factores de coagulación humana en cuanto preparados farmacéuticos; productos farmacéuticos; productos farmacéuticos para el tratamiento de enfermedades infecciosas; productos farmacéuticos para tratar enfermedades virales; cremas labiales medicamentosas; cremas labiales medicinales; pomadas labiales medicamentosas; pomadas labiales medicinales.</t>
  </si>
  <si>
    <t>SN SPORTS NUTRITION</t>
  </si>
  <si>
    <t>Jhon Jairo   Hernández Burgos, calle 60 a sur # 68 08, BOGOTÁ, D.C. 110110, CO</t>
  </si>
  <si>
    <t>5. Preparaciones y suplementos nutricionales para la salud; suplementos nutricionales líquidos; suplementos nutricionales y alimenticios; vitaminas, minerales y antioxidantes en cuanto suplementos nutricionales y dietéticos; complementos alimenticios en polvo a base de proteinas; suplementos alimenticios en polvo a base de proteinas.</t>
  </si>
  <si>
    <t>X RAY RAPID GEL</t>
  </si>
  <si>
    <t>M 2023/1411</t>
  </si>
  <si>
    <t>GENOMMA LAB INTERNACIONAL S.A.B  DE C.V., Antonio Dovali Jaime 70, Torre C, piso 2, Despacho A, Col. Santa Fe, C.P. 01210, DELEGACIÓN DE ÁLVARO OBREGÓN, CIUDAD DE MEXICO, MX</t>
  </si>
  <si>
    <t>5. Productos farmacéuticos y medicamentos para uso humano; analgésicos; antiinflamatorios; preparaciones y sustancias farmacéuticas con propiedades antiinflamatorias. Multivitamínicos, suplementos dietarios.</t>
  </si>
  <si>
    <t>SAO</t>
  </si>
  <si>
    <t>WF 23147</t>
  </si>
  <si>
    <t>ALICORP HOLDCO ESPAÑA, S.L., 08037 -Barcelona, Pau Claris N° 165, 3a  planta, BARCELONA, BARCELONA 08037, ES</t>
  </si>
  <si>
    <t>1, 4, 5, 16, 30, 31, 35, 36, 39, 42, 45</t>
  </si>
  <si>
    <t>1. Productos químicos destinados a la industria, ciencia, fotografía, así como a la agricultura, horticultura y silvicultura; resinas artificiales en estado bruto, materias plásticas en estado bruto; abono para el suelo; composiciones extintoras, preparaciones para templar y soldar metales, productos químicos destinados a conservar los alimentos; materias curtientes; adhesivos (pegamentos) destinados a la industria.
4. Aceites y grasas para uso industrial; lubricantes; productos para absorber, rociar y asentar el polvo, combustibles (incluyendo gasolinas para motores) y materias de alumbrado; velas y mechas de iluminación.
5. Productos farmacéuticos y veterinarios; productos higiénicos y sanitarios para uso médico, sustancias dietéticas para uso médico, alimentos para bebés; emplastos, material para apósitos; material para empastes e improntas dentales; desinfectantes; productos para la destrucción de animales dañinos; fungicidas, herbicidas.
16. Papel, cartón y artículos de estas materias no comprendidos en otras clases; productos de imprenta; material de encuadernación; fotografías; artículos de papelería; adhesivos (pegamentos) para la papelería o para uso doméstico, material para artistas, pinceles; máquinas de escribir y artículos de oficina (excepto muebles), material de instrucción o material didáctico (excepto aparatos); materias plásticas para embalaje (no comprendidas en otras clases); caracteres de imprenta; clichés de imprenta.
30. Café, té, cacao, azúcar, arroz, tapioca, sagú, sucedáneos del café; harinas y preparaciones hechas a base de cereales, pan, productos de pastelería y de confitería, helados comestibles; miel, jarabe de melaza; levadura, polvos para esponjar, sal, mostaza; vinagre, salsas (condimentos); especias; hielo.
31. Productos agrícolas, hortícolas, forestales y granos, no comprendidos en otras clases; animales vivos; frutas y verduras, hortalizas y legumbres frescas; semillas, plantas y flores naturales; alimentos para los animales; malta.
35. Publicidad; gestión de negocios comerciales; administración comercial; trabajos de oficina.
36. Seguros; operaciones financieras; operaciones monetarias; negocios inmobiliarios.
39. Transporte; embalaje y almacenamiento de mercancías.
42. Servicios científicos y tecnológicos; así como servicios de investigación y diseño en estos ámbitos; servicios de análisis e investigación industriales; diseño y desarrollo de equipos informáticos y de software.
45. Servicios de seguridad para la protección de bienes y de personas; servicios personales y sociales prestados por terceros destinados a satisfacer necesidades individuales.</t>
  </si>
  <si>
    <t>KHAIRI</t>
  </si>
  <si>
    <t>22 mar. 2023</t>
  </si>
  <si>
    <t>SOLICITUD KHAIRI TUTEUR</t>
  </si>
  <si>
    <t>5. Productos farmacéuticos, preparaciones para uso médico; productos higiénicos y sanitarios para uso médico; alimentos y sustancias dietéticas para uso médico, alimentos para bebés; complementos alimenticios para personas o animales; emplastos, material para apósitos; material para empastes e improntas dentales.
42. Servicios científicos y tecnológicos; laboratorios médicos, laboratorios de investigación, servicios de laboratorios; servicios de ensayo de laboratorios.</t>
  </si>
  <si>
    <t>ARMONIZA TU SER</t>
  </si>
  <si>
    <t>23 mar. 2023</t>
  </si>
  <si>
    <t>JUAN SEBASTIAN GALLEGO AVILA, Cra41A NO 10 - 95, CALI, VALLE DEL CAUCA, CO</t>
  </si>
  <si>
    <t>3. Productos destinados para tratamientos de belleza de uso cosméticos tales como: geles, cremas, leches, lociones, gel y polvos para la cara y las manos; preparaciones para el bronceado y cuidado de la piel por el sol (productos cosméticos); agua de tocador; jabones de tocador; desodorantes para el cuerpo( de uso cosmético); preparaciones para maquillaje, aceites esenciales para uso personal, preparaciones cosméticas para el cuidado de las uñas, esmalte de uñas, removedores, dilusor de esmaltes, base fortalecedora de uñas, brillo secante, aceite humectante para uñas, barniz de uñas, removedores de barnices, lacas para el pintado, abrillantado, delineado, cuidado fortalecimiento y secado de las uñas; removedor de cutícula, jabón líquido, desodorantes, lápices para las cejas, labiales, maquillaje para uso cosmético, tónicos para la piel, tónicos cosméticos para la cara, toallitas para la higiene femenina no medicinal, toallitas o paños impregnados de productos limpiadores para la piel [de uso cosmético]; toallitas impregnadas de productos cosméticos; toallitas impregnadas de aceites esenciales, para uso cosmético; toallitas impregnadas con sustancias cosméticas; talco de tocador; sueros no medicinales para la piel de uso cosmético; sueros de belleza; sprays para el cuerpo [de uso cosmético]; sombras de ojos en polvo o en lápiz; sales de baño para uso cosmético; sales de baño no medicinales; revitalizantes cutáneos de uso cosmético; protectores labiales no medicinales; productos hidratantes antienvejecimiento; productos de tocador no medicinales; productos depilatorios; productos de perfumería, fragancias e incienso; aceites esenciales; productos de aromaterapia; preparaciones para baños de espuma [para uso cosmético]; preparaciones para antes y después del afeitado; preparaciones de afeitar y para antes y después de afeitar, incluidos geles, cremas y espumas; productos de tocador; aceites para el cabello, aceites para el cuerpo de uso cosmético aceites para masajes; aceites perfumados (de uso cosmético).
5. Aditivos minerales para productos alimenticios de consumo humano; alimentos y suplementos alimenticios sin gluten, todos adecuados a fines médicos; antioxidantes utilizados como complementos alimenticios; bacterias probióticas [complementos alimenticios]; bacterias probióticas en cuanto complementos alimenticios; bebidas de leche malteada en cuanto complementos alimenticios para bebés; complementos alimenticios; complementos alimenticios a base de aceite de linaza; complementos alimenticios de vitaminas y minerales; suplementos alimenticios; suplementos nutricionales y alimenticios.
35. Servicios de agencia de ventas de suplementos alimenticios dietéticos; servicios de tiendas mayoristas de productos alimenticios; compra y venta de todo tipo de productos de belleza, comercialización de productos cosméticos, comercialización; comercialización de productos; comercialización por internet; servicios de presentación de productos de comercialización; administración comercial; promoción, publicidad y marketing de sitios web en línea.</t>
  </si>
  <si>
    <t>NUTRISPORT</t>
  </si>
  <si>
    <t>28 mar. 2023</t>
  </si>
  <si>
    <t>ANA MARIA BERMUDEZ BUSTILLO, Carrera 4 # 7 - 17 Bocagrande, CARTAGENA, BOLIVAR, CO</t>
  </si>
  <si>
    <t>5. Preparaciones de proteínas para uso en cuanto aditivos de productos alimenticios para el consumo humano para uso médico; preparaciones de vitaminas para la alimentación humana; preparaciones de vitaminas y minerales; preparaciones dietéticas alimenticias para uso médico; preparaciones dietéticas para uso médico; preparaciones minerales para uso médico; preparaciones para uso médico y veterinario; preparaciones proteicas para uso en cuanto aditivos de productos alimenticios para el consumo humano para uso médico; preparaciones vitamínicas para el consumo humano; preparaciones vitamínicas y minerales para uso médico; preparaciones y complementos nutricionales para la salud; preparaciones y suplementos nutricionales para la salud; preparaciones y suplementos para la salud; suplementos y preparaciones dietéticas; suplementos y preparaciones nutricionales; alimentos y bebidas dietéticos para uso médico o veterinario; alimentos nutricionales y dietéticos para deportistas; bebidas a base de hierbas para uso médico; bebidas de electrolito para uso médico; bebidas de restitución de electrolitos para uso médico; bebidas dietéticas para bebés para uso médico; bebidas dietéticas para uso médico; bebidas enriquecidas con vitaminas para uso médico; bebidas medicinales; bebidas nutricionales en cuanto complementos alimenticios; bebidas nutricionales en cuanto suplementos alimenticios; bebidas nutricionales enriquecidas con prebióticos para uso dietético; bebidas nutricionales enriquecidas con vitaminas para uso dietético; bebidas nutricionales para uso dietético; bebidas nutricionales para uso médico; bebidas para uso médico; bebidas utilizadas como complementos dietéticos; bebidas utilizadas como sustitutos de las comidas para uso médico; complementos dietéticos en polvo con sabor a frutas para elaborar bebidas; complementos vitamínicos en comprimidos que disueltos en agua sirven para elaborar bebidas efervescentes; mezclas de bebidas dietéticas para aumentar el rendimiento deportivo para uso nutricional; mezclas de bebidas dietéticas para el control de peso; mezclas de bebidas dietéticas para mejorar el rendimiento para uso nutricional; alimentos y bebidas dietéticos para uso médico; alimentos y sustancias dietéticas para uso médico o veterinario, alimentos para bebés.
32. Bebidas electrolitas isotónicas sin gas; bebidas electrolíticas en cuanto bebidas isotónicas no carbonatadas; bebidas isotónicas; concentrados para la elaboración de bebidas electrolíticas isotónicas sin gas; bebidas carbónicas sin alcohol; bebidas con sabor a frutas; bebidas de malta sin alcohol; bebidas energéticas; bebidas energéticas sin azúcar; bebidas para deportistas; bebidas para deportistas que contienen electrólitos; bebidas para deportistas y bebidas energéticas; bebidas para el deporte; bebidas sin alcohol; bebidas sin alcohol fortificadas con vitaminas; bebidas sin alcohol que contienen zumos vegetales; bebidas y zumos de frutas; bebidas refrescantes sin alcohol; colas [bebidas refrescantes sin alcohol].</t>
  </si>
  <si>
    <t>RECHARGE</t>
  </si>
  <si>
    <t>29 mar. 2023</t>
  </si>
  <si>
    <t>EMBOTELLADORA DE BEBIDAS DEL TOLIMA S.A. EMBEBIDAS S.A., EDIFICIO GASEOSAS GLACIAL VIA HONDA, MARIQUITA, TOLIMA, CO</t>
  </si>
  <si>
    <t>5. Bebidas de electrolitos para uso médico; bebidas de restitución de electrolitos para uso médico; alimentos y bebidas dietéticos para uso médico; bebidas de electrolito para uso médico; bebidas dietéticas para bebés para uso médico; bebidas dietéticas para uso médico; bebidas dietéticas para uso veterinario; bebidas enriquecidas con elementos nutricionales para uso médico; bebidas enriquecidas con vitaminas para uso médico; bebidas medicinales; bebidas medicinales en forma de licores tónicos; bebidas medicinales en forma de licores tónicos aromatizados; bebidas medicinales en la forma de suplementos dietéticos para la desintoxicación del colon; bebidas medicinales en la forma de suplementos dietéticos para la desintoxicación del hígado; bebidas nutricionales en cuanto suplementos alimenticios; bebidas nutricionales enriquecidas con prebióticos para uso dietético; bebidas nutricionales enriquecidas con probióticos para uso dietético; bebidas nutricionales enriquecidas con vitaminas para uso dietético; bebidas nutricionales para uso dietético; bebidas nutricionales para uso médico; bebidas para diabéticos a base de zumos de frutas, adaptadas a fines médicos; bebidas para uso médico; bebidas utilizadas como complementos dietéticos; bebidas utilizadas como sustitutos de las comidas para uso médico; complementos dietéticos en polvo con sabor a frutas para elaborar bebidas; complementos dietéticos para animales de compañía, a saber, bebidas en polvo; complementos vitamínicos en comprimidos que disueltos en agua sirven para elaborar bebidas efervescentes; mezclas de bebidas dietéticas en cuanto sustitutos de comidas; mezclas de bebidas dietéticas en cuanto sustitutos de comidas para uso nutricional; mezclas de bebidas dietéticas para aumentar el rendimiento deportivo; mezclas de bebidas dietéticas para aumentar el rendimiento deportivo para uso nutricional; mezclas de bebidas dietéticas para mejorar el rendimiento; mezclas de bebidas dietéticas para mejorar el rendimiento para uso nutricional; mezclas de complementos nutricionales en polvo para bebidas; mezclas nutricionales para bebidas utilizadas como sustitutos de las comidas para uso médico; mezclas para bebidas dietéticas utilizadas como sustitutivos de las comidas, para uso médico; mezclas para bebidas dietéticas utilizadas como sustitutos de comidas para uso médico; mezclas para bebidas en cuanto complementos dietéticos; mezclas para bebidas utilizadas como sustitutos de las comidas para uso médico; mezclas para bebidas utilizadas como sustitutos de las comidas y complementos dietéticos para uso médico; preparaciones para elaborar bebidas dietéticas de uso médico; preparaciones para elaborar bebidas medicinales; preparaciones para la producción de bebidas para uso médico.
32. Ades [bebidas azucaradas sin alcohol de zumos de frutas diluidos]; agua de coco [bebidas]; agua enriquecida con vitaminas [bebidas]; aguas [bebidas]; aguas con gas enriquecidas con vitaminas [bebidas]; aguas enriquecidas con minerales [bebidas]; aguas minerales [bebidas]; aguas minerales y gaseosas y otras bebidas sin alcohol; aguas minerales y gaseosas, y otras bebidas sin alcohol; aguas minerales y otras bebidas sin alcohol; bebidas a base de coco; bebidas a base de fruta; bebidas a base de frutas; bebidas a base de frutas y zumos de frutas; bebidas a base de granos que no sean sucedáneos de la leche; bebidas a base de hielo aromatizado; bebidas a base de hortalizas; bebidas a base de jugo de aloe; bebidas a base de jugo de ananás; bebidas a base de jugo de arándano; bebidas a base de jugo de ciruela ahumada; bebidas a base de jugo de frutas; bebidas a base de jugo de tomate; bebidas a base de jugos de uva; bebidas a base de mezclas de zumos de frutas y hortalizas; bebidas a base de siropes de frutas [bebidas sin alcohol aromatizadas con frutas]; bebidas a base de siropes de plantas [bebidas sin alcohol aromatizadas con plantas]; bebidas a base de zumo de aloe; bebidas a base de zumo de arándano; bebidas a base de zumo de ciruela ahumada; bebidas a base de zumo de frutas; bebidas a base de zumo de manzana; bebidas a base de zumo de naranja; bebidas a base de zumo de piña; bebidas a base de zumo de tomate; bebidas a base de zumos de uva; bebidas aromatizadas con frutas; bebidas carbonatadas con sabor a frutas; bebidas carbonatadas heladas; bebidas carbónicas congeladas; bebidas carbónicas sin alcohol; bebidas con gas de jugo de frutas sin alcohol; bebidas con gas de zumo de frutas sin alcohol; bebidas con sabor a frutas; bebidas de agua de coco; bebidas de aloe vera sin alcohol; bebidas de cola; bebidas de frutas; bebidas de frutas de tamarindo; bebidas de frutas deshidratadas sin alcohol; bebidas de frutas secas sin alcohol; bebidas de frutas sin alcohol; bebidas de frutas y zumos de frutas; bebidas de guaraná; bebidas de jugo de uva; bebidas de jugos de frutas sin alcohol; bebidas de malta sin alcohol; bebidas de zumo de frutas, azúcar y agua; bebidas de zumo de jengibre en cuanto bebida de jengibre; bebidas de zumo de uva; bebidas electrolitas isotónicas sin gas; bebidas electrolíticas en cuanto bebidas isotónicas no carbonatadas; bebidas energéticas; bebidas energéticas con cafeína; bebidas energéticas con carnitina; bebidas energéticas con ginseng; bebidas energéticas con guaraná; bebidas energéticas con naranja amarga; bebidas energéticas con taurina; bebidas energéticas con yohimbe; bebidas energéticas impresas en 3d en tazas; bebidas energéticas impresas en policápulas 3d; bebidas energéticas que contienen cafeína; bebidas energéticas que contienen carnitina; bebidas energéticas que contienen ginseng; bebidas energéticas que contienen guaraná; bebidas energéticas que contienen naranja amarga; bebidas energéticas que contienen taurina; bebidas energéticas que contienen yohimbe; bebidas energéticas sin azúcar; bebidas enriquecidas con proteínas a base de plantas; bebidas enriquecidas con proteínas para deportistas; bebidas isotónicas; bebidas para deportistas; bebidas para deportistas que contienen electrólitos; bebidas para deportistas y bebidas energéticas; bebidas para el deporte; bebidas refrescantes sin alcohol; bebidas sin alcohol; bebidas sin alcohol a base de frutas aromatizadas con sabor a fresa; bebidas sin alcohol a base de frutas aromatizadas con sabor a granadina; bebidas sin alcohol a base de frutas aromatizadas con sabor a limón; bebidas sin alcohol a base de frutas aromatizadas con sabor a maracuyá; bebidas sin alcohol a base de frutas deshidratadas; bebidas sin alcohol a base de hierbas aromatizadas con sabor a menta verde; bebidas sin alcohol a base de jugo de hortalizas; bebidas sin alcohol a base de jugo de uva; bebidas sin alcohol a base de miel; bebidas sin alcohol a base de zumo de hortalizas; bebidas sin alcohol a base de zumo de uva; bebidas sin alcohol con sabor a café; bebidas sin alcohol con sabor a cerveza; bebidas sin alcohol con sabor a chocolate; bebidas sin alcohol con sabor a té; bebidas sin alcohol fortificadas con vitaminas; bebidas sin alcohol que contienen jugos vegetales; bebidas sin alcohol que contienen zumo de frutas; bebidas sin alcohol que contienen zumo de jengibre; bebidas sin alcohol que contienen zumos vegetales; bebidas y zumos de frutas; concentrados para la elaboración de bebidas electrolíticas isotónicas sin gas; concentrados utilizados en la preparación de bebidas para deportistas; esencias sin alcohol para elaborar bebidas; esencias sin alcohol para fabricar bebidas; esencias sin alcohol para la elaboración de bebidas no alcohólicas que no sean aceites esenciales; esencias sin alcohol para la elaboración de bebidas sin alcohol que no sean aceites esenciales; esencias sin alcohol, que no sean aceites esenciales, para la elaboración de bebidas sin alcohol; esencias y extractos de frutas sin alcohol para fabricar bebidas; extractos de frutas sin alcohol para elaborar bebidas; extractos de frutas sin alcohol para fabricar bebidas; extractos y extractos de frutas sin alcohol para elaborar bebidas; granita [bebidas a base de hielo aromatizado]; granita en cuanto bebidas granizadas aromatizadas; guaraná [jarabe para bebidas que no sean para uso médico, dietético o terapéutico]; jugo de apio [bebidas]; jugo de berro de agua [bebidas]; jugo de coco [bebidas]; jugo de espinacas [bebidas].</t>
  </si>
  <si>
    <t>ANDREA LORENA AMAYA GUTIERREZ, Carrera 13 No. 93-24, BOGOTÁ, D.C., CO</t>
  </si>
  <si>
    <t>STARCAT 4PLUS</t>
  </si>
  <si>
    <t>Clearview</t>
  </si>
  <si>
    <t>TQ BRANDS S. DE R. L., CALLE 23 No. 7-39, CALI, VALLE DEL CAUCA, CO</t>
  </si>
  <si>
    <t>5. Gotas y soluciones para uso oftálmico y oftalmológico.</t>
  </si>
  <si>
    <t>05 feb. 2024</t>
  </si>
  <si>
    <t>BONYPLUS</t>
  </si>
  <si>
    <t>EURAX</t>
  </si>
  <si>
    <t>CANADIOL</t>
  </si>
  <si>
    <t>5. Productos farmacéuticos, preparaciones para uso médico; productos higiénicos y sanitarios para uso médico; alimentos y sustancias dietéticas para uso médico, alimentos para bebés; suplementos alimenticios para personas; emplastos, material para apósitos; material para empastes e impresiones dentales; desinfectantes.</t>
  </si>
  <si>
    <t>IMPULSA</t>
  </si>
  <si>
    <t>30 mar. 2023</t>
  </si>
  <si>
    <t>COLO-25238-701-021-5</t>
  </si>
  <si>
    <t>5. Preparaciones para destruir y combatir animales dañinos; insecticidas, fungicidas, herbicidas, pesticidas.
31. Productos agrícolas, hortícolas y silvícolas, a saber, semillas para uso agrícola y hortícola, granos sin procesar y partes vegetales de plantas que son rizomas vivos.</t>
  </si>
  <si>
    <t>VOZAN</t>
  </si>
  <si>
    <t>31 mar. 2023</t>
  </si>
  <si>
    <t>MA32150-VOZAN</t>
  </si>
  <si>
    <t>DBM INTERNATIONAL CV, ZADELMAKERSTRAAT 98, 1991JE, VELSERBROEK, AMSTERDAM, NOORD-HOLLAND, NL</t>
  </si>
  <si>
    <t>5. Productos farmacéuticos para el tratamiento de enfermedades del aparato digestivo y para uso en terapias de salud digestiva; medicamentos para el tratamiento de enfermedades del aparato digestivo y para uso en terapias de salud digestiva. Se excluye expresamente los productos farmacéuticos y medicinas para uso ginecológico.</t>
  </si>
  <si>
    <t>OLAM KAVANAH עולם כוונה</t>
  </si>
  <si>
    <t>16 may. 2023</t>
  </si>
  <si>
    <t>KAVANAH</t>
  </si>
  <si>
    <t>CACAO KAVANAH S.A.S, CRA 14 #9A - 150 T4 AP202, CAJICA, CUNDINAMARCA 250240, CO</t>
  </si>
  <si>
    <t>3, 5, 30</t>
  </si>
  <si>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30. Café, té, cacao y sucedáneos del café; arroz; tapioca y sagú; harinas y preparaciones a base de cereales; pan, productos de pastelería y confitería; helados; azúcar, miel, jarabe de melaza; levadura, polvos de hornear; sal; mostaza; vinagre, salsas (condimentos); especias; hielo.</t>
  </si>
  <si>
    <t>CLAUDIA MARCELA  BLANCO MARTINEZ, CALLE 141 N0.7B-38, BOGOTÁ, D.C., CO</t>
  </si>
  <si>
    <t>SICMAFARMA UNA EMPRESA BIOSANO</t>
  </si>
  <si>
    <t>SICMAFARMA</t>
  </si>
  <si>
    <t>DISTRIBUIDORA SICMAFARMA S.A.S, CARRERA 19 NO. 120 - 71 OF. 515, BOGOTÁ, D.C., CO</t>
  </si>
  <si>
    <t>5. Elixires [preparaciones farmacéuticas]; fluidos intravenosos para rehidratar, nutrir y administrar preparaciones farmacéuticas; lociones farmacéuticas para la piel; preparaciones de diagnóstico radiofarmacéuticas; preparaciones farmacéuticas; preparaciones farmacéuticas para activar la función celular; preparaciones farmacéuticas para animales; preparaciones farmacéuticas antiepilépticas; preparaciones farmacéuticas a base de cal; preparaciones farmacéuticas para la cirugía ocular o intraocular; preparaciones farmacéuticas contra la máscara del embarazo [cloasma]; preparaciones farmacéuticas contra el resfriado; preparaciones farmacéuticas contra la tos; preparaciones farmacéuticas contra la tos y el resfriado; preparaciones farmacéuticas para el cuidado de la piel de los animales; preparaciones farmacéuticas para el cuidado de la salud; preparaciones farmacéuticas para cuidar la piel; preparaciones farmacéuticas dermatológicas; preparaciones farmacéuticas para evitar la formación de estrías; preparaciones farmacéuticas para evitar la formación de las manchas de embarazo; preparaciones farmacéuticas para hacer inhalaciones destinadas al tratamiento de la hipertensión pulmonar; preparaciones farmacéuticas para heridas; preparaciones farmacéuticas para hidratar la piel durante el embarazo; preparaciones farmacéuticas para inhaladores; preparaciones farmacéuticas para inhalar destinadas al tratamiento de enfermedades y trastornos respiratorios; preparaciones farmacéuticas para inhibir el hábito de fumar; preparaciones farmacéuticas para picaduras de insectos; preparaciones farmacéuticas para la prevención de la osteoporosis; preparaciones farmacéuticas para prevenir y tratar el cáncer; preparaciones farmacéuticas que contienen cafeína; preparaciones farmacéuticas para la quimioterapia; preparaciones farmacéuticas radiactivas para diagnósticos in vivo o para uso terapéutico; preparaciones farmacéuticas de regulación inmunitaria; preparaciones farmacéuticas para regular el sistema inmunitario; preparaciones farmacéuticas para el sistema nervioso central; preparaciones farmacéuticas para suprimir tumores; preparaciones farmacéuticas para el tratamiento de afecciones cutáneas; preparaciones farmacéuticas para el tratamiento de alergias; preparaciones farmacéuticas para el tratamiento anticaspa; preparaciones farmacéuticas para el tratamiento del asma; preparaciones farmacéuticas para el tratamiento del cáncer; preparaciones farmacéuticas para el tratamiento de la diabetes; preparaciones farmacéuticas para el tratamiento de la disfunción eréctil; preparaciones farmacéuticas para el tratamiento de la enfermedad de parkinson; preparaciones farmacéuticas para el tratamiento de la enfermedad por radiación; preparaciones farmacéuticas para el tratamiento de enfermedades autoinmunes; preparaciones farmacéuticas para el tratamiento de enfermedades cardiovasculares; preparaciones farmacéuticas para el tratamiento de enfermedades del sistema nervioso central; preparaciones farmacéuticas para el tratamiento de enfermedades digestivas; preparaciones farmacéuticas para el tratamiento de enfermedades infecciosas; preparaciones farmacéuticas para el tratamiento de enfermedades y afecciones oftálmicas; preparaciones farmacéuticas para el tratamiento de la esclerosis múltiple; preparaciones farmacéuticas para el tratamiento de la gota; preparaciones farmacéuticas para el tratamiento de lesiones deportivas; preparaciones farmacéuticas para el tratamiento de la osteoporosis; preparaciones farmacéuticas para el tratamiento de quemaduras solares; preparaciones farmacéuticas para el tratamiento de la rinitis alérgica; preparaciones farmacéuticas para el tratamiento de la rinitis alérgica y del asma; preparaciones farmacéuticas para el tratamiento de trastornos del ritmo cardíaco; preparaciones farmacéuticas para el tratamiento de trastornos hormonales; preparaciones farmacéuticas para el tratamiento de trastornos hormonales y la prevención de la osteoporosis; preparaciones farmacéuticas para el tratamiento de tumores malignos; preparaciones farmacéuticas para el tratamiento y profilaxis de enfermedades de la piel y las uñas; preparaciones farmacéuticas para tratar desequilibrios químicos; preparaciones farmacéuticas para tratar enfermedades respiratorias; preparaciones farmacéuticas para tratar enfermedades virales; preparaciones farmacéuticas para tratar enfermedades y trastornos del sistema inmunitario; preparaciones farmacéuticas para tratar enfermedades óseas; preparaciones farmacéuticas para tratar fracturas óseas; preparaciones farmacéuticas para tratar los gusanos en animales domésticos; preparaciones farmacéuticas para tratar la hipercolesterolemia; preparaciones farmacéuticas para tratar la hiperlipidemia; preparaciones farmacéuticas para tratar la hipertensión; preparaciones farmacéuticas para tratar insolaciones; preparaciones farmacéuticas para tratar la sequedad de la piel durante el embarazo; preparaciones farmacéuticas para tratar trastornos del sistema nervioso periférico; preparaciones farmacéuticas para uso humano; preparaciones farmacéuticas para uso ocular; preparaciones farmacéuticas para uso odontológico; preparaciones farmacéuticas para uso oftalmológico; preparaciones farmacéuticas para uso oncológico; preparaciones farmacéuticas para uso urológico; preparaciones químico-farmacéuticas; preparaciones y sustancias farmacéuticas; preparaciones y sustancias farmacéuticas antialérgicas; preparaciones y sustancias farmacéuticas para la profilaxis del cáncer; preparaciones y sustancias farmacéuticas con propiedades analgésicas; preparaciones y sustancias farmacéuticas con propiedades antiinflamatorias; preparaciones y sustancias farmacéuticas con propiedades antipiréticas; preparaciones y sustancias farmacéuticas para el tratamiento del cáncer; preparaciones y sustancias farmacéuticas para el tratamiento de enfermedades gastrointestinales; preparaciones y sustancias farmacéuticas para tratar la piel y los tejidos dañados; preparaciones y sustancias farmacéuticas utilizadas en anestesiología; preparaciones y sustancias farmacéuticas utilizadas en ginecología; preparaciones y sustancias farmacéuticas utilizadas en oncología; preparaciones y sustancias farmacéuticas utilizadas en urología; soluciones farmacéuticas para diálisis; toallitas impregnadas de lociones farmacéuticas; toallitas y pañitos impregnados de lociones y cremas farmacéuticas; aceites medicinales para bebés; aerosoles medicinales; aerosoles medicinales para la garganta; aerosoles medicinales para uso bucal; aerosoles y cremas de hierbas medicinales de uso externo; agua de mar para baños medicinales; alcoholes medicinales; alimentos medicinales para animales; baños medicinales para uso terapéutico; bebidas medicinales; bálsamos analgésicos medicinales polivalentes; bálsamos medicinales para los labios; bálsamos medicinales para los pies; cactus procesado para uso medicinal o terapéutico; caramelos medicinales; champús medicinales; champús medicinales para animales de compañía; champús secos medicinales; complementos medicinales para alimentos destinados a los animales; compresas medicinales; cremas labiales medicinales; cremas medicinales; cremas medicinales antibióticas de amplio espectro; cremas medicinales para el cuidado de la piel; cremas medicinales para la piel; cremas medicinales para los pies; cremas medicinales para tratar afecciones dermatológicas; dentífricos medicinales; duchas medicinales para la higiene vaginal; ejuagues bucales medicinales anticaries; ejuagues dentales medicinales anticaries; emplastos medicinales; enjuagues bucales medicinales; enjuagues para la higiene bucal de uso medicinal; extractos de hierbas medicinales; extractos de hierbas medicinales para uso médico; extractos de hierbas para uso medicinal; extractos de plantas y hierbas para uso medicinal; geles medicinales aplicables con cepillo para el cuidado bucal; geles medicinales para el cuidado bucal; ginseng para uso medicinal; goma de mascar medicinal; hierbas medicinales; hierbas medicinales secas o conservadas; hisopos medicinales; infusiones de hierbas medicinales; infusiones medicinales; jabones medicinales; lociones capilares medicinales; lociones faciales medicinales; lociones medicinales; lociones medicinales contra la dermatitis del pañal; lociones medicinales contra las quemaduras solares; lociones medicinales para el cuerpo; lociones medicinales para después del afeitado; lociones medicinales para tratar afecciones dermatológicas; lociones y cremas medicinales para el cuerpo, piel, cara y manos; lodos medicinales; pastillas medicinales; pociones medicinales; polen de abeja procesado para uso medicinal o terapéutico; polvos medicinales para bebés; polvos medicinales para los pies; pomadas labiales medicinales; pomadas medicinales contra la dermatitis del pañal; pomadas mentoladas medicinales polivalentes; preparaciones para elaborar bebidas medicinales; preparaciones medicinales; preparaciones medicinales para adelgazar; preparaciones medicinales para el afeitado; preparaciones medicinales para el aseo de animales; preparaciones medicinales para el baño; preparaciones medicinales para baños oculares; preparaciones medicinales para el crecimiento del cabello; preparaciones medicinales para el cuidado bucal; preparaciones medicinales para el cuidado capilar; preparaciones medicinales para el cuidado de los labios; preparaciones medicinales para el cuidado de la piel; preparaciones medicinales para el cuidado de la salud; preparaciones medicinales para el cuidado y el tratamiento bucal; preparaciones medicinales para eliminar verrugas; preparaciones medicinales para limpiar la piel y las heridas; preparaciones medicinales para pulverización nasal; preparaciones medicinales para el tratamiento bucal; preparaciones medicinales para tratamientos cutáneos; preparaciones medicinales para tratar enfermedades infecciosas; preparaciones medicinales de uso bucal en gotas, cápsulas, pastillas y comprimidos; preparaciones químicas para uso medicinal; preparaciones terapéuticas medicinales para baños; preparaciones de tocador medicinales; preparaciones y sustancias medicinales; productos medicinales para lavarse las manos; propóleos para uso medicinal o terapéutico; raíces medicinales; relajantes musculares medicinales para el baño; sales de baño medicinales; sales y preparaciones medicinales para el baño; sucedáneos del azúcar para uso medicinal o terapéutico; toallitas impregnadas con sustancias medicinales; té medicinal; ungüentos medicinales para tratar afecciones dermatológicas; cápsulas a base de hierbas para potenciar la sexualidad masculina; geles de estimulación sexual; lubricantes sexuales; preparaciones de diagnóstico o tratamiento de trastornos relacionados con la fertilidad y reproducción sexual; preparaciones para reducir la actividad sexual.</t>
  </si>
  <si>
    <t>TOPIKORT</t>
  </si>
  <si>
    <t>FARMASER S.A.S., Calle 30 No. 11g-46, CALI, VALLE DEL CAUCA, CO</t>
  </si>
  <si>
    <t>Puerto Nelore</t>
  </si>
  <si>
    <t>04 abr. 2023</t>
  </si>
  <si>
    <t>AGROPECUARIA NUEVO MUNDO S.A.S., Carrera 43 A 6 SUR 15 OF. 225, MEDELLIN, ANTIOQUIA 050021, CO</t>
  </si>
  <si>
    <t>5, 31, 44</t>
  </si>
  <si>
    <t>5. Semen animal; semen animal para la inseminación artificial.
31. Ganado; ganado de cría; ganado para la cría.
44. Cría de ganado; servicios de sementales y de cría de ganado; bancos de embriones; servicios de bancos de embriones; bancos de semen; servicios de bancos de semen; servicios de cría de ganado para terceros en cuanto servicios de cría de sementales de pura raza; servicios de sementales para animales; servicios de sementales para caballos; servicios de sementales para ganado; servicios de sementales y de cría de animales.</t>
  </si>
  <si>
    <t>Melissa Jones Martínez, Carrera 27 # 20 sur 181 apto 1810, MEDELLIN, ANTIOQUIA 050021, CO</t>
  </si>
  <si>
    <t>DIABOXONE</t>
  </si>
  <si>
    <t>03 abr. 2023</t>
  </si>
  <si>
    <t>ADAMA AGAN LTD., P.O. Box 262, Northern Industrial Zone, ASHDOD, HADARON 7710201, IL</t>
  </si>
  <si>
    <t>5. Pesticidas, Insecticidas, Fungicidas y Herbicidas.</t>
  </si>
  <si>
    <t>CONVIT PHARMACEUTICALS</t>
  </si>
  <si>
    <t>08 abr. 2023</t>
  </si>
  <si>
    <t>CONVIT PHARMACEUTICALS SAS, Cl 134 No. 12 B 56, BOGOTÁ, D.C. 111111, CO</t>
  </si>
  <si>
    <t>5. Productos farmacéuticos, para ser importados, distribuidos y comercializados para uso médico en uso humano y/o veterinario; productos higiénicos y sanitarios para uso médico; alimentos y sustancias dietéticas para uso médico o veterinario, alimentos para bebés; complementos alimenticios para personas o animales, medicamentos de síntesis, fitoterapéuticos, homeopáticos, suplementos dietarios, medicamentos OTC, medicamentos con prescripción médica , oncológicos, biológicos , derivado de la sangres, plaquetas , hemoglobina entre otros.</t>
  </si>
  <si>
    <t>COVAXIN</t>
  </si>
  <si>
    <t>12 abr. 2023</t>
  </si>
  <si>
    <t>5. Vacuna para el COVID-19 únicamente para uso humano, excluyendo medicinas y productos farmacéuticos para fines únicamente veterinarios.</t>
  </si>
  <si>
    <t>BCOVAXIN</t>
  </si>
  <si>
    <t>EUCLID VISION GROUP</t>
  </si>
  <si>
    <t>COLO-27773-701-001-1</t>
  </si>
  <si>
    <t>Euclid Vision Group, 89 Nexus Way, Camana Bay, P.O. Box 31106, Grand Cayman, Islas Caimán., CAMANA BAY, GRAND CAYMAN, KY</t>
  </si>
  <si>
    <t>5, 9, 10</t>
  </si>
  <si>
    <t>5. Soluciones para lentes de contacto; gotas oftálmicas; soluciones farmacéuticas para el tratamiento de enfermedades y trastornos oculares.
9. Gafas [óptica]; lentes para gafas; lentes oftálmicas; lentes de contacto; lentes ópticas.
10. Lentes intraoculares; prótesis intraoculares del tipo de lentes para implantación quirúrgica; lentes de ortoqueratología; aparatos e instrumentos quirúrgicos para su uso en cirugía oftálmica; aparatos e instrumentos oftálmicos para uso diagnóstico y terapéutico; Aparatos y dispositivos médicos para uso diagnóstico para realizar pruebas y mediciones oftálmicas.</t>
  </si>
  <si>
    <t>Sanno-Taste</t>
  </si>
  <si>
    <t>13 abr. 2023</t>
  </si>
  <si>
    <t>C-2-643</t>
  </si>
  <si>
    <t>ADITIVOS Y QUIMICOS S.A.S  ADIQUIM S.A.S, VEREDA SAN JOSÉ, KILÓMETRO 1.5 AUTOPISTA MEDELLÍN - BOGOTÁ, GUARNE, ANTIOQUIA, CO</t>
  </si>
  <si>
    <t>5. Suplemento para animales, especialmente para perros.
31. Alimento para animales, especialmente para perros.</t>
  </si>
  <si>
    <t>GUSTAVO ADOLFO ORTEGA HERNANDEZ, CL 32D 80B 12, MEDELLIN, ANTIOQUIA, CO</t>
  </si>
  <si>
    <t>KEPINIA</t>
  </si>
  <si>
    <t>18 abr. 2023</t>
  </si>
  <si>
    <t>NELSON HERNAN DELGADO FUENTES, CRA 57 70 C 29, BOGOTA, CUNDINAMARCA, CO</t>
  </si>
  <si>
    <t>Ubtimab</t>
  </si>
  <si>
    <t>Registro Ubtimab</t>
  </si>
  <si>
    <t>PHARMALAB PHL LABORATORIOS S.A.S, Calle 85a #28b-34, BOGOTÁ, D.C. 110111, CO</t>
  </si>
  <si>
    <t>5. Medicamentos; medicamentos líquidos; medicamentos para uso humano; medicamentos para uso médico; medicamentos y agentes terapéuticos; productos farmacéuticos para uso humano; preparados farmacéuticos para uso en inmunoterapias; productos farmacéuticos; preparaciones biológicas para uso médico; preparaciones biológicas para uso médico o veterinario; preparaciones farmacéuticas; preparaciones farmacéuticas de regulación inmunitaria; preparaciones farmacéuticas para el cuidado de la salud; preparaciones farmacéuticas para el tratamiento de enfermedades autoinmunes; preparaciones farmacéuticas para personas; preparaciones farmacéuticas para uso humano; preparaciones farmacéuticas vendidas en inyectores precargadas; preparaciones farmacéuticas vendidas en jeringas precargadas; preparaciones farmacéuticas y veterinarias para uso médico.</t>
  </si>
  <si>
    <t>MAURICIO SIERRA COBA, CALLE 85A  No 28B-34 , BOGOTÁ, D.C., CO</t>
  </si>
  <si>
    <t>ALANI</t>
  </si>
  <si>
    <t>LLC42859</t>
  </si>
  <si>
    <t>5. Suplementos nutricionales; mezcla de bebida de suplemento nutricional en polvo que contiene proteínas; suplementos dietéticos; batidos de suplementos proteicos; suplementos de proteína de suero; suplementos dietéticos para antes del entrenamiento; complementos dietéticos proteicos formados y envasados en forma de barritas; complementos proteicos formados y empacados en forma de barritas; bebidas proteicas.
32. Agua con gas; bebidas energizantes; bebidas deportivas; polvos usados en la preparación de bebidas deportivas isotónicas y bebidas deportivas.</t>
  </si>
  <si>
    <t>ALANI NU</t>
  </si>
  <si>
    <t>LLC42860</t>
  </si>
  <si>
    <t>BIOTER</t>
  </si>
  <si>
    <t>19 abr. 2023</t>
  </si>
  <si>
    <t>BIOTER DIAGNOSTICA S.A.S., CALLE 22 NORTE No 5N - 29, CALI, VALLE DEL CAUCA, CO</t>
  </si>
  <si>
    <t>5. PRODUCTOS FARMACÉUTICOS Y VETERINARIOS; PRODUCTOS HIGIÉNICOS PARA LA MEDICINA; SUSTANCIAS DIETÉTICAS PARA USO MÉDICO, ALIMENTOS PARA BEBÉS; EMPLASTOS, MATERIAL PARA APÓSITOS; MATERIAL PARA EMPASTAR LOS DIENTES Y PARA IMPRONTAS DENTALES; DESINFECTANTES; PRODUCTOS PARA DESTRUCCIÓN DE ANIMALES DAÑINOS; FUNGICIDAS, HERBICIDAS.</t>
  </si>
  <si>
    <t>ANDRES MARQUEZ ACOSTA, Carrera 43 A 5A 113 torre sur piso 14, MEDELLIN, ANTIOQUIA, CO</t>
  </si>
  <si>
    <t>MECTIMAX GOLD</t>
  </si>
  <si>
    <t>21 abr. 2023</t>
  </si>
  <si>
    <t>5. Productos farmacéuticos para uso veterinario; preparaciones farmacéuticas para uso veterinario; medicamentos para uso veterinario; preparaciones veterinarias; medicamentos antiparasitarios para uso veterinario en el ganado; productos y preparaciones antiparasitarios para uso veterinario en el ganado; productos y preparaciones parasiticidas para uso veterinario en el ganado; medicamentos parasiticidas para uso veterinario en el ganado.</t>
  </si>
  <si>
    <t>25 abr. 2023</t>
  </si>
  <si>
    <t>5. PRODUCTOS FARMACEUTICOS USO HUMANO.
32. AGUAS MINERALES Y OTRAS BEBIDAS NO ALCOHOLICAS, BEBIDAS Y ZUMOS DE FRUTAS, SIROPES Y OTRAS PREPARACIONES PARA HACER BEBIDAS, CERVEZAS.</t>
  </si>
  <si>
    <t>PROSLIV</t>
  </si>
  <si>
    <t>PEDRO LUIS OSORIO MESA, CARRERA 14 No 14 A 70 M F CA 17 EL DIAMANTE, CARTAGO, VALLE DEL CAUCA 762021, CO</t>
  </si>
  <si>
    <t>5. Preparados para aumentar el deseo sexual; vitaminas para adultos.</t>
  </si>
  <si>
    <t>BIONOTEVCHECK</t>
  </si>
  <si>
    <t>M20608</t>
  </si>
  <si>
    <t>5. Preparaciones veterinarias para el diagnóstico de la tuberculosis; vacunas para uso veterinario; reactivos veterinarios de diagnóstico para la inmunización contra enfermedades; adyuvantes para vacunas de uso veterinario; preparaciones y sustancias veterinarias; reactivos para pruebas genéticas veterinarias; anticuerpos para uso veterinario; reactivos químicos para uso veterinario; reactivos para uso veterinario; reactivos de diagnóstico para uso veterinario; preparaciones biológicas para uso veterinario; fermentos para uso veterinario; reactivos y medios de diagnóstico veterinario; fármacos para uso veterinario; reactivos para diagnósticos clínicos veterinarios; cartuchos precargados con preparaciones de pruebas de diagnóstico para uso veterinario; tiras reactivas de diagnóstico veterinario.</t>
  </si>
  <si>
    <t>EVADYNE</t>
  </si>
  <si>
    <t>26 abr. 2023</t>
  </si>
  <si>
    <t>ESSEX INTELLECTUAL PROPERTIES S.A.S., Carrera 16 93A 36 Oficina 903, BOGOTÁ, D.C. 110110, CO</t>
  </si>
  <si>
    <t>Zulma Garzón Rozo, Carrera 16 93a 36 Of 903, BOGOTÁ, D.C. 110221, CO</t>
  </si>
  <si>
    <t>11 dic. 2023</t>
  </si>
  <si>
    <t>DORMEKTA 2%</t>
  </si>
  <si>
    <t>SOLICITUD DORMEKTA 2% - CLASE 5</t>
  </si>
  <si>
    <t>5. PRODUCTO FARMACÉUTICO VETERINARIO.</t>
  </si>
  <si>
    <t>ETORISE</t>
  </si>
  <si>
    <t>SOLICITUD ETORISE - CLASE 5</t>
  </si>
  <si>
    <t>SUN PHARMACEUTICAL INDUSTRIES LIMITED, SUN HOUSE, 201 B/1, WESTERN EXPRESS HIGHWAY, GOREGAON- EAST, MUMBAI-400063, INDIA, MUMBAI, MAHARASHTRA, IN</t>
  </si>
  <si>
    <t>5. Preparaciones farmacéuticas y medicinales para el alivio sintomático de la osteoartritis, la artritis reumatoide, la espondilitis anquilosante y el dolor y los signos de inflamación asociados a la artritis gotosa aguda; Preparaciones farmacéuticas para el tratamiento a corto plazo del dolor moderado asociado a la cirugía dental.</t>
  </si>
  <si>
    <t>A-YEAST</t>
  </si>
  <si>
    <t>CHURCH &amp; DWIGHT CO., INC., 500 CHARLES EWING BOULEVARD, EWING, NEW JERSEY 08628, ESTADOS UNIDOS DE AMÉRICA, EWING, NEW JERSEY, US</t>
  </si>
  <si>
    <t>5. Aditivos nutritivos para alimentos de animales.</t>
  </si>
  <si>
    <t>PATRICIA  RENJIFO ARANA , CARRERA 2A # 72-30, BOGOTÁ, D.C., CO</t>
  </si>
  <si>
    <t>ACID-A-PRO</t>
  </si>
  <si>
    <t>MRQ</t>
  </si>
  <si>
    <t>RINHALER</t>
  </si>
  <si>
    <t>28 abr. 2023</t>
  </si>
  <si>
    <t>PROTEA</t>
  </si>
  <si>
    <t>30 abr. 2023</t>
  </si>
  <si>
    <t>PROTEA SAS, Cra 68 BIS # 1 - 38 Sur, BOGOTÁ, D.C., CO</t>
  </si>
  <si>
    <t>1. Abonos para uso agrícola; acondicionadores de suelos con fines agrícolas; acondicionadores de suelos para uso agrícola; aditivos prebióticos para uso en el crecimiento de productos agrícolas y plantas; fertilizantes para uso agrícola; fertilizantes sintéticos para uso agrícola; genes de origen biotecnológico destinados a la producción de semillas agrícolas; productos químicos de tratamiento de semillas para uso agrícola; productos químicos para uso agrícola, excepto fungicidas, herbicidas, insecticidas y parasiticidas; productos químicos para uso agrícola, hortícola y forestal, excepto fungicidas, herbicidas, insecticidas y parasiticidas; reguladores de crecimiento vegetal para uso agrícola; reguladores del crecimiento vegetal para uso agrícola.
5. Fungicidas para uso agrícola; acaricidas para uso agrícola; alguicidas para uso agrícola; herbicidas para uso agrícola; insecticidas para uso agrícola.</t>
  </si>
  <si>
    <t>CHIQUINQUIRA ARIAS, CRA 68 BIS # 1-38 SUR, BOGOTÁ, D.C., CO</t>
  </si>
  <si>
    <t>ELEEVA POWERFUL EXISTENCE</t>
  </si>
  <si>
    <t>05 may. 2023</t>
  </si>
  <si>
    <t>eleeva</t>
  </si>
  <si>
    <t>GRUPO IMASD S.A.S, CRA 30 # 10 C 228 OFC. 533, MEDELLIN, ANTIOQUIA, CO;  AITIA BIOTECH S.A.S., Carrera 51 B 12 SUR 82, MEDELLIN, ANTIOQUIA, CO</t>
  </si>
  <si>
    <t>5. Complementos dietéticos naturales para tratar la claustrofobia; complementos homeopáticos; agentes de administración en forma de películas solubles de comprimidos que facilitan la administración de suplementos nutricionales, agentes de administración en forma de recubrimientos de comprimidos que facilitan la administración de suplementos nutricionales;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fibra alimentaria como ingrediente para la fabricación de suplementos dietéticos; parches de suplementos vitamínicos, parches transdérmicos que facilitan el suministro de suplementos dietéticos,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minerales; suplementos alimenticios a base de oligoelementos; suplementos alimenticios a base de propóleos, suplementos alimenticios a base de proteínas;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que no sean para uso médico; suplementos alimenticios dietéticos en forma de gránulos; suplementos alimenticios dietéticos en forma de gránulos, que no sean para uso médico; suplementos alimenticios dietéticos en forma de polvo, que no sean para uso médico; suplementos alimenticios minerales; suplementos alimenticios minerales para seres humanos; suplementos alimenticios para humanos; suplementos alimenticios para personas; suplementos alimenticios para personas o animales; suplementos alimenticios para seres humanos; suplementos alimenticios para uso veterinario; suplementos alimenticios probióticos; suplementos alimenticios probióticos en cápsulas; suplementos alimenticios proteicos en polvo; suplementos alimenticios que no sean para uso médico; suplementos de hierbas líquidos; suplementos de oligoelementos para productos alimenticios de consumo humano; suplementos alimenticios para uso farmacéutico; suplementos nutricionales a base de extractos fúngicos.</t>
  </si>
  <si>
    <t>OXITANE</t>
  </si>
  <si>
    <t>03 may. 2023</t>
  </si>
  <si>
    <t>900990146</t>
  </si>
  <si>
    <t>KENKO MEDICARE SAS, CARRERA 13 #63 39 OF 904, BOGOTÁ, D.C. 110231, CO</t>
  </si>
  <si>
    <t>5. Desinfectantes para equipos e instrumentos médicos y odontológicos.</t>
  </si>
  <si>
    <t>ALONSO MORA PLAZAS, CARRERA 13 # 63 39 OF 904, BOGOTÁ, D.C., CO</t>
  </si>
  <si>
    <t>DESINFECTANTE CONCENTRADO SIP</t>
  </si>
  <si>
    <t>SIP</t>
  </si>
  <si>
    <t>BARRAZA Y COMPAÑIA S.A., AV. TRANSISTMICA, DISTRITO SAN MIGUELITO, MILLA 6 AL LADO DEL INSTITUTO RUBIANO, PANAMA, PA</t>
  </si>
  <si>
    <t>3. Preparaciones para blanquear y otras sustancias para lavar la ropa; preparaciones para limpiar, pulir, desengrasar y raspar.
5. Desinfectantes; productos para eliminar animales dañinos; fungicidas, herbicidas.</t>
  </si>
  <si>
    <t>NATALIA RAMIREZ ARENAS, Cra 22 #17-325 Kilómetro 5 Vía Las Palmas – Ofi. 748 , MEDELLIN, ANTIOQUIA, CO</t>
  </si>
  <si>
    <t>18 sept. 2023</t>
  </si>
  <si>
    <t>DUREXYL</t>
  </si>
  <si>
    <t>04 may. 2023</t>
  </si>
  <si>
    <t>5. Preparaciones oftálmicas.</t>
  </si>
  <si>
    <t>OH PRANA</t>
  </si>
  <si>
    <t>TFI WORLDWIDE SOLUTIONS COLOMBIA SAS , Carrera 38 # 1 - 171 Apartamento 1412, MEDELLIN, ANTIOQUIA, CO</t>
  </si>
  <si>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t>
  </si>
  <si>
    <t>CRONOS</t>
  </si>
  <si>
    <t>LLC43333</t>
  </si>
  <si>
    <t>SODIAK S.A., AUTOPISTA MEDELLIN KM 1.5 VIA SIBERIA, PARQUE AGROINDUSTRIAL DE OCCIDENTE, PAO BODEGA 113, COTA, CUNDINAMARCA, CO</t>
  </si>
  <si>
    <t>5. Herbicidas.</t>
  </si>
  <si>
    <t>BLING</t>
  </si>
  <si>
    <t>BLING (Mixta) CL 03 y 05</t>
  </si>
  <si>
    <t>A INVERSIONES, S.A.C., Corpac Nro.200, Provincia del Callao, Lima, CALLAO, LIMA, PE</t>
  </si>
  <si>
    <t>3. Preparaciones para blanquear y otras sustancias para lavar la ropa; preparaciones para limpiar, pulir, fregar y raspar, excluyendo lentes de contacto, soluciones de limpieza, desinfección y remojo. Todos los productos para uso doméstico y excluyendo cualquier producto de uso cosmético y de belleza.
5. Desinfectantes.</t>
  </si>
  <si>
    <t>NIXANIDA</t>
  </si>
  <si>
    <t>11 may. 2023</t>
  </si>
  <si>
    <t>Nümä Laboratorio de Vida Animal</t>
  </si>
  <si>
    <t>LABORATORIO CLINICO HEMATOLOGICO S.A.S., CARRERA 43C  # 5-33, MEDELLIN, ANTIOQUIA, CO</t>
  </si>
  <si>
    <t>5, 10, 31, 35, 42, 44</t>
  </si>
  <si>
    <t>5. Aditivos alimentarios medicinales para uso veterinario; agentes de diagnóstico para uso veterinario; alimentos y sustancias dietéticas para uso médico o veterinario; analgésicos para uso veterinario; antibióticos para uso veterinario; anticuerpos para uso veterinario; bacterióstatos para uso médico, odontológico y veterinario; bálsamos para uso veterinario; calostro para uso veterinario; complementos alimenticios para animales de uso veterinario; cultivos de microorganismos para uso veterinario; cultivos de tejidos biológicos para uso veterinario; células madre para uso veterinario; células vivas para uso veterinario; desinfectantes para uso veterinario; detergentes para uso veterinario; enzimas para uso veterinario; fórmulas bacterianas probióticas para uso veterinario; hormonas para uso veterinario; jarabes para uso veterinario; laxantes para uso veterinario; lociones para uso veterinario; marihuana para uso veterinario; medicamentos para uso veterinario; medios de hemocultivo para uso veterinario o médico;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biológicas para uso veterinario; preparaciones de aminoácidos para uso veterinario; preparaciones de diagnóstico para uso veterinario; productos de lavado insecticidas para uso veterinario; reactivos de diagnóstico veterinario; remedios para uso veterinario; supositorios para uso veterinario; sustitutos de comidas adaptados para uso veterinario; tinturas para uso veterinario; toallitas antibacterianas para uso veterinario; tónicos para uso veterinario; ungüentos para uso veterinario; vacunas para uso veterinario; botiquines de primeros auxilios para animales de compañía; collares antiparasitarios para animales; complementos vitamínicos y minerales para animales de compañía; desodorantes para bandejas de arena higiénica para animales de compañía; estimulantes alimenticios para animales; preparaciones farmacéuticas para animales.
10. Aparatos de rayos x para uso veterinario; aparatos de ultrasonido para uso veterinario; aparatos e instrumentos veterinarios; bolsas de extracción de sangre para uso veterinario; collares isabelinos para uso veterinario; electrocardiógrafos para uso veterinario; guantes para uso veterinario; instrumental de castración para uso veterinario; láseres para uso veterinario; prendas terapéuticas para animales; ruedas para animales de compañía [aparatos de ayuda a la movilidad].
31. Alimentos para animales; arena higiénica para animales; camas y lechos higiénicos para animales; galletas para animales; golosinas comestibles para animales de compañía; lechos para animales; objetos comestibles y masticables para animales; fortificantes para la alimentación animal; granos para la alimentación animal.
35. Servicios de tiendas mayoristas de preparaciones y artículos veterinarios; servicios de tiendas minoristas de preparaciones y artículos veterinarios; servicios de venta minorista o al mayorista de medicamentos veterinarios; servicios de tiendas mayoristas de instrumentos higiénicos para animales; servicios de tiendas mayoristas de lechos higiénicos para animales; servicios de tiendas mayoristas de piensos para animales; servicios de tiendas mayoristas de preparaciones para el aseo de animales; servicios de tiendas minoristas de instrumentos higiénicos para animales; servicios de tiendas minoristas de lechos higiénicos para animales; servicios de tiendas minoristas de piensos para animales; servicios de tiendas minoristas de preparaciones para el aseo de animales.
42. Servicios de laboratorios veterinarios; suministro de información y datos sobre investigación y desarrollo médicos y veterinarios.
44. Servicios de análisis veterinarios con fines diagnósticos; servicios de cuidado de mascotas [servicios médicos, veterinarios y de aseo]; servicios veterinarios; suministro de información sobre servicios veterinarios; análisis de la composición física de personas o animales para su aplicación en el ámbito de la medicina o la veterinaria; análisis de laboratorio relacionados con el tratamiento de animales; cuidados de higiene y de belleza para animales; pruebas genéticas de animales con fines de diagnóstico o de tratamiento; servicios de hospitales para animales de compañía; servicios de inseminación artificial para animales; servicios de quiropráctica para animales; servicios de salud y de belleza para animales.</t>
  </si>
  <si>
    <t>AGROVELCA DISTRIBUCIONES AGROPECUARIAS</t>
  </si>
  <si>
    <t>12 may. 2023</t>
  </si>
  <si>
    <t>solicitud registro de marca</t>
  </si>
  <si>
    <t>AGROVELCA SAS, calle 19 sur 6-20, NEIVA, HUILA, CO</t>
  </si>
  <si>
    <t>Gloria Ines Perilla Ramírez , Calle 19 sur # 6-20, NEIVA, HUILA, CO</t>
  </si>
  <si>
    <t>HATTORII 500 SC</t>
  </si>
  <si>
    <t>14 jun. 2023</t>
  </si>
  <si>
    <t>REGISTRO N. 3</t>
  </si>
  <si>
    <t>CORE BIOTECHNOLOGY S.A.S., AV. 4 # 8 NORTE - 67 OF 701, CALI, VALLE DEL CAUCA, CO</t>
  </si>
  <si>
    <t>12</t>
  </si>
  <si>
    <t>1. Productos químicos para la industria, la ciencia y la fotografía, así como para la agricultura, la horticultura y la silvicultura; productos químicos para la industria; abonos para suelos; preparaciones extintoras; productos químicos para conservar alimentos.
5. Fungicidas; fungicidas para uso agrícola; fungicidas, herbicidas; herbicidas.</t>
  </si>
  <si>
    <t>SEBASTIAN  COLLAZOS HERNANDEZ, AVENIDA 4 NORTE #8N-67 OF. 701 - ED. DON SEBAS, CALI, VALLE DEL CAUCA, CO</t>
  </si>
  <si>
    <t>28 ago. 2023</t>
  </si>
  <si>
    <t>ARVALION 20SC</t>
  </si>
  <si>
    <t>REGISTRO N. 8</t>
  </si>
  <si>
    <t>1. Abonos para el suelo; productos químicos para la industria, la ciencia y la fotografía, así como para la agricultura, la horticultura y la silvicultura; productos químicos para la silvicultura, excepto fungicidas, herbicidas, insecticidas y parasiticidas.
5. Fungicidas, herbicidas; herbicidas; fungicidas.</t>
  </si>
  <si>
    <t>ACARISIL 110 SC</t>
  </si>
  <si>
    <t>REGISTRO N. 9</t>
  </si>
  <si>
    <t>1. Productos químicos para la industria, la ciencia y la fotografía, así como para la agricultura, la horticultura y la silvicultura; abonos para suelos; abonos para el suelo; abonos químicos.
5. Fungicidas, herbicidas; herbicidas.</t>
  </si>
  <si>
    <t>Stracta Ortiga + Higuerilla</t>
  </si>
  <si>
    <t>REGISTRO N. 14</t>
  </si>
  <si>
    <t>1. Productos químicos para la industria; productos químicos para la industria, la ciencia y la fotografía, así como para la agricultura, la horticultura y la silvicultura; abonos para el suelo.
5. Herbicidas; herbicidas para uso agrícola; fungicidas para uso agrícola.</t>
  </si>
  <si>
    <t>Stracta Orégano</t>
  </si>
  <si>
    <t>REGISTRO N. 15</t>
  </si>
  <si>
    <t>1. Productos químicos para la industria, la ciencia y la fotografía, así como para la agricultura, la horticultura y la silvicultura; abonos para el suelo.
5. Fungicidas; fungicidas para uso agrícola; herbicidas; herbicidas para uso agrícola.</t>
  </si>
  <si>
    <t>EPICO 750 WG</t>
  </si>
  <si>
    <t>REGISTRO N. 1</t>
  </si>
  <si>
    <t>1. Abonos para el suelo; productos químicos para la industria; productos químicos para la industria, la ciencia y la fotografía, así como para la agricultura, la horticultura y la silvicultura.
5. Fungicidas, herbicidas; herbicidas; herbicidas para uso agrícola; fungicidas; fungicidas para uso agrícola.</t>
  </si>
  <si>
    <t>AVANTEC VASCULAR</t>
  </si>
  <si>
    <t>M2023/000591</t>
  </si>
  <si>
    <t>AVANTEC VASCULAR CORPORATION, 870 Hermosa Drive, SUNNYVALE, CALIFORNIA 94085, US</t>
  </si>
  <si>
    <t>5. Agentes de administración de fármacos en forma de revestimiento para un dispositivo implantable que facilitan la administración de una amplia gama de productos farmacéuticos; agentes de administración de fármacos en forma de revestimiento para un dispositivo vascular implantable que facilitan la administración de una amplia gama de productos farmacéuticos; agentes de administración de fármacos en forma de revestimiento para una endoprótesis que facilitan la administración de una amplia gama de productos farmacéuticos; agentes de administración de fármacos en forma de revestimientos que facilitan la administración de preparados farmacéuticos; preparado farmacéutico para el tratamiento y la prevención de la retinosis; preparados farmacéuticos para el tratamiento y la prevención de la inflamación; preparados farmacéuticos cardiovasculares; agentes de liberación de fármacos consistentes en compuestos que facilitan la liberación de una amplia gama de productos farmacéuticos; preparados farmacéuticos y sustancias para el tratamiento de enfermedades y trastornos víricos, metabólicos, endocrinos, musculoesqueléticos, cardiovasculares, cardiopulmonares, genitourinarios, de disfunción sexual, oncológicos, hepatológicos, oftálmicos, respiratorios, neurológicos, gastrointestinales, hormonales, dermatológicos, psiquiátricos y relacionados con el sistema inmunitario.
10. Dispositivos médicos para su uso en el tratamiento de enfermedades vasculares; dispositivos médicos para su uso en el tratamiento de una trombosis; dispositivos médicos para su uso en el tratamiento de enfermedades cardiovasculares; dispositivos médicos para su uso en el tratamiento de aterosclerosis; instrumentos quirúrgicos, a saber, dispositivos de intervención; instrumentos quirúrgicos, a saber, dispositivos de trombectomía; instrumentos quirúrgicos, a saber, dispositivos de cirugía vascular; instrumentos quirúrgicos, a saber, dispositivos de arterioctomía; instrumentos quirúrgicos, sistemas de recuperación vascular; instrumentos quirúrgicos, a saber, guías vasculares; instrumentos quirúrgicos, a saber, dispositivos de bobina vascular; instrumentos quirúrgicos, a saber, sistemas de entrega de bobina vascular; instrumentos quirúrgicos, a saber, dispositivos de administración de medicamentos; instrumentos quirúrgicos, a saber, dispositivos de dilatación vascular; instrumentos quirúrgicos, a saber, dispositivos de endoprótesis vascular; instrumentos quirúrgicos, a saber, sistemas de entrega de vascular; instrumentos quirúrgicos, a saber, dispositivos de dilatación con globo; instrumentos quirúrgicos, a saber, dispositivos de retinosis.</t>
  </si>
  <si>
    <t>PAPELONADA</t>
  </si>
  <si>
    <t>17 may. 2023</t>
  </si>
  <si>
    <t>107259/1 PAPELONADA</t>
  </si>
  <si>
    <t>5. Complementos nutricionales en polvo para elaborar bebidas; suplementos alimenticios [dietéticos/nutricionales] en polvo.
32. Polvos para la elaboración de refrescos y bebidas.</t>
  </si>
  <si>
    <t>Carvill-D</t>
  </si>
  <si>
    <t>SOCIEDAD MEDICA CARDONA E HIJOS SAS, calle 55 no 73-57, BOGOTÁ, D.C., CO</t>
  </si>
  <si>
    <t>5. Alimentos para diabéticos; antioxidantes utilizados como complementos alimenticios; bebidas nutricionales en cuanto; complementos alimenticios; bebidas nutricionales en cuanto suplementos alimenticios; complementos alimenticios; complementos alimenticios a base de proteínas; complementos alimenticios a base de proteínas de soja; complementos; alimenticios a base de proteínas vegetales en forma de polvo; complementos alimenticios compuestos de aminoácidos; complementos alimenticios de vitaminas y minerales; complementos alimenticios dietéticos en forma de polvo; complementos; alimenticios dietéticos en polvo; complementos alimenticios dietéticos en polvo para uso médico; complementos alimenticios; en polvo a base de proteinas; complementos alimenticios en polvo a base de proteínas vegetales; complementos alimenticios; medicinales para consumo humano; complementos alimenticios minerales para seres humanos; complementos alimenticios; para humanos; complementos alimenticios para personas; complementos alimenticios proteicos en polvo; complementos; de vitaminas para productos alimenticios de consumo humano; complementos dietéticos para la alimentación humana; complementos nutricionales y alimenticios; complementos vitamínicos para productos alimenticios de consumo humano; fibras alimentarias; preparaciones de vitaminas para la alimentación humana; preparaciones vitamínicas para la alimentación; humana; preparados vitamínicos para la alimentación humana; proteínas de suero de leche [complementos alimenticios]; proteínas de suero de leche en cuanto complementos alimenticios; suplementos alimenticios; suplementos alimenticios; a base de proteínas vegetales en forma de polvo; suplementos alimenticios dietéticos en forma de polvo; suplementos; alimenticios dietéticos en polvo; suplementos alimenticios en polvo a base de proteinas; suplementos alimenticios en polvo a; base de proteínas vegetales; suplementos alimenticios para humanos; suplementos alimenticios para personas; suplementos; alimenticios proteicos en polvo; suplementos minerales para alimentos; suplementos nutricionales y alimenticios.</t>
  </si>
  <si>
    <t>julian jovanny  hernandez vargas , calle 55 no 73-57, BOGOTÁ, D.C., CO</t>
  </si>
  <si>
    <t>29 abr. 2024</t>
  </si>
  <si>
    <t>POSSESSION</t>
  </si>
  <si>
    <t>NUTRAMERICAN PHARMA S.A.S., ZF PACIFICO CRT YUMBO AER KM 6 MZ C BG 1, CALI, VALLE DEL CAUCA 763537, CO</t>
  </si>
  <si>
    <t>5. Complementos alimenticios compuestos de aminoácidos; suplementos alimenticios compuestos de aminoácidos; complementos alimenticios a base de aminoácidos; complementos dietéticos a base de aminoácidos; suplementos alimenticios a base de aminoácidos; suplementos dietéticos a base de aminoácidos; sustancias dietéticas de vitaminas, minerales, aminoácidos y oligoelementos; vitaminas; complejos vitamínicos; complementos vitamínicos; comprimidos de vitaminas; preparaciones de vitaminas; complementos dietéticos de vitaminas; preparaciones de vitaminas para el consumo humano; sustancias dietéticas de vitaminas, minerales, aminoácidos y oligoelementos, ya sean por separado o combinadas; vitaminas, minerales y antioxidantes en cuanto complementos nutricionales y dietéticos, bebidas enriquecidas con vitaminas para uso médico, bebidas nutricionales para uso dietético, bebidas utilizadas como complementos dietéticos, bebidas nutricionales enriquecidas con prebióticos para uso dietético, bebidas nutricionales en cuanto suplementos alimenticios, bebidas nutricionales en cuanto complementos alimenticios, bebidas medicinales en forma de licores tónicos.</t>
  </si>
  <si>
    <t>NUVOLA</t>
  </si>
  <si>
    <t>USTF10168341/CO</t>
  </si>
  <si>
    <t>1. Abonos para el suelo.
5. Pesticidas; insecticidas; herbicidas; fungicidas; nematicidas.</t>
  </si>
  <si>
    <t>GENIDERM</t>
  </si>
  <si>
    <t>25 may. 2023</t>
  </si>
  <si>
    <t>PRODUCTOS MEDICOS VETERINARIOS S.A. PROMEVET S.A., CALLE 18 # 31 - 28 BARRIO SAN ALONSO, BUCARAMANGA, SANTANDER 6800001, CO</t>
  </si>
  <si>
    <t>5. Medicamentos para uso veterinario; preparaciones químicas para uso veterinario.</t>
  </si>
  <si>
    <t>MARGARITA MARIA VARGAS PEREZ, CARRERA 39 # 44-125, BUCARAMANGA, SANTANDER 6800001, CO</t>
  </si>
  <si>
    <t>ZORDI</t>
  </si>
  <si>
    <t>5. PRODUCTOS Y PREPARACIONES PARA DESTRUIR LAS MALAS HIERBAS Y LOS ANIMALES DAÑINOS, FUNGICIDAS, HERBICIDAS.</t>
  </si>
  <si>
    <t>SUBLIME</t>
  </si>
  <si>
    <t>KUNA</t>
  </si>
  <si>
    <t>DUCCA</t>
  </si>
  <si>
    <t>MIKADO</t>
  </si>
  <si>
    <t>PATRIOTA</t>
  </si>
  <si>
    <t>24 may. 2023</t>
  </si>
  <si>
    <t>20 dic. 2023</t>
  </si>
  <si>
    <t>DUOVIT</t>
  </si>
  <si>
    <t>26 may. 2023</t>
  </si>
  <si>
    <t>DUOVIT 2023</t>
  </si>
  <si>
    <t>5. Suplementos de vitaminas para productos alimenticios de consumo humano; suplementos dietéticos; vitaminas, minerales y antioxidantes en cuanto suplementos nutricionales y dietéticos.</t>
  </si>
  <si>
    <t>MARIA VICTORIA ZAPATA CADAVID, CARRERA 16 NO. 86A-53, OFICINA 204, BOGOTÁ, D.C., CO</t>
  </si>
  <si>
    <t>OSTIK2</t>
  </si>
  <si>
    <t>OSTIK2 2023</t>
  </si>
  <si>
    <t>ECOLINE NITROTEC</t>
  </si>
  <si>
    <t>REGISTRO NITROTEC</t>
  </si>
  <si>
    <t>PACHAANA</t>
  </si>
  <si>
    <t>Ana Lucia Baena Gutierrez, Calle 33 # 10 - 91, guadalupe, DOSQUEBRADAS, RISARALDA, CO</t>
  </si>
  <si>
    <t>3. Cosméticos; cosméticos de belleza; cosméticos ecológicos; cosméticos naturales.
5. Preparaciones medicinales.
30. Salsas; especias.</t>
  </si>
  <si>
    <t>NIVOL</t>
  </si>
  <si>
    <t>31 may. 2023</t>
  </si>
  <si>
    <t>V-NOL</t>
  </si>
  <si>
    <t>PROBELTE S.A., Polígono La Polvorista, C/Ulea 22. 30200 Molina de Segura (Murcia) ESPAÑA, MOLINA DE SEGURA, MURCIA, ES</t>
  </si>
  <si>
    <t>5. Fungicidas; fungicidas biológicos; acaricidas; productos y preparaciones para el control de plagas; herbicidas; preparaciones para repeler animales dañinos; biopesticidas para la agricultura.</t>
  </si>
  <si>
    <t>Lomitap LOMITAPIDE</t>
  </si>
  <si>
    <t>01 jun. 2023</t>
  </si>
  <si>
    <t>strenuus marketing sas, CR 7 155C-20 OFC 3003, BOGOTÁ, D.C. 111156, CO</t>
  </si>
  <si>
    <t>SUMITECAGRO</t>
  </si>
  <si>
    <t>REGISTRO DE MARCA SUMITECAGRO</t>
  </si>
  <si>
    <t>5. Fungicidas; herbicidas; herbicidas para uso agrícola; herbicidas para uso doméstico; preparaciones herbicidas y pesticidas; preparaciones herbicidas y plaguicidas; acaricidas para uso agrícola; alguicidas para uso agrícola; fungicidas para uso agrícola; insecticidas para uso agrícola.</t>
  </si>
  <si>
    <t>GEMODIVEQ</t>
  </si>
  <si>
    <t>06 jun. 2023</t>
  </si>
  <si>
    <t>PFIZER INC., 66 Hudson Boulevard East, New York, NY 10001-2192, NEW YORK, NEW YORK, US</t>
  </si>
  <si>
    <t>5. Preparaciones farmacéuticas y veterinarias; preparaciones sanitarias para uso médico; alimentos y sustancias dietéticas para uso médico o veterinario, alimentos para bebés; complementos alimenticios para personas o animales; emplastos, material para apósitos; materiales para empastes e impresiones dentales; desinfectantes; productos para eliminar parásitos; fungicidas, herbicidas.</t>
  </si>
  <si>
    <t>DIOSMOTIL</t>
  </si>
  <si>
    <t>07 jun. 2023</t>
  </si>
  <si>
    <t>5. Productos farmacéuticos de uso humano y médico.</t>
  </si>
  <si>
    <t>BILISPOR</t>
  </si>
  <si>
    <t>ACO- UPL - JUNIO 2023</t>
  </si>
  <si>
    <t>5. Herbicidas, pesticidas, insecticidas, fungicidas, vermicidas, rodenticidas, herbicidas, preparaciones para matar malas hierbas y destruir alimañas.</t>
  </si>
  <si>
    <t>EDO CABIDOL</t>
  </si>
  <si>
    <t>5. PRODUCTOS FARMACÉUTICOS, PREPARACIONES PARA USO MÉDICO Y VETERINARIO; PRODUCTOS HIGIÉNICOS Y SANITARIOS PARA USO MÉDICO; ALIMENTOS Y SUSTANCIAS DIETÉTICAS PARA USO MÉDICO O VETERINARIO; COMPLEMENTOS ALIMENTICIOS PARA PERSONAS O ANIMALES; DESINFECTANTES; PRODUCTOS PARA ELIMINAR ANIMALES DAÑINOS; FUNGICIDAS, HERBICIDAS.</t>
  </si>
  <si>
    <t>Sawe</t>
  </si>
  <si>
    <t>Juan Fernando Herrera Cadavid, Calle 5B # 141-156 Casa 69 , CALI, VALLE DEL CAUCA 00000, CO</t>
  </si>
  <si>
    <t>3. Aceites aromáticos; aceites bronceadores; aceites cosméticos; aceites de aromaterapia; aceites de baño; aceites de limpieza; aceites de perfumería; aceites de protección solar; aceites de tocador; aceites esenciales; aceites faciales; aceites para el cabello; aceites para el cuerpo; aceites perfumados; geles, cremas y aceites de ducha; lociones, cremas y aceites de aplicación tópica para la piel y el cuerpo, de uso cosmético; productos de perfumería, aceites esenciales; champúes para el cabello; productos de enjuague para el cabello [champús acondicionadores]; acondicionadores de cabello; ceras para el cabello; cremas para el cabello de uso cosmético; enjuagues para el cabello; productos cosméticos para el cabello y el cuero cabelludo; productos hidratantes para el cabello; jabones antitranspirantes; jabones corporales no medicados; jabones cosméticos; jabones de baño; jabones para la piel; cremas líquidas y sólidas para la piel; cremas para la piel; emulsiones, geles y lociones para el cuidado de la piel; hidratantes para la piel; limpiadores de la piel; productos cosméticos para la piel; parches cosméticos con filtro y pantalla solar para aplicar sobre la piel; parches de estiramiento facial para uso cosmético; parches de gel para los ojos con fines cosméticos; parches de lifting facial para uso cosmético; parches que contienen preparaciones no medicinales para el cuidado de la pie; parches refrigerantes en gel para los ojos; desodorantes corporales; cosméticos; maquillaje; perfumes; sueros de belleza; sueros faciales; sueros para uso cosmético; cosméticos a base de cannabis.
5. Medicamentos fitoterapéuticos para el consumo humano; nutracéuticos para uso terapéutico; nutracéuticos utilizados como complementos dietéticos; parches transdérmicos que facilitan el suministro de nutracéuticos; aceites para uso médico; bálsamos para uso médico; bebidas dietéticas para uso médico; cánnabis para uso médico; cannabis medicinal en forma de aceites para facilitar la administración de fármacos; cannabis para uso médico; champús medicinales; drogas para uso médico; extractos de plantas para uso farmacéutico; extractos de plantas para uso médico; lociones para uso farmacéutico; medicamentos para uso médico; píldoras para adelgazar; preparaciones de vitaminas para el consumo humano; preparaciones de vitaminas para la alimentación humana; preparaciones de vitaminas y minerales; preparaciones de vitaminas*; preparaciones farmacéuticas; productos farmacéuticos; aceites para el cuidado de la piel [medicinales]; cremas medicinales para la piel; lociones farmacéuticas para la piel; lociones y cremas medicamentosas para el cuerpo, piel, cara y manos; preparaciones farmacológicas para cuidar la piel; preparaciones medicinales para el cuidado de la piel; champú para el crecimiento del cabello; estimulantes para el crecimiento del cabello; preparaciones medicinales para el crecimiento del cabello; suplementos alimenticios en polvo a base de proteinas.</t>
  </si>
  <si>
    <t>THE X BOX ENERGY</t>
  </si>
  <si>
    <t>08 jun. 2023</t>
  </si>
  <si>
    <t>U.S. COTTON COLOMBIA</t>
  </si>
  <si>
    <t>15 jun. 2023</t>
  </si>
  <si>
    <t>U.S COTTON COLOMBIA</t>
  </si>
  <si>
    <t>LABORATORIOS HIGIETEX S.A.S., CR 50A NRO. 43 13 PARQUE INDUSTRIAL SATEXCO, ITAGUI, ANTIOQUIA, CO</t>
  </si>
  <si>
    <t>3. Artículos de aseo personal compuestos principalmente por algodón; Algodón Impregnado de preparaciones desmaquillante; algodón para uso cosmético.
5. Productos higiénicos y sanitarios para uso médico; Algodón antiséptico; Antiséptico (Algodón -); Algodón aséptico; Algodón hidrófilo; Hidrófilo (Algodón -); Aséptico (Algodón -); Algodones desinfectantes; Algodón para uso médico.
35. Publicidad; gestión de negocios comerciales; administración comercial; trabajos de oficina; comercialización de productos como artículos de aseo personal compuestos principalmente por algodón; Algodón Impregnado de preparaciones desmaquillante; algodón para uso cosmético, roductos higiénicos y sanitarios para uso médico; Algodón antiséptico; Antiséptico (Algodón -); Algodón aséptico; Algodón hidrófilo; Hidrófilo (Algodón -); Aséptico (Algodón -); Algodones desinfectantes; Algodón para uso médico.</t>
  </si>
  <si>
    <t>FLORAPETS</t>
  </si>
  <si>
    <t>22 jun. 2023</t>
  </si>
  <si>
    <t>MAGNOVET S.A.S., CALLE 68 NO. 61-26, BOGOTÁ, D.C., CO</t>
  </si>
  <si>
    <t>5. Esencias florales para uso veterinario.</t>
  </si>
  <si>
    <t>NUTRESSEN BY MEDICAL FOODS</t>
  </si>
  <si>
    <t>23 jun. 2023</t>
  </si>
  <si>
    <t>Nutressen by MF</t>
  </si>
  <si>
    <t>JOSE ÁNGEL PATIÑO RAMOS, Calle 94 No. 51 B - 43 Oficina 401 Edificio Buró 51, BARRANQUILLA, ATLÁNTICO, CO</t>
  </si>
  <si>
    <t>5. Suplementos alimenticios; suplementos alimenticios a base de proteínas de suero de leche; suplementos alimenticios dietéticos en forma de polvo para uso médico; suplementos alimenticios dietéticos en polvo; suplementos alimenticios dietéticos en polvo para uso médico; suplementos alimenticios en forma líquida para uso médico; suplementos alimenticios medicinales para consumo humano.</t>
  </si>
  <si>
    <t>DANTRIUS-VP®</t>
  </si>
  <si>
    <t>29 jun. 2023</t>
  </si>
  <si>
    <t>5. Cápsulas para medicamentos; medicamentos; medicamentos autónomos para uso médico; medicamentos bioquímicos; medicamentos crudos; medicamentos en forma de comprimidos; medicamentos en forma de pastillas; medicamentos en forma de píldoras; medicamentos en forma de tabletas; medicamentos fitoterapéuticos para el consumo humano; medicamentos líquidos; medicamentos para uso humano; medicamentos para uso médico.</t>
  </si>
  <si>
    <t>DESPREZIN®</t>
  </si>
  <si>
    <t>5. Agentes de liberación de medicamentos; cápsulas para medicamentos; medicamentos; medicamentos autónomos para uso médico; medicamentos bioquímicos; medicamentos en forma de comprimidos; medicamentos en forma de pastillas; medicamentos en forma de píldoras; medicamentos en forma de tabletas; medicamentos líquidos; medicamentos para uso humano; medicamentos para uso médico.</t>
  </si>
  <si>
    <t>Artrovit</t>
  </si>
  <si>
    <t>26 jun. 2023</t>
  </si>
  <si>
    <t>ARTROVIT</t>
  </si>
  <si>
    <t>NATURLIFES GROUP INC, 150 S PINE ISLAND RD STE 300, PLANTATION; FLORIDA 33325, ESTADOS UNIDOS, PLANTATION, FLORIDA, US</t>
  </si>
  <si>
    <t>5. Complementos nutricionales a base de glucosamina; complementos nutricionales; complementos nutricionales a base de ácido hialurónico; complementos dietéticos que consisten principalmente en magnesio; suplementos nutricionales que consisten principalmente en magnesio; complementos alimenticios para uso médico; productos dietéticos para uso médico; productos farmacéuticos.</t>
  </si>
  <si>
    <t>#SQ2</t>
  </si>
  <si>
    <t>REY TLALOC MG COLOMBIA S. A. S, Carrera 47 A #91 - 91, BOGOTA, CUNDINAMARCA, CO</t>
  </si>
  <si>
    <t>5. Desinfectantes.</t>
  </si>
  <si>
    <t>GABRIEL LEGORRETA AGUILAR, Carrera 47 A #91 - 91, BOGOTA, CUNDINAMARCA, CO</t>
  </si>
  <si>
    <t>spirulina pets</t>
  </si>
  <si>
    <t>28 jun. 2023</t>
  </si>
  <si>
    <t>INSUMOS DE LOS ANDES SAS, diag 82d n 72c-40, BOGOTÁ, D.C., CO</t>
  </si>
  <si>
    <t>5. Agentes de administración en forma de recubrimientos de comprimidos que facilitan la administración de suplementos nutricionales; aislados de proteína de suero de leche [suplementos dietéticos]; aislados de proteína de suero de leche en cuanto suplementos dietéticos; antioxidantes [suplementos dietéticos]; barras energéticas utilizadas como suplementos dietéticos; suplementos alimenticios a base de aceite de algas con dha; suplementos alimenticios a base de aceite de algas con ácido docosahexaenoico.</t>
  </si>
  <si>
    <t>Fabio Enrique  Novoa Castillo , diagonal 80 D No. 72 C 40 Apto 414, BOGOTA, CUNDINAMARCA +57, CO</t>
  </si>
  <si>
    <t>QUIFARMA SALUD Y BIENESTAR</t>
  </si>
  <si>
    <t>27 jun. 2023</t>
  </si>
  <si>
    <t>F811</t>
  </si>
  <si>
    <t>QUIFARMA S.A.S., Calle 61 51 D 57 OF 202, MEDELLIN, ANTIOQUIA, CO</t>
  </si>
  <si>
    <t>5. Productos farmacéuticos, preparaciones para uso médico y veterinario; productos higiénicos y sanitarios para uso médico; alimentos y sustancias dietéticas para uso médico o veterinario, alimentos para bebés; complementos alimenticios para personas o animales.</t>
  </si>
  <si>
    <t>ësse Nutrex</t>
  </si>
  <si>
    <t>5. Suplementos alimenticios; complementos alimenticios.</t>
  </si>
  <si>
    <t>RUSTAFEN</t>
  </si>
  <si>
    <t>MILENIUM</t>
  </si>
  <si>
    <t>5. Un medicamento indicado para la intolerancia a la lactosa.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</si>
</sst>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name val="Calibri"/>
      <family val="2"/>
    </font>
    <font>
      <b/>
      <sz val="60"/>
      <name val="Calibri"/>
      <family val="2"/>
    </font>
    <font>
      <u/>
      <sz val="11"/>
      <color rgb="FF0000FF"/>
      <name val="Calibri"/>
      <family val="2"/>
    </font>
  </fonts>
  <fills count="3">
    <fill>
      <patternFill patternType="none"/>
    </fill>
    <fill>
      <patternFill patternType="gray125"/>
    </fill>
    <fill>
      <patternFill patternType="solid">
        <fgColor rgb="FFFF9728"/>
        <bgColor rgb="FFFF972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NumberFormat="1" applyAlignment="1">
      <alignment vertical="center" wrapText="1"/>
    </xf>
    <xf numFmtId="0" fontId="0" fillId="0" borderId="1" xfId="0" applyNumberFormat="1" applyBorder="1" applyAlignment="1">
      <alignment vertical="center" wrapText="1"/>
    </xf>
    <xf numFmtId="0" fontId="0" fillId="2" borderId="1" xfId="0" applyNumberFormat="1" applyFill="1" applyBorder="1" applyAlignment="1">
      <alignment horizontal="center" vertical="center" wrapText="1"/>
    </xf>
    <xf numFmtId="0" fontId="1" fillId="0" borderId="0" xfId="0" applyNumberFormat="1" applyFont="1" applyAlignment="1">
      <alignment vertical="center" wrapText="1"/>
    </xf>
    <xf numFmtId="0" fontId="0" fillId="0" borderId="0" xfId="0" applyNumberFormat="1" applyAlignment="1">
      <alignment vertical="center"/>
    </xf>
    <xf numFmtId="0" fontId="1" fillId="0" borderId="0" xfId="0" applyNumberFormat="1" applyFont="1" applyAlignment="1">
      <alignment vertical="center"/>
    </xf>
    <xf numFmtId="0" fontId="2" fillId="0" borderId="1" xfId="0" applyNumberFormat="1" applyFont="1" applyBorder="1" applyAlignment="1">
      <alignment vertical="center"/>
    </xf>
    <xf numFmtId="0" fontId="3" fillId="0" borderId="1"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bin"/><Relationship Id="rId299" Type="http://schemas.openxmlformats.org/officeDocument/2006/relationships/image" Target="../media/image299.bin"/><Relationship Id="rId21" Type="http://schemas.openxmlformats.org/officeDocument/2006/relationships/image" Target="../media/image21.bin"/><Relationship Id="rId63" Type="http://schemas.openxmlformats.org/officeDocument/2006/relationships/image" Target="../media/image63.bin"/><Relationship Id="rId159" Type="http://schemas.openxmlformats.org/officeDocument/2006/relationships/image" Target="../media/image159.bin"/><Relationship Id="rId324" Type="http://schemas.openxmlformats.org/officeDocument/2006/relationships/image" Target="../media/image324.bin"/><Relationship Id="rId366" Type="http://schemas.openxmlformats.org/officeDocument/2006/relationships/image" Target="../media/image366.bin"/><Relationship Id="rId170" Type="http://schemas.openxmlformats.org/officeDocument/2006/relationships/image" Target="../media/image170.bin"/><Relationship Id="rId226" Type="http://schemas.openxmlformats.org/officeDocument/2006/relationships/image" Target="../media/image226.bin"/><Relationship Id="rId433" Type="http://schemas.openxmlformats.org/officeDocument/2006/relationships/image" Target="../media/image433.bin"/><Relationship Id="rId268" Type="http://schemas.openxmlformats.org/officeDocument/2006/relationships/image" Target="../media/image268.bin"/><Relationship Id="rId32" Type="http://schemas.openxmlformats.org/officeDocument/2006/relationships/image" Target="../media/image32.bin"/><Relationship Id="rId74" Type="http://schemas.openxmlformats.org/officeDocument/2006/relationships/image" Target="../media/image74.bin"/><Relationship Id="rId128" Type="http://schemas.openxmlformats.org/officeDocument/2006/relationships/image" Target="../media/image128.bin"/><Relationship Id="rId335" Type="http://schemas.openxmlformats.org/officeDocument/2006/relationships/image" Target="../media/image335.bin"/><Relationship Id="rId377" Type="http://schemas.openxmlformats.org/officeDocument/2006/relationships/image" Target="../media/image377.bin"/><Relationship Id="rId5" Type="http://schemas.openxmlformats.org/officeDocument/2006/relationships/image" Target="../media/image5.bin"/><Relationship Id="rId181" Type="http://schemas.openxmlformats.org/officeDocument/2006/relationships/image" Target="../media/image181.bin"/><Relationship Id="rId237" Type="http://schemas.openxmlformats.org/officeDocument/2006/relationships/image" Target="../media/image237.bin"/><Relationship Id="rId402" Type="http://schemas.openxmlformats.org/officeDocument/2006/relationships/image" Target="../media/image402.bin"/><Relationship Id="rId279" Type="http://schemas.openxmlformats.org/officeDocument/2006/relationships/image" Target="../media/image279.bin"/><Relationship Id="rId444" Type="http://schemas.openxmlformats.org/officeDocument/2006/relationships/image" Target="../media/image444.bin"/><Relationship Id="rId43" Type="http://schemas.openxmlformats.org/officeDocument/2006/relationships/image" Target="../media/image43.bin"/><Relationship Id="rId139" Type="http://schemas.openxmlformats.org/officeDocument/2006/relationships/image" Target="../media/image139.bin"/><Relationship Id="rId290" Type="http://schemas.openxmlformats.org/officeDocument/2006/relationships/image" Target="../media/image290.bin"/><Relationship Id="rId304" Type="http://schemas.openxmlformats.org/officeDocument/2006/relationships/image" Target="../media/image304.bin"/><Relationship Id="rId346" Type="http://schemas.openxmlformats.org/officeDocument/2006/relationships/image" Target="../media/image346.bin"/><Relationship Id="rId388" Type="http://schemas.openxmlformats.org/officeDocument/2006/relationships/image" Target="../media/image388.bin"/><Relationship Id="rId85" Type="http://schemas.openxmlformats.org/officeDocument/2006/relationships/image" Target="../media/image85.bin"/><Relationship Id="rId150" Type="http://schemas.openxmlformats.org/officeDocument/2006/relationships/image" Target="../media/image150.bin"/><Relationship Id="rId192" Type="http://schemas.openxmlformats.org/officeDocument/2006/relationships/image" Target="../media/image192.bin"/><Relationship Id="rId206" Type="http://schemas.openxmlformats.org/officeDocument/2006/relationships/image" Target="../media/image206.bin"/><Relationship Id="rId413" Type="http://schemas.openxmlformats.org/officeDocument/2006/relationships/image" Target="../media/image413.bin"/><Relationship Id="rId248" Type="http://schemas.openxmlformats.org/officeDocument/2006/relationships/image" Target="../media/image248.bin"/><Relationship Id="rId12" Type="http://schemas.openxmlformats.org/officeDocument/2006/relationships/image" Target="../media/image12.bin"/><Relationship Id="rId108" Type="http://schemas.openxmlformats.org/officeDocument/2006/relationships/image" Target="../media/image108.bin"/><Relationship Id="rId315" Type="http://schemas.openxmlformats.org/officeDocument/2006/relationships/image" Target="../media/image315.bin"/><Relationship Id="rId357" Type="http://schemas.openxmlformats.org/officeDocument/2006/relationships/image" Target="../media/image357.bin"/><Relationship Id="rId54" Type="http://schemas.openxmlformats.org/officeDocument/2006/relationships/image" Target="../media/image54.bin"/><Relationship Id="rId96" Type="http://schemas.openxmlformats.org/officeDocument/2006/relationships/image" Target="../media/image96.bin"/><Relationship Id="rId161" Type="http://schemas.openxmlformats.org/officeDocument/2006/relationships/image" Target="../media/image161.bin"/><Relationship Id="rId217" Type="http://schemas.openxmlformats.org/officeDocument/2006/relationships/image" Target="../media/image217.bin"/><Relationship Id="rId399" Type="http://schemas.openxmlformats.org/officeDocument/2006/relationships/image" Target="../media/image399.bin"/><Relationship Id="rId259" Type="http://schemas.openxmlformats.org/officeDocument/2006/relationships/image" Target="../media/image259.bin"/><Relationship Id="rId424" Type="http://schemas.openxmlformats.org/officeDocument/2006/relationships/image" Target="../media/image424.bin"/><Relationship Id="rId23" Type="http://schemas.openxmlformats.org/officeDocument/2006/relationships/image" Target="../media/image23.bin"/><Relationship Id="rId119" Type="http://schemas.openxmlformats.org/officeDocument/2006/relationships/image" Target="../media/image119.bin"/><Relationship Id="rId270" Type="http://schemas.openxmlformats.org/officeDocument/2006/relationships/image" Target="../media/image270.bin"/><Relationship Id="rId326" Type="http://schemas.openxmlformats.org/officeDocument/2006/relationships/image" Target="../media/image326.bin"/><Relationship Id="rId65" Type="http://schemas.openxmlformats.org/officeDocument/2006/relationships/image" Target="../media/image65.bin"/><Relationship Id="rId130" Type="http://schemas.openxmlformats.org/officeDocument/2006/relationships/image" Target="../media/image130.bin"/><Relationship Id="rId368" Type="http://schemas.openxmlformats.org/officeDocument/2006/relationships/image" Target="../media/image368.bin"/><Relationship Id="rId172" Type="http://schemas.openxmlformats.org/officeDocument/2006/relationships/image" Target="../media/image172.bin"/><Relationship Id="rId228" Type="http://schemas.openxmlformats.org/officeDocument/2006/relationships/image" Target="../media/image228.bin"/><Relationship Id="rId435" Type="http://schemas.openxmlformats.org/officeDocument/2006/relationships/image" Target="../media/image435.bin"/><Relationship Id="rId281" Type="http://schemas.openxmlformats.org/officeDocument/2006/relationships/image" Target="../media/image281.bin"/><Relationship Id="rId337" Type="http://schemas.openxmlformats.org/officeDocument/2006/relationships/image" Target="../media/image337.bin"/><Relationship Id="rId34" Type="http://schemas.openxmlformats.org/officeDocument/2006/relationships/image" Target="../media/image34.bin"/><Relationship Id="rId76" Type="http://schemas.openxmlformats.org/officeDocument/2006/relationships/image" Target="../media/image76.bin"/><Relationship Id="rId141" Type="http://schemas.openxmlformats.org/officeDocument/2006/relationships/image" Target="../media/image141.bin"/><Relationship Id="rId379" Type="http://schemas.openxmlformats.org/officeDocument/2006/relationships/image" Target="../media/image379.bin"/><Relationship Id="rId7" Type="http://schemas.openxmlformats.org/officeDocument/2006/relationships/image" Target="../media/image7.bin"/><Relationship Id="rId183" Type="http://schemas.openxmlformats.org/officeDocument/2006/relationships/image" Target="../media/image183.bin"/><Relationship Id="rId239" Type="http://schemas.openxmlformats.org/officeDocument/2006/relationships/image" Target="../media/image239.bin"/><Relationship Id="rId390" Type="http://schemas.openxmlformats.org/officeDocument/2006/relationships/image" Target="../media/image390.bin"/><Relationship Id="rId404" Type="http://schemas.openxmlformats.org/officeDocument/2006/relationships/image" Target="../media/image404.bin"/><Relationship Id="rId446" Type="http://schemas.openxmlformats.org/officeDocument/2006/relationships/image" Target="../media/image446.bin"/><Relationship Id="rId250" Type="http://schemas.openxmlformats.org/officeDocument/2006/relationships/image" Target="../media/image250.bin"/><Relationship Id="rId292" Type="http://schemas.openxmlformats.org/officeDocument/2006/relationships/image" Target="../media/image292.bin"/><Relationship Id="rId306" Type="http://schemas.openxmlformats.org/officeDocument/2006/relationships/image" Target="../media/image306.bin"/><Relationship Id="rId45" Type="http://schemas.openxmlformats.org/officeDocument/2006/relationships/image" Target="../media/image45.bin"/><Relationship Id="rId87" Type="http://schemas.openxmlformats.org/officeDocument/2006/relationships/image" Target="../media/image87.bin"/><Relationship Id="rId110" Type="http://schemas.openxmlformats.org/officeDocument/2006/relationships/image" Target="../media/image110.bin"/><Relationship Id="rId348" Type="http://schemas.openxmlformats.org/officeDocument/2006/relationships/image" Target="../media/image348.bin"/><Relationship Id="rId152" Type="http://schemas.openxmlformats.org/officeDocument/2006/relationships/image" Target="../media/image152.bin"/><Relationship Id="rId194" Type="http://schemas.openxmlformats.org/officeDocument/2006/relationships/image" Target="../media/image194.bin"/><Relationship Id="rId208" Type="http://schemas.openxmlformats.org/officeDocument/2006/relationships/image" Target="../media/image208.bin"/><Relationship Id="rId415" Type="http://schemas.openxmlformats.org/officeDocument/2006/relationships/image" Target="../media/image415.bin"/><Relationship Id="rId261" Type="http://schemas.openxmlformats.org/officeDocument/2006/relationships/image" Target="../media/image261.bin"/><Relationship Id="rId14" Type="http://schemas.openxmlformats.org/officeDocument/2006/relationships/image" Target="../media/image14.bin"/><Relationship Id="rId56" Type="http://schemas.openxmlformats.org/officeDocument/2006/relationships/image" Target="../media/image56.bin"/><Relationship Id="rId317" Type="http://schemas.openxmlformats.org/officeDocument/2006/relationships/image" Target="../media/image317.bin"/><Relationship Id="rId359" Type="http://schemas.openxmlformats.org/officeDocument/2006/relationships/image" Target="../media/image359.bin"/><Relationship Id="rId98" Type="http://schemas.openxmlformats.org/officeDocument/2006/relationships/image" Target="../media/image98.bin"/><Relationship Id="rId121" Type="http://schemas.openxmlformats.org/officeDocument/2006/relationships/image" Target="../media/image121.bin"/><Relationship Id="rId163" Type="http://schemas.openxmlformats.org/officeDocument/2006/relationships/image" Target="../media/image163.bin"/><Relationship Id="rId219" Type="http://schemas.openxmlformats.org/officeDocument/2006/relationships/image" Target="../media/image219.bin"/><Relationship Id="rId370" Type="http://schemas.openxmlformats.org/officeDocument/2006/relationships/image" Target="../media/image370.bin"/><Relationship Id="rId426" Type="http://schemas.openxmlformats.org/officeDocument/2006/relationships/image" Target="../media/image426.bin"/><Relationship Id="rId230" Type="http://schemas.openxmlformats.org/officeDocument/2006/relationships/image" Target="../media/image230.bin"/><Relationship Id="rId25" Type="http://schemas.openxmlformats.org/officeDocument/2006/relationships/image" Target="../media/image25.bin"/><Relationship Id="rId67" Type="http://schemas.openxmlformats.org/officeDocument/2006/relationships/image" Target="../media/image67.bin"/><Relationship Id="rId272" Type="http://schemas.openxmlformats.org/officeDocument/2006/relationships/image" Target="../media/image272.bin"/><Relationship Id="rId328" Type="http://schemas.openxmlformats.org/officeDocument/2006/relationships/image" Target="../media/image328.bin"/><Relationship Id="rId132" Type="http://schemas.openxmlformats.org/officeDocument/2006/relationships/image" Target="../media/image132.bin"/><Relationship Id="rId174" Type="http://schemas.openxmlformats.org/officeDocument/2006/relationships/image" Target="../media/image174.bin"/><Relationship Id="rId381" Type="http://schemas.openxmlformats.org/officeDocument/2006/relationships/image" Target="../media/image381.bin"/><Relationship Id="rId241" Type="http://schemas.openxmlformats.org/officeDocument/2006/relationships/image" Target="../media/image241.bin"/><Relationship Id="rId437" Type="http://schemas.openxmlformats.org/officeDocument/2006/relationships/image" Target="../media/image437.bin"/><Relationship Id="rId36" Type="http://schemas.openxmlformats.org/officeDocument/2006/relationships/image" Target="../media/image36.bin"/><Relationship Id="rId283" Type="http://schemas.openxmlformats.org/officeDocument/2006/relationships/image" Target="../media/image283.bin"/><Relationship Id="rId339" Type="http://schemas.openxmlformats.org/officeDocument/2006/relationships/image" Target="../media/image339.bin"/><Relationship Id="rId78" Type="http://schemas.openxmlformats.org/officeDocument/2006/relationships/image" Target="../media/image78.bin"/><Relationship Id="rId101" Type="http://schemas.openxmlformats.org/officeDocument/2006/relationships/image" Target="../media/image101.bin"/><Relationship Id="rId143" Type="http://schemas.openxmlformats.org/officeDocument/2006/relationships/image" Target="../media/image143.bin"/><Relationship Id="rId185" Type="http://schemas.openxmlformats.org/officeDocument/2006/relationships/image" Target="../media/image185.bin"/><Relationship Id="rId350" Type="http://schemas.openxmlformats.org/officeDocument/2006/relationships/image" Target="../media/image350.bin"/><Relationship Id="rId406" Type="http://schemas.openxmlformats.org/officeDocument/2006/relationships/image" Target="../media/image406.bin"/><Relationship Id="rId9" Type="http://schemas.openxmlformats.org/officeDocument/2006/relationships/image" Target="../media/image9.bin"/><Relationship Id="rId210" Type="http://schemas.openxmlformats.org/officeDocument/2006/relationships/image" Target="../media/image210.bin"/><Relationship Id="rId392" Type="http://schemas.openxmlformats.org/officeDocument/2006/relationships/image" Target="../media/image392.bin"/><Relationship Id="rId448" Type="http://schemas.openxmlformats.org/officeDocument/2006/relationships/image" Target="../media/image448.bin"/><Relationship Id="rId252" Type="http://schemas.openxmlformats.org/officeDocument/2006/relationships/image" Target="../media/image252.bin"/><Relationship Id="rId294" Type="http://schemas.openxmlformats.org/officeDocument/2006/relationships/image" Target="../media/image294.bin"/><Relationship Id="rId308" Type="http://schemas.openxmlformats.org/officeDocument/2006/relationships/image" Target="../media/image308.bin"/><Relationship Id="rId47" Type="http://schemas.openxmlformats.org/officeDocument/2006/relationships/image" Target="../media/image47.bin"/><Relationship Id="rId89" Type="http://schemas.openxmlformats.org/officeDocument/2006/relationships/image" Target="../media/image89.bin"/><Relationship Id="rId112" Type="http://schemas.openxmlformats.org/officeDocument/2006/relationships/image" Target="../media/image112.bin"/><Relationship Id="rId154" Type="http://schemas.openxmlformats.org/officeDocument/2006/relationships/image" Target="../media/image154.bin"/><Relationship Id="rId361" Type="http://schemas.openxmlformats.org/officeDocument/2006/relationships/image" Target="../media/image361.bin"/><Relationship Id="rId196" Type="http://schemas.openxmlformats.org/officeDocument/2006/relationships/image" Target="../media/image196.bin"/><Relationship Id="rId417" Type="http://schemas.openxmlformats.org/officeDocument/2006/relationships/image" Target="../media/image417.bin"/><Relationship Id="rId16" Type="http://schemas.openxmlformats.org/officeDocument/2006/relationships/image" Target="../media/image16.bin"/><Relationship Id="rId221" Type="http://schemas.openxmlformats.org/officeDocument/2006/relationships/image" Target="../media/image221.bin"/><Relationship Id="rId263" Type="http://schemas.openxmlformats.org/officeDocument/2006/relationships/image" Target="../media/image263.bin"/><Relationship Id="rId319" Type="http://schemas.openxmlformats.org/officeDocument/2006/relationships/image" Target="../media/image319.bin"/><Relationship Id="rId58" Type="http://schemas.openxmlformats.org/officeDocument/2006/relationships/image" Target="../media/image58.bin"/><Relationship Id="rId123" Type="http://schemas.openxmlformats.org/officeDocument/2006/relationships/image" Target="../media/image123.bin"/><Relationship Id="rId330" Type="http://schemas.openxmlformats.org/officeDocument/2006/relationships/image" Target="../media/image330.bin"/><Relationship Id="rId165" Type="http://schemas.openxmlformats.org/officeDocument/2006/relationships/image" Target="../media/image165.bin"/><Relationship Id="rId372" Type="http://schemas.openxmlformats.org/officeDocument/2006/relationships/image" Target="../media/image372.bin"/><Relationship Id="rId428" Type="http://schemas.openxmlformats.org/officeDocument/2006/relationships/image" Target="../media/image428.bin"/><Relationship Id="rId232" Type="http://schemas.openxmlformats.org/officeDocument/2006/relationships/image" Target="../media/image232.bin"/><Relationship Id="rId274" Type="http://schemas.openxmlformats.org/officeDocument/2006/relationships/image" Target="../media/image274.bin"/><Relationship Id="rId27" Type="http://schemas.openxmlformats.org/officeDocument/2006/relationships/image" Target="../media/image27.bin"/><Relationship Id="rId69" Type="http://schemas.openxmlformats.org/officeDocument/2006/relationships/image" Target="../media/image69.bin"/><Relationship Id="rId134" Type="http://schemas.openxmlformats.org/officeDocument/2006/relationships/image" Target="../media/image134.bin"/><Relationship Id="rId80" Type="http://schemas.openxmlformats.org/officeDocument/2006/relationships/image" Target="../media/image80.bin"/><Relationship Id="rId176" Type="http://schemas.openxmlformats.org/officeDocument/2006/relationships/image" Target="../media/image176.bin"/><Relationship Id="rId341" Type="http://schemas.openxmlformats.org/officeDocument/2006/relationships/image" Target="../media/image341.bin"/><Relationship Id="rId383" Type="http://schemas.openxmlformats.org/officeDocument/2006/relationships/image" Target="../media/image383.bin"/><Relationship Id="rId439" Type="http://schemas.openxmlformats.org/officeDocument/2006/relationships/image" Target="../media/image439.bin"/><Relationship Id="rId201" Type="http://schemas.openxmlformats.org/officeDocument/2006/relationships/image" Target="../media/image201.bin"/><Relationship Id="rId243" Type="http://schemas.openxmlformats.org/officeDocument/2006/relationships/image" Target="../media/image243.bin"/><Relationship Id="rId285" Type="http://schemas.openxmlformats.org/officeDocument/2006/relationships/image" Target="../media/image285.bin"/><Relationship Id="rId450" Type="http://schemas.openxmlformats.org/officeDocument/2006/relationships/image" Target="../media/image450.bin"/><Relationship Id="rId38" Type="http://schemas.openxmlformats.org/officeDocument/2006/relationships/image" Target="../media/image38.bin"/><Relationship Id="rId103" Type="http://schemas.openxmlformats.org/officeDocument/2006/relationships/image" Target="../media/image103.bin"/><Relationship Id="rId310" Type="http://schemas.openxmlformats.org/officeDocument/2006/relationships/image" Target="../media/image310.bin"/><Relationship Id="rId91" Type="http://schemas.openxmlformats.org/officeDocument/2006/relationships/image" Target="../media/image91.bin"/><Relationship Id="rId145" Type="http://schemas.openxmlformats.org/officeDocument/2006/relationships/image" Target="../media/image145.bin"/><Relationship Id="rId187" Type="http://schemas.openxmlformats.org/officeDocument/2006/relationships/image" Target="../media/image187.bin"/><Relationship Id="rId352" Type="http://schemas.openxmlformats.org/officeDocument/2006/relationships/image" Target="../media/image352.bin"/><Relationship Id="rId394" Type="http://schemas.openxmlformats.org/officeDocument/2006/relationships/image" Target="../media/image394.bin"/><Relationship Id="rId408" Type="http://schemas.openxmlformats.org/officeDocument/2006/relationships/image" Target="../media/image408.bin"/><Relationship Id="rId212" Type="http://schemas.openxmlformats.org/officeDocument/2006/relationships/image" Target="../media/image212.bin"/><Relationship Id="rId254" Type="http://schemas.openxmlformats.org/officeDocument/2006/relationships/image" Target="../media/image254.bin"/><Relationship Id="rId49" Type="http://schemas.openxmlformats.org/officeDocument/2006/relationships/image" Target="../media/image49.bin"/><Relationship Id="rId114" Type="http://schemas.openxmlformats.org/officeDocument/2006/relationships/image" Target="../media/image114.bin"/><Relationship Id="rId296" Type="http://schemas.openxmlformats.org/officeDocument/2006/relationships/image" Target="../media/image296.bin"/><Relationship Id="rId60" Type="http://schemas.openxmlformats.org/officeDocument/2006/relationships/image" Target="../media/image60.bin"/><Relationship Id="rId156" Type="http://schemas.openxmlformats.org/officeDocument/2006/relationships/image" Target="../media/image156.bin"/><Relationship Id="rId198" Type="http://schemas.openxmlformats.org/officeDocument/2006/relationships/image" Target="../media/image198.bin"/><Relationship Id="rId321" Type="http://schemas.openxmlformats.org/officeDocument/2006/relationships/image" Target="../media/image321.bin"/><Relationship Id="rId363" Type="http://schemas.openxmlformats.org/officeDocument/2006/relationships/image" Target="../media/image363.bin"/><Relationship Id="rId419" Type="http://schemas.openxmlformats.org/officeDocument/2006/relationships/image" Target="../media/image419.bin"/><Relationship Id="rId223" Type="http://schemas.openxmlformats.org/officeDocument/2006/relationships/image" Target="../media/image223.bin"/><Relationship Id="rId430" Type="http://schemas.openxmlformats.org/officeDocument/2006/relationships/image" Target="../media/image430.bin"/><Relationship Id="rId18" Type="http://schemas.openxmlformats.org/officeDocument/2006/relationships/image" Target="../media/image18.bin"/><Relationship Id="rId265" Type="http://schemas.openxmlformats.org/officeDocument/2006/relationships/image" Target="../media/image265.bin"/><Relationship Id="rId125" Type="http://schemas.openxmlformats.org/officeDocument/2006/relationships/image" Target="../media/image125.bin"/><Relationship Id="rId167" Type="http://schemas.openxmlformats.org/officeDocument/2006/relationships/image" Target="../media/image167.bin"/><Relationship Id="rId332" Type="http://schemas.openxmlformats.org/officeDocument/2006/relationships/image" Target="../media/image332.bin"/><Relationship Id="rId374" Type="http://schemas.openxmlformats.org/officeDocument/2006/relationships/image" Target="../media/image374.bin"/><Relationship Id="rId71" Type="http://schemas.openxmlformats.org/officeDocument/2006/relationships/image" Target="../media/image71.bin"/><Relationship Id="rId92" Type="http://schemas.openxmlformats.org/officeDocument/2006/relationships/image" Target="../media/image92.bin"/><Relationship Id="rId213" Type="http://schemas.openxmlformats.org/officeDocument/2006/relationships/image" Target="../media/image213.bin"/><Relationship Id="rId234" Type="http://schemas.openxmlformats.org/officeDocument/2006/relationships/image" Target="../media/image234.bin"/><Relationship Id="rId420" Type="http://schemas.openxmlformats.org/officeDocument/2006/relationships/image" Target="../media/image420.bin"/><Relationship Id="rId2" Type="http://schemas.openxmlformats.org/officeDocument/2006/relationships/image" Target="../media/image2.bin"/><Relationship Id="rId29" Type="http://schemas.openxmlformats.org/officeDocument/2006/relationships/image" Target="../media/image29.bin"/><Relationship Id="rId255" Type="http://schemas.openxmlformats.org/officeDocument/2006/relationships/image" Target="../media/image255.bin"/><Relationship Id="rId276" Type="http://schemas.openxmlformats.org/officeDocument/2006/relationships/image" Target="../media/image276.bin"/><Relationship Id="rId297" Type="http://schemas.openxmlformats.org/officeDocument/2006/relationships/image" Target="../media/image297.bin"/><Relationship Id="rId441" Type="http://schemas.openxmlformats.org/officeDocument/2006/relationships/image" Target="../media/image441.bin"/><Relationship Id="rId40" Type="http://schemas.openxmlformats.org/officeDocument/2006/relationships/image" Target="../media/image40.bin"/><Relationship Id="rId115" Type="http://schemas.openxmlformats.org/officeDocument/2006/relationships/image" Target="../media/image115.bin"/><Relationship Id="rId136" Type="http://schemas.openxmlformats.org/officeDocument/2006/relationships/image" Target="../media/image136.bin"/><Relationship Id="rId157" Type="http://schemas.openxmlformats.org/officeDocument/2006/relationships/image" Target="../media/image157.bin"/><Relationship Id="rId178" Type="http://schemas.openxmlformats.org/officeDocument/2006/relationships/image" Target="../media/image178.bin"/><Relationship Id="rId301" Type="http://schemas.openxmlformats.org/officeDocument/2006/relationships/image" Target="../media/image301.bin"/><Relationship Id="rId322" Type="http://schemas.openxmlformats.org/officeDocument/2006/relationships/image" Target="../media/image322.bin"/><Relationship Id="rId343" Type="http://schemas.openxmlformats.org/officeDocument/2006/relationships/image" Target="../media/image343.bin"/><Relationship Id="rId364" Type="http://schemas.openxmlformats.org/officeDocument/2006/relationships/image" Target="../media/image364.bin"/><Relationship Id="rId61" Type="http://schemas.openxmlformats.org/officeDocument/2006/relationships/image" Target="../media/image61.bin"/><Relationship Id="rId82" Type="http://schemas.openxmlformats.org/officeDocument/2006/relationships/image" Target="../media/image82.bin"/><Relationship Id="rId199" Type="http://schemas.openxmlformats.org/officeDocument/2006/relationships/image" Target="../media/image199.bin"/><Relationship Id="rId203" Type="http://schemas.openxmlformats.org/officeDocument/2006/relationships/image" Target="../media/image203.bin"/><Relationship Id="rId385" Type="http://schemas.openxmlformats.org/officeDocument/2006/relationships/image" Target="../media/image385.bin"/><Relationship Id="rId19" Type="http://schemas.openxmlformats.org/officeDocument/2006/relationships/image" Target="../media/image19.bin"/><Relationship Id="rId224" Type="http://schemas.openxmlformats.org/officeDocument/2006/relationships/image" Target="../media/image224.bin"/><Relationship Id="rId245" Type="http://schemas.openxmlformats.org/officeDocument/2006/relationships/image" Target="../media/image245.bin"/><Relationship Id="rId266" Type="http://schemas.openxmlformats.org/officeDocument/2006/relationships/image" Target="../media/image266.bin"/><Relationship Id="rId287" Type="http://schemas.openxmlformats.org/officeDocument/2006/relationships/image" Target="../media/image287.bin"/><Relationship Id="rId410" Type="http://schemas.openxmlformats.org/officeDocument/2006/relationships/image" Target="../media/image410.bin"/><Relationship Id="rId431" Type="http://schemas.openxmlformats.org/officeDocument/2006/relationships/image" Target="../media/image431.bin"/><Relationship Id="rId452" Type="http://schemas.openxmlformats.org/officeDocument/2006/relationships/image" Target="../media/image452.bin"/><Relationship Id="rId30" Type="http://schemas.openxmlformats.org/officeDocument/2006/relationships/image" Target="../media/image30.bin"/><Relationship Id="rId105" Type="http://schemas.openxmlformats.org/officeDocument/2006/relationships/image" Target="../media/image105.bin"/><Relationship Id="rId126" Type="http://schemas.openxmlformats.org/officeDocument/2006/relationships/image" Target="../media/image126.bin"/><Relationship Id="rId147" Type="http://schemas.openxmlformats.org/officeDocument/2006/relationships/image" Target="../media/image147.bin"/><Relationship Id="rId168" Type="http://schemas.openxmlformats.org/officeDocument/2006/relationships/image" Target="../media/image168.bin"/><Relationship Id="rId312" Type="http://schemas.openxmlformats.org/officeDocument/2006/relationships/image" Target="../media/image312.bin"/><Relationship Id="rId333" Type="http://schemas.openxmlformats.org/officeDocument/2006/relationships/image" Target="../media/image333.bin"/><Relationship Id="rId354" Type="http://schemas.openxmlformats.org/officeDocument/2006/relationships/image" Target="../media/image354.bin"/><Relationship Id="rId51" Type="http://schemas.openxmlformats.org/officeDocument/2006/relationships/image" Target="../media/image51.bin"/><Relationship Id="rId72" Type="http://schemas.openxmlformats.org/officeDocument/2006/relationships/image" Target="../media/image72.bin"/><Relationship Id="rId93" Type="http://schemas.openxmlformats.org/officeDocument/2006/relationships/image" Target="../media/image93.bin"/><Relationship Id="rId189" Type="http://schemas.openxmlformats.org/officeDocument/2006/relationships/image" Target="../media/image189.bin"/><Relationship Id="rId375" Type="http://schemas.openxmlformats.org/officeDocument/2006/relationships/image" Target="../media/image375.bin"/><Relationship Id="rId396" Type="http://schemas.openxmlformats.org/officeDocument/2006/relationships/image" Target="../media/image396.bin"/><Relationship Id="rId3" Type="http://schemas.openxmlformats.org/officeDocument/2006/relationships/image" Target="../media/image3.bin"/><Relationship Id="rId214" Type="http://schemas.openxmlformats.org/officeDocument/2006/relationships/image" Target="../media/image214.bin"/><Relationship Id="rId235" Type="http://schemas.openxmlformats.org/officeDocument/2006/relationships/image" Target="../media/image235.bin"/><Relationship Id="rId256" Type="http://schemas.openxmlformats.org/officeDocument/2006/relationships/image" Target="../media/image256.bin"/><Relationship Id="rId277" Type="http://schemas.openxmlformats.org/officeDocument/2006/relationships/image" Target="../media/image277.bin"/><Relationship Id="rId298" Type="http://schemas.openxmlformats.org/officeDocument/2006/relationships/image" Target="../media/image298.bin"/><Relationship Id="rId400" Type="http://schemas.openxmlformats.org/officeDocument/2006/relationships/image" Target="../media/image400.bin"/><Relationship Id="rId421" Type="http://schemas.openxmlformats.org/officeDocument/2006/relationships/image" Target="../media/image421.bin"/><Relationship Id="rId442" Type="http://schemas.openxmlformats.org/officeDocument/2006/relationships/image" Target="../media/image442.bin"/><Relationship Id="rId116" Type="http://schemas.openxmlformats.org/officeDocument/2006/relationships/image" Target="../media/image116.bin"/><Relationship Id="rId137" Type="http://schemas.openxmlformats.org/officeDocument/2006/relationships/image" Target="../media/image137.bin"/><Relationship Id="rId158" Type="http://schemas.openxmlformats.org/officeDocument/2006/relationships/image" Target="../media/image158.bin"/><Relationship Id="rId302" Type="http://schemas.openxmlformats.org/officeDocument/2006/relationships/image" Target="../media/image302.bin"/><Relationship Id="rId323" Type="http://schemas.openxmlformats.org/officeDocument/2006/relationships/image" Target="../media/image323.bin"/><Relationship Id="rId344" Type="http://schemas.openxmlformats.org/officeDocument/2006/relationships/image" Target="../media/image344.bin"/><Relationship Id="rId20" Type="http://schemas.openxmlformats.org/officeDocument/2006/relationships/image" Target="../media/image20.bin"/><Relationship Id="rId41" Type="http://schemas.openxmlformats.org/officeDocument/2006/relationships/image" Target="../media/image41.bin"/><Relationship Id="rId62" Type="http://schemas.openxmlformats.org/officeDocument/2006/relationships/image" Target="../media/image62.bin"/><Relationship Id="rId83" Type="http://schemas.openxmlformats.org/officeDocument/2006/relationships/image" Target="../media/image83.bin"/><Relationship Id="rId179" Type="http://schemas.openxmlformats.org/officeDocument/2006/relationships/image" Target="../media/image179.bin"/><Relationship Id="rId365" Type="http://schemas.openxmlformats.org/officeDocument/2006/relationships/image" Target="../media/image365.bin"/><Relationship Id="rId386" Type="http://schemas.openxmlformats.org/officeDocument/2006/relationships/image" Target="../media/image386.bin"/><Relationship Id="rId190" Type="http://schemas.openxmlformats.org/officeDocument/2006/relationships/image" Target="../media/image190.bin"/><Relationship Id="rId204" Type="http://schemas.openxmlformats.org/officeDocument/2006/relationships/image" Target="../media/image204.bin"/><Relationship Id="rId225" Type="http://schemas.openxmlformats.org/officeDocument/2006/relationships/image" Target="../media/image225.bin"/><Relationship Id="rId246" Type="http://schemas.openxmlformats.org/officeDocument/2006/relationships/image" Target="../media/image246.bin"/><Relationship Id="rId267" Type="http://schemas.openxmlformats.org/officeDocument/2006/relationships/image" Target="../media/image267.bin"/><Relationship Id="rId288" Type="http://schemas.openxmlformats.org/officeDocument/2006/relationships/image" Target="../media/image288.bin"/><Relationship Id="rId411" Type="http://schemas.openxmlformats.org/officeDocument/2006/relationships/image" Target="../media/image411.bin"/><Relationship Id="rId432" Type="http://schemas.openxmlformats.org/officeDocument/2006/relationships/image" Target="../media/image432.bin"/><Relationship Id="rId453" Type="http://schemas.openxmlformats.org/officeDocument/2006/relationships/image" Target="../media/image453.bin"/><Relationship Id="rId106" Type="http://schemas.openxmlformats.org/officeDocument/2006/relationships/image" Target="../media/image106.bin"/><Relationship Id="rId127" Type="http://schemas.openxmlformats.org/officeDocument/2006/relationships/image" Target="../media/image127.bin"/><Relationship Id="rId313" Type="http://schemas.openxmlformats.org/officeDocument/2006/relationships/image" Target="../media/image313.bin"/><Relationship Id="rId10" Type="http://schemas.openxmlformats.org/officeDocument/2006/relationships/image" Target="../media/image10.bin"/><Relationship Id="rId31" Type="http://schemas.openxmlformats.org/officeDocument/2006/relationships/image" Target="../media/image31.bin"/><Relationship Id="rId52" Type="http://schemas.openxmlformats.org/officeDocument/2006/relationships/image" Target="../media/image52.bin"/><Relationship Id="rId73" Type="http://schemas.openxmlformats.org/officeDocument/2006/relationships/image" Target="../media/image73.bin"/><Relationship Id="rId94" Type="http://schemas.openxmlformats.org/officeDocument/2006/relationships/image" Target="../media/image94.bin"/><Relationship Id="rId148" Type="http://schemas.openxmlformats.org/officeDocument/2006/relationships/image" Target="../media/image148.bin"/><Relationship Id="rId169" Type="http://schemas.openxmlformats.org/officeDocument/2006/relationships/image" Target="../media/image169.bin"/><Relationship Id="rId334" Type="http://schemas.openxmlformats.org/officeDocument/2006/relationships/image" Target="../media/image334.bin"/><Relationship Id="rId355" Type="http://schemas.openxmlformats.org/officeDocument/2006/relationships/image" Target="../media/image355.bin"/><Relationship Id="rId376" Type="http://schemas.openxmlformats.org/officeDocument/2006/relationships/image" Target="../media/image376.bin"/><Relationship Id="rId397" Type="http://schemas.openxmlformats.org/officeDocument/2006/relationships/image" Target="../media/image397.bin"/><Relationship Id="rId4" Type="http://schemas.openxmlformats.org/officeDocument/2006/relationships/image" Target="../media/image4.bin"/><Relationship Id="rId180" Type="http://schemas.openxmlformats.org/officeDocument/2006/relationships/image" Target="../media/image180.bin"/><Relationship Id="rId215" Type="http://schemas.openxmlformats.org/officeDocument/2006/relationships/image" Target="../media/image215.bin"/><Relationship Id="rId236" Type="http://schemas.openxmlformats.org/officeDocument/2006/relationships/image" Target="../media/image236.bin"/><Relationship Id="rId257" Type="http://schemas.openxmlformats.org/officeDocument/2006/relationships/image" Target="../media/image257.bin"/><Relationship Id="rId278" Type="http://schemas.openxmlformats.org/officeDocument/2006/relationships/image" Target="../media/image278.bin"/><Relationship Id="rId401" Type="http://schemas.openxmlformats.org/officeDocument/2006/relationships/image" Target="../media/image401.bin"/><Relationship Id="rId422" Type="http://schemas.openxmlformats.org/officeDocument/2006/relationships/image" Target="../media/image422.bin"/><Relationship Id="rId443" Type="http://schemas.openxmlformats.org/officeDocument/2006/relationships/image" Target="../media/image443.bin"/><Relationship Id="rId303" Type="http://schemas.openxmlformats.org/officeDocument/2006/relationships/image" Target="../media/image303.bin"/><Relationship Id="rId42" Type="http://schemas.openxmlformats.org/officeDocument/2006/relationships/image" Target="../media/image42.bin"/><Relationship Id="rId84" Type="http://schemas.openxmlformats.org/officeDocument/2006/relationships/image" Target="../media/image84.bin"/><Relationship Id="rId138" Type="http://schemas.openxmlformats.org/officeDocument/2006/relationships/image" Target="../media/image138.bin"/><Relationship Id="rId345" Type="http://schemas.openxmlformats.org/officeDocument/2006/relationships/image" Target="../media/image345.bin"/><Relationship Id="rId387" Type="http://schemas.openxmlformats.org/officeDocument/2006/relationships/image" Target="../media/image387.bin"/><Relationship Id="rId191" Type="http://schemas.openxmlformats.org/officeDocument/2006/relationships/image" Target="../media/image191.bin"/><Relationship Id="rId205" Type="http://schemas.openxmlformats.org/officeDocument/2006/relationships/image" Target="../media/image205.bin"/><Relationship Id="rId247" Type="http://schemas.openxmlformats.org/officeDocument/2006/relationships/image" Target="../media/image247.bin"/><Relationship Id="rId412" Type="http://schemas.openxmlformats.org/officeDocument/2006/relationships/image" Target="../media/image412.bin"/><Relationship Id="rId107" Type="http://schemas.openxmlformats.org/officeDocument/2006/relationships/image" Target="../media/image107.bin"/><Relationship Id="rId289" Type="http://schemas.openxmlformats.org/officeDocument/2006/relationships/image" Target="../media/image289.bin"/><Relationship Id="rId454" Type="http://schemas.openxmlformats.org/officeDocument/2006/relationships/image" Target="../media/image454.bin"/><Relationship Id="rId11" Type="http://schemas.openxmlformats.org/officeDocument/2006/relationships/image" Target="../media/image11.bin"/><Relationship Id="rId53" Type="http://schemas.openxmlformats.org/officeDocument/2006/relationships/image" Target="../media/image53.bin"/><Relationship Id="rId149" Type="http://schemas.openxmlformats.org/officeDocument/2006/relationships/image" Target="../media/image149.bin"/><Relationship Id="rId314" Type="http://schemas.openxmlformats.org/officeDocument/2006/relationships/image" Target="../media/image314.bin"/><Relationship Id="rId356" Type="http://schemas.openxmlformats.org/officeDocument/2006/relationships/image" Target="../media/image356.bin"/><Relationship Id="rId398" Type="http://schemas.openxmlformats.org/officeDocument/2006/relationships/image" Target="../media/image398.bin"/><Relationship Id="rId95" Type="http://schemas.openxmlformats.org/officeDocument/2006/relationships/image" Target="../media/image95.bin"/><Relationship Id="rId160" Type="http://schemas.openxmlformats.org/officeDocument/2006/relationships/image" Target="../media/image160.bin"/><Relationship Id="rId216" Type="http://schemas.openxmlformats.org/officeDocument/2006/relationships/image" Target="../media/image216.bin"/><Relationship Id="rId423" Type="http://schemas.openxmlformats.org/officeDocument/2006/relationships/image" Target="../media/image423.bin"/><Relationship Id="rId258" Type="http://schemas.openxmlformats.org/officeDocument/2006/relationships/image" Target="../media/image258.bin"/><Relationship Id="rId22" Type="http://schemas.openxmlformats.org/officeDocument/2006/relationships/image" Target="../media/image22.bin"/><Relationship Id="rId64" Type="http://schemas.openxmlformats.org/officeDocument/2006/relationships/image" Target="../media/image64.bin"/><Relationship Id="rId118" Type="http://schemas.openxmlformats.org/officeDocument/2006/relationships/image" Target="../media/image118.bin"/><Relationship Id="rId325" Type="http://schemas.openxmlformats.org/officeDocument/2006/relationships/image" Target="../media/image325.bin"/><Relationship Id="rId367" Type="http://schemas.openxmlformats.org/officeDocument/2006/relationships/image" Target="../media/image367.bin"/><Relationship Id="rId171" Type="http://schemas.openxmlformats.org/officeDocument/2006/relationships/image" Target="../media/image171.bin"/><Relationship Id="rId227" Type="http://schemas.openxmlformats.org/officeDocument/2006/relationships/image" Target="../media/image227.bin"/><Relationship Id="rId269" Type="http://schemas.openxmlformats.org/officeDocument/2006/relationships/image" Target="../media/image269.bin"/><Relationship Id="rId434" Type="http://schemas.openxmlformats.org/officeDocument/2006/relationships/image" Target="../media/image434.bin"/><Relationship Id="rId33" Type="http://schemas.openxmlformats.org/officeDocument/2006/relationships/image" Target="../media/image33.bin"/><Relationship Id="rId129" Type="http://schemas.openxmlformats.org/officeDocument/2006/relationships/image" Target="../media/image129.bin"/><Relationship Id="rId280" Type="http://schemas.openxmlformats.org/officeDocument/2006/relationships/image" Target="../media/image280.bin"/><Relationship Id="rId336" Type="http://schemas.openxmlformats.org/officeDocument/2006/relationships/image" Target="../media/image336.bin"/><Relationship Id="rId75" Type="http://schemas.openxmlformats.org/officeDocument/2006/relationships/image" Target="../media/image75.bin"/><Relationship Id="rId140" Type="http://schemas.openxmlformats.org/officeDocument/2006/relationships/image" Target="../media/image140.bin"/><Relationship Id="rId182" Type="http://schemas.openxmlformats.org/officeDocument/2006/relationships/image" Target="../media/image182.bin"/><Relationship Id="rId378" Type="http://schemas.openxmlformats.org/officeDocument/2006/relationships/image" Target="../media/image378.bin"/><Relationship Id="rId403" Type="http://schemas.openxmlformats.org/officeDocument/2006/relationships/image" Target="../media/image403.bin"/><Relationship Id="rId6" Type="http://schemas.openxmlformats.org/officeDocument/2006/relationships/image" Target="../media/image6.bin"/><Relationship Id="rId238" Type="http://schemas.openxmlformats.org/officeDocument/2006/relationships/image" Target="../media/image238.bin"/><Relationship Id="rId445" Type="http://schemas.openxmlformats.org/officeDocument/2006/relationships/image" Target="../media/image445.bin"/><Relationship Id="rId291" Type="http://schemas.openxmlformats.org/officeDocument/2006/relationships/image" Target="../media/image291.bin"/><Relationship Id="rId305" Type="http://schemas.openxmlformats.org/officeDocument/2006/relationships/image" Target="../media/image305.bin"/><Relationship Id="rId347" Type="http://schemas.openxmlformats.org/officeDocument/2006/relationships/image" Target="../media/image347.bin"/><Relationship Id="rId44" Type="http://schemas.openxmlformats.org/officeDocument/2006/relationships/image" Target="../media/image44.bin"/><Relationship Id="rId86" Type="http://schemas.openxmlformats.org/officeDocument/2006/relationships/image" Target="../media/image86.bin"/><Relationship Id="rId151" Type="http://schemas.openxmlformats.org/officeDocument/2006/relationships/image" Target="../media/image151.bin"/><Relationship Id="rId389" Type="http://schemas.openxmlformats.org/officeDocument/2006/relationships/image" Target="../media/image389.bin"/><Relationship Id="rId193" Type="http://schemas.openxmlformats.org/officeDocument/2006/relationships/image" Target="../media/image193.bin"/><Relationship Id="rId207" Type="http://schemas.openxmlformats.org/officeDocument/2006/relationships/image" Target="../media/image207.bin"/><Relationship Id="rId249" Type="http://schemas.openxmlformats.org/officeDocument/2006/relationships/image" Target="../media/image249.bin"/><Relationship Id="rId414" Type="http://schemas.openxmlformats.org/officeDocument/2006/relationships/image" Target="../media/image414.bin"/><Relationship Id="rId13" Type="http://schemas.openxmlformats.org/officeDocument/2006/relationships/image" Target="../media/image13.bin"/><Relationship Id="rId109" Type="http://schemas.openxmlformats.org/officeDocument/2006/relationships/image" Target="../media/image109.bin"/><Relationship Id="rId260" Type="http://schemas.openxmlformats.org/officeDocument/2006/relationships/image" Target="../media/image260.bin"/><Relationship Id="rId316" Type="http://schemas.openxmlformats.org/officeDocument/2006/relationships/image" Target="../media/image316.bin"/><Relationship Id="rId55" Type="http://schemas.openxmlformats.org/officeDocument/2006/relationships/image" Target="../media/image55.bin"/><Relationship Id="rId97" Type="http://schemas.openxmlformats.org/officeDocument/2006/relationships/image" Target="../media/image97.bin"/><Relationship Id="rId120" Type="http://schemas.openxmlformats.org/officeDocument/2006/relationships/image" Target="../media/image120.bin"/><Relationship Id="rId358" Type="http://schemas.openxmlformats.org/officeDocument/2006/relationships/image" Target="../media/image358.bin"/><Relationship Id="rId162" Type="http://schemas.openxmlformats.org/officeDocument/2006/relationships/image" Target="../media/image162.bin"/><Relationship Id="rId218" Type="http://schemas.openxmlformats.org/officeDocument/2006/relationships/image" Target="../media/image218.bin"/><Relationship Id="rId425" Type="http://schemas.openxmlformats.org/officeDocument/2006/relationships/image" Target="../media/image425.bin"/><Relationship Id="rId271" Type="http://schemas.openxmlformats.org/officeDocument/2006/relationships/image" Target="../media/image271.bin"/><Relationship Id="rId24" Type="http://schemas.openxmlformats.org/officeDocument/2006/relationships/image" Target="../media/image24.bin"/><Relationship Id="rId66" Type="http://schemas.openxmlformats.org/officeDocument/2006/relationships/image" Target="../media/image66.bin"/><Relationship Id="rId131" Type="http://schemas.openxmlformats.org/officeDocument/2006/relationships/image" Target="../media/image131.bin"/><Relationship Id="rId327" Type="http://schemas.openxmlformats.org/officeDocument/2006/relationships/image" Target="../media/image327.bin"/><Relationship Id="rId369" Type="http://schemas.openxmlformats.org/officeDocument/2006/relationships/image" Target="../media/image369.bin"/><Relationship Id="rId173" Type="http://schemas.openxmlformats.org/officeDocument/2006/relationships/image" Target="../media/image173.bin"/><Relationship Id="rId229" Type="http://schemas.openxmlformats.org/officeDocument/2006/relationships/image" Target="../media/image229.bin"/><Relationship Id="rId380" Type="http://schemas.openxmlformats.org/officeDocument/2006/relationships/image" Target="../media/image380.bin"/><Relationship Id="rId436" Type="http://schemas.openxmlformats.org/officeDocument/2006/relationships/image" Target="../media/image436.bin"/><Relationship Id="rId240" Type="http://schemas.openxmlformats.org/officeDocument/2006/relationships/image" Target="../media/image240.bin"/><Relationship Id="rId35" Type="http://schemas.openxmlformats.org/officeDocument/2006/relationships/image" Target="../media/image35.bin"/><Relationship Id="rId77" Type="http://schemas.openxmlformats.org/officeDocument/2006/relationships/image" Target="../media/image77.bin"/><Relationship Id="rId100" Type="http://schemas.openxmlformats.org/officeDocument/2006/relationships/image" Target="../media/image100.bin"/><Relationship Id="rId282" Type="http://schemas.openxmlformats.org/officeDocument/2006/relationships/image" Target="../media/image282.bin"/><Relationship Id="rId338" Type="http://schemas.openxmlformats.org/officeDocument/2006/relationships/image" Target="../media/image338.bin"/><Relationship Id="rId8" Type="http://schemas.openxmlformats.org/officeDocument/2006/relationships/image" Target="../media/image8.bin"/><Relationship Id="rId142" Type="http://schemas.openxmlformats.org/officeDocument/2006/relationships/image" Target="../media/image142.bin"/><Relationship Id="rId184" Type="http://schemas.openxmlformats.org/officeDocument/2006/relationships/image" Target="../media/image184.bin"/><Relationship Id="rId391" Type="http://schemas.openxmlformats.org/officeDocument/2006/relationships/image" Target="../media/image391.bin"/><Relationship Id="rId405" Type="http://schemas.openxmlformats.org/officeDocument/2006/relationships/image" Target="../media/image405.bin"/><Relationship Id="rId447" Type="http://schemas.openxmlformats.org/officeDocument/2006/relationships/image" Target="../media/image447.bin"/><Relationship Id="rId251" Type="http://schemas.openxmlformats.org/officeDocument/2006/relationships/image" Target="../media/image251.bin"/><Relationship Id="rId46" Type="http://schemas.openxmlformats.org/officeDocument/2006/relationships/image" Target="../media/image46.bin"/><Relationship Id="rId293" Type="http://schemas.openxmlformats.org/officeDocument/2006/relationships/image" Target="../media/image293.bin"/><Relationship Id="rId307" Type="http://schemas.openxmlformats.org/officeDocument/2006/relationships/image" Target="../media/image307.bin"/><Relationship Id="rId349" Type="http://schemas.openxmlformats.org/officeDocument/2006/relationships/image" Target="../media/image349.bin"/><Relationship Id="rId88" Type="http://schemas.openxmlformats.org/officeDocument/2006/relationships/image" Target="../media/image88.bin"/><Relationship Id="rId111" Type="http://schemas.openxmlformats.org/officeDocument/2006/relationships/image" Target="../media/image111.bin"/><Relationship Id="rId153" Type="http://schemas.openxmlformats.org/officeDocument/2006/relationships/image" Target="../media/image153.bin"/><Relationship Id="rId195" Type="http://schemas.openxmlformats.org/officeDocument/2006/relationships/image" Target="../media/image195.bin"/><Relationship Id="rId209" Type="http://schemas.openxmlformats.org/officeDocument/2006/relationships/image" Target="../media/image209.bin"/><Relationship Id="rId360" Type="http://schemas.openxmlformats.org/officeDocument/2006/relationships/image" Target="../media/image360.bin"/><Relationship Id="rId416" Type="http://schemas.openxmlformats.org/officeDocument/2006/relationships/image" Target="../media/image416.bin"/><Relationship Id="rId220" Type="http://schemas.openxmlformats.org/officeDocument/2006/relationships/image" Target="../media/image220.bin"/><Relationship Id="rId15" Type="http://schemas.openxmlformats.org/officeDocument/2006/relationships/image" Target="../media/image15.bin"/><Relationship Id="rId57" Type="http://schemas.openxmlformats.org/officeDocument/2006/relationships/image" Target="../media/image57.bin"/><Relationship Id="rId262" Type="http://schemas.openxmlformats.org/officeDocument/2006/relationships/image" Target="../media/image262.bin"/><Relationship Id="rId318" Type="http://schemas.openxmlformats.org/officeDocument/2006/relationships/image" Target="../media/image318.bin"/><Relationship Id="rId99" Type="http://schemas.openxmlformats.org/officeDocument/2006/relationships/image" Target="../media/image99.bin"/><Relationship Id="rId122" Type="http://schemas.openxmlformats.org/officeDocument/2006/relationships/image" Target="../media/image122.bin"/><Relationship Id="rId164" Type="http://schemas.openxmlformats.org/officeDocument/2006/relationships/image" Target="../media/image164.bin"/><Relationship Id="rId371" Type="http://schemas.openxmlformats.org/officeDocument/2006/relationships/image" Target="../media/image371.bin"/><Relationship Id="rId427" Type="http://schemas.openxmlformats.org/officeDocument/2006/relationships/image" Target="../media/image427.bin"/><Relationship Id="rId26" Type="http://schemas.openxmlformats.org/officeDocument/2006/relationships/image" Target="../media/image26.bin"/><Relationship Id="rId231" Type="http://schemas.openxmlformats.org/officeDocument/2006/relationships/image" Target="../media/image231.bin"/><Relationship Id="rId273" Type="http://schemas.openxmlformats.org/officeDocument/2006/relationships/image" Target="../media/image273.bin"/><Relationship Id="rId329" Type="http://schemas.openxmlformats.org/officeDocument/2006/relationships/image" Target="../media/image329.bin"/><Relationship Id="rId68" Type="http://schemas.openxmlformats.org/officeDocument/2006/relationships/image" Target="../media/image68.bin"/><Relationship Id="rId133" Type="http://schemas.openxmlformats.org/officeDocument/2006/relationships/image" Target="../media/image133.bin"/><Relationship Id="rId175" Type="http://schemas.openxmlformats.org/officeDocument/2006/relationships/image" Target="../media/image175.bin"/><Relationship Id="rId340" Type="http://schemas.openxmlformats.org/officeDocument/2006/relationships/image" Target="../media/image340.bin"/><Relationship Id="rId200" Type="http://schemas.openxmlformats.org/officeDocument/2006/relationships/image" Target="../media/image200.bin"/><Relationship Id="rId382" Type="http://schemas.openxmlformats.org/officeDocument/2006/relationships/image" Target="../media/image382.bin"/><Relationship Id="rId438" Type="http://schemas.openxmlformats.org/officeDocument/2006/relationships/image" Target="../media/image438.bin"/><Relationship Id="rId242" Type="http://schemas.openxmlformats.org/officeDocument/2006/relationships/image" Target="../media/image242.bin"/><Relationship Id="rId284" Type="http://schemas.openxmlformats.org/officeDocument/2006/relationships/image" Target="../media/image284.bin"/><Relationship Id="rId37" Type="http://schemas.openxmlformats.org/officeDocument/2006/relationships/image" Target="../media/image37.bin"/><Relationship Id="rId79" Type="http://schemas.openxmlformats.org/officeDocument/2006/relationships/image" Target="../media/image79.bin"/><Relationship Id="rId102" Type="http://schemas.openxmlformats.org/officeDocument/2006/relationships/image" Target="../media/image102.bin"/><Relationship Id="rId144" Type="http://schemas.openxmlformats.org/officeDocument/2006/relationships/image" Target="../media/image144.bin"/><Relationship Id="rId90" Type="http://schemas.openxmlformats.org/officeDocument/2006/relationships/image" Target="../media/image90.bin"/><Relationship Id="rId186" Type="http://schemas.openxmlformats.org/officeDocument/2006/relationships/image" Target="../media/image186.bin"/><Relationship Id="rId351" Type="http://schemas.openxmlformats.org/officeDocument/2006/relationships/image" Target="../media/image351.bin"/><Relationship Id="rId393" Type="http://schemas.openxmlformats.org/officeDocument/2006/relationships/image" Target="../media/image393.bin"/><Relationship Id="rId407" Type="http://schemas.openxmlformats.org/officeDocument/2006/relationships/image" Target="../media/image407.bin"/><Relationship Id="rId449" Type="http://schemas.openxmlformats.org/officeDocument/2006/relationships/image" Target="../media/image449.bin"/><Relationship Id="rId211" Type="http://schemas.openxmlformats.org/officeDocument/2006/relationships/image" Target="../media/image211.bin"/><Relationship Id="rId253" Type="http://schemas.openxmlformats.org/officeDocument/2006/relationships/image" Target="../media/image253.bin"/><Relationship Id="rId295" Type="http://schemas.openxmlformats.org/officeDocument/2006/relationships/image" Target="../media/image295.bin"/><Relationship Id="rId309" Type="http://schemas.openxmlformats.org/officeDocument/2006/relationships/image" Target="../media/image309.bin"/><Relationship Id="rId48" Type="http://schemas.openxmlformats.org/officeDocument/2006/relationships/image" Target="../media/image48.bin"/><Relationship Id="rId113" Type="http://schemas.openxmlformats.org/officeDocument/2006/relationships/image" Target="../media/image113.bin"/><Relationship Id="rId320" Type="http://schemas.openxmlformats.org/officeDocument/2006/relationships/image" Target="../media/image320.bin"/><Relationship Id="rId155" Type="http://schemas.openxmlformats.org/officeDocument/2006/relationships/image" Target="../media/image155.bin"/><Relationship Id="rId197" Type="http://schemas.openxmlformats.org/officeDocument/2006/relationships/image" Target="../media/image197.bin"/><Relationship Id="rId362" Type="http://schemas.openxmlformats.org/officeDocument/2006/relationships/image" Target="../media/image362.bin"/><Relationship Id="rId418" Type="http://schemas.openxmlformats.org/officeDocument/2006/relationships/image" Target="../media/image418.bin"/><Relationship Id="rId222" Type="http://schemas.openxmlformats.org/officeDocument/2006/relationships/image" Target="../media/image222.bin"/><Relationship Id="rId264" Type="http://schemas.openxmlformats.org/officeDocument/2006/relationships/image" Target="../media/image264.bin"/><Relationship Id="rId17" Type="http://schemas.openxmlformats.org/officeDocument/2006/relationships/image" Target="../media/image17.bin"/><Relationship Id="rId59" Type="http://schemas.openxmlformats.org/officeDocument/2006/relationships/image" Target="../media/image59.bin"/><Relationship Id="rId124" Type="http://schemas.openxmlformats.org/officeDocument/2006/relationships/image" Target="../media/image124.bin"/><Relationship Id="rId70" Type="http://schemas.openxmlformats.org/officeDocument/2006/relationships/image" Target="../media/image70.bin"/><Relationship Id="rId166" Type="http://schemas.openxmlformats.org/officeDocument/2006/relationships/image" Target="../media/image166.bin"/><Relationship Id="rId331" Type="http://schemas.openxmlformats.org/officeDocument/2006/relationships/image" Target="../media/image331.bin"/><Relationship Id="rId373" Type="http://schemas.openxmlformats.org/officeDocument/2006/relationships/image" Target="../media/image373.bin"/><Relationship Id="rId429" Type="http://schemas.openxmlformats.org/officeDocument/2006/relationships/image" Target="../media/image429.bin"/><Relationship Id="rId1" Type="http://schemas.openxmlformats.org/officeDocument/2006/relationships/image" Target="../media/image1.bin"/><Relationship Id="rId233" Type="http://schemas.openxmlformats.org/officeDocument/2006/relationships/image" Target="../media/image233.bin"/><Relationship Id="rId440" Type="http://schemas.openxmlformats.org/officeDocument/2006/relationships/image" Target="../media/image440.bin"/><Relationship Id="rId28" Type="http://schemas.openxmlformats.org/officeDocument/2006/relationships/image" Target="../media/image28.bin"/><Relationship Id="rId275" Type="http://schemas.openxmlformats.org/officeDocument/2006/relationships/image" Target="../media/image275.bin"/><Relationship Id="rId300" Type="http://schemas.openxmlformats.org/officeDocument/2006/relationships/image" Target="../media/image300.bin"/><Relationship Id="rId81" Type="http://schemas.openxmlformats.org/officeDocument/2006/relationships/image" Target="../media/image81.bin"/><Relationship Id="rId135" Type="http://schemas.openxmlformats.org/officeDocument/2006/relationships/image" Target="../media/image135.bin"/><Relationship Id="rId177" Type="http://schemas.openxmlformats.org/officeDocument/2006/relationships/image" Target="../media/image177.bin"/><Relationship Id="rId342" Type="http://schemas.openxmlformats.org/officeDocument/2006/relationships/image" Target="../media/image342.bin"/><Relationship Id="rId384" Type="http://schemas.openxmlformats.org/officeDocument/2006/relationships/image" Target="../media/image384.bin"/><Relationship Id="rId202" Type="http://schemas.openxmlformats.org/officeDocument/2006/relationships/image" Target="../media/image202.bin"/><Relationship Id="rId244" Type="http://schemas.openxmlformats.org/officeDocument/2006/relationships/image" Target="../media/image244.bin"/><Relationship Id="rId39" Type="http://schemas.openxmlformats.org/officeDocument/2006/relationships/image" Target="../media/image39.bin"/><Relationship Id="rId286" Type="http://schemas.openxmlformats.org/officeDocument/2006/relationships/image" Target="../media/image286.bin"/><Relationship Id="rId451" Type="http://schemas.openxmlformats.org/officeDocument/2006/relationships/image" Target="../media/image451.bin"/><Relationship Id="rId50" Type="http://schemas.openxmlformats.org/officeDocument/2006/relationships/image" Target="../media/image50.bin"/><Relationship Id="rId104" Type="http://schemas.openxmlformats.org/officeDocument/2006/relationships/image" Target="../media/image104.bin"/><Relationship Id="rId146" Type="http://schemas.openxmlformats.org/officeDocument/2006/relationships/image" Target="../media/image146.bin"/><Relationship Id="rId188" Type="http://schemas.openxmlformats.org/officeDocument/2006/relationships/image" Target="../media/image188.bin"/><Relationship Id="rId311" Type="http://schemas.openxmlformats.org/officeDocument/2006/relationships/image" Target="../media/image311.bin"/><Relationship Id="rId353" Type="http://schemas.openxmlformats.org/officeDocument/2006/relationships/image" Target="../media/image353.bin"/><Relationship Id="rId395" Type="http://schemas.openxmlformats.org/officeDocument/2006/relationships/image" Target="../media/image395.bin"/><Relationship Id="rId409" Type="http://schemas.openxmlformats.org/officeDocument/2006/relationships/image" Target="../media/image409.bin"/></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12</xdr:row>
      <xdr:rowOff>38100</xdr:rowOff>
    </xdr:from>
    <xdr:to>
      <xdr:col>2</xdr:col>
      <xdr:colOff>1181100</xdr:colOff>
      <xdr:row>12</xdr:row>
      <xdr:rowOff>361950</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143000" cy="323850"/>
        </a:xfrm>
        <a:prstGeom prst="rect">
          <a:avLst/>
        </a:prstGeom>
        <a:noFill/>
      </xdr:spPr>
    </xdr:pic>
    <xdr:clientData/>
  </xdr:twoCellAnchor>
  <xdr:twoCellAnchor editAs="oneCell">
    <xdr:from>
      <xdr:col>2</xdr:col>
      <xdr:colOff>38100</xdr:colOff>
      <xdr:row>13</xdr:row>
      <xdr:rowOff>38100</xdr:rowOff>
    </xdr:from>
    <xdr:to>
      <xdr:col>2</xdr:col>
      <xdr:colOff>1181100</xdr:colOff>
      <xdr:row>13</xdr:row>
      <xdr:rowOff>390525</xdr:rowOff>
    </xdr:to>
    <xdr:pic>
      <xdr:nvPicPr>
        <xdr:cNvPr id="1026" name="Picture 2">
          <a:extLst>
            <a:ext uri="{FF2B5EF4-FFF2-40B4-BE49-F238E27FC236}">
              <a16:creationId xmlns:a16="http://schemas.microsoft.com/office/drawing/2014/main" id="{00000000-0008-0000-0000-000002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0" y="0"/>
          <a:ext cx="1143000" cy="352425"/>
        </a:xfrm>
        <a:prstGeom prst="rect">
          <a:avLst/>
        </a:prstGeom>
        <a:noFill/>
      </xdr:spPr>
    </xdr:pic>
    <xdr:clientData/>
  </xdr:twoCellAnchor>
  <xdr:twoCellAnchor editAs="oneCell">
    <xdr:from>
      <xdr:col>2</xdr:col>
      <xdr:colOff>38100</xdr:colOff>
      <xdr:row>16</xdr:row>
      <xdr:rowOff>38100</xdr:rowOff>
    </xdr:from>
    <xdr:to>
      <xdr:col>2</xdr:col>
      <xdr:colOff>1181100</xdr:colOff>
      <xdr:row>16</xdr:row>
      <xdr:rowOff>590550</xdr:rowOff>
    </xdr:to>
    <xdr:pic>
      <xdr:nvPicPr>
        <xdr:cNvPr id="1027" name="Picture 3">
          <a:extLst>
            <a:ext uri="{FF2B5EF4-FFF2-40B4-BE49-F238E27FC236}">
              <a16:creationId xmlns:a16="http://schemas.microsoft.com/office/drawing/2014/main" id="{00000000-0008-0000-0000-00000304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0"/>
          <a:ext cx="1143000" cy="552450"/>
        </a:xfrm>
        <a:prstGeom prst="rect">
          <a:avLst/>
        </a:prstGeom>
        <a:noFill/>
      </xdr:spPr>
    </xdr:pic>
    <xdr:clientData/>
  </xdr:twoCellAnchor>
  <xdr:twoCellAnchor editAs="oneCell">
    <xdr:from>
      <xdr:col>2</xdr:col>
      <xdr:colOff>38100</xdr:colOff>
      <xdr:row>17</xdr:row>
      <xdr:rowOff>38100</xdr:rowOff>
    </xdr:from>
    <xdr:to>
      <xdr:col>2</xdr:col>
      <xdr:colOff>1047750</xdr:colOff>
      <xdr:row>17</xdr:row>
      <xdr:rowOff>1181100</xdr:rowOff>
    </xdr:to>
    <xdr:pic>
      <xdr:nvPicPr>
        <xdr:cNvPr id="1028" name="Picture 4">
          <a:extLst>
            <a:ext uri="{FF2B5EF4-FFF2-40B4-BE49-F238E27FC236}">
              <a16:creationId xmlns:a16="http://schemas.microsoft.com/office/drawing/2014/main" id="{00000000-0008-0000-0000-00000404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0" y="0"/>
          <a:ext cx="1009650" cy="1143000"/>
        </a:xfrm>
        <a:prstGeom prst="rect">
          <a:avLst/>
        </a:prstGeom>
        <a:noFill/>
      </xdr:spPr>
    </xdr:pic>
    <xdr:clientData/>
  </xdr:twoCellAnchor>
  <xdr:twoCellAnchor editAs="oneCell">
    <xdr:from>
      <xdr:col>2</xdr:col>
      <xdr:colOff>38100</xdr:colOff>
      <xdr:row>18</xdr:row>
      <xdr:rowOff>38100</xdr:rowOff>
    </xdr:from>
    <xdr:to>
      <xdr:col>2</xdr:col>
      <xdr:colOff>404220</xdr:colOff>
      <xdr:row>18</xdr:row>
      <xdr:rowOff>227262</xdr:rowOff>
    </xdr:to>
    <xdr:pic>
      <xdr:nvPicPr>
        <xdr:cNvPr id="1029" name="Picture 5">
          <a:extLst>
            <a:ext uri="{FF2B5EF4-FFF2-40B4-BE49-F238E27FC236}">
              <a16:creationId xmlns:a16="http://schemas.microsoft.com/office/drawing/2014/main" id="{00000000-0008-0000-0000-00000504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0" y="0"/>
          <a:ext cx="366120" cy="189162"/>
        </a:xfrm>
        <a:prstGeom prst="rect">
          <a:avLst/>
        </a:prstGeom>
        <a:noFill/>
      </xdr:spPr>
    </xdr:pic>
    <xdr:clientData/>
  </xdr:twoCellAnchor>
  <xdr:twoCellAnchor editAs="oneCell">
    <xdr:from>
      <xdr:col>2</xdr:col>
      <xdr:colOff>38100</xdr:colOff>
      <xdr:row>20</xdr:row>
      <xdr:rowOff>38100</xdr:rowOff>
    </xdr:from>
    <xdr:to>
      <xdr:col>2</xdr:col>
      <xdr:colOff>1181100</xdr:colOff>
      <xdr:row>20</xdr:row>
      <xdr:rowOff>1181100</xdr:rowOff>
    </xdr:to>
    <xdr:pic>
      <xdr:nvPicPr>
        <xdr:cNvPr id="1030" name="Picture 6">
          <a:extLst>
            <a:ext uri="{FF2B5EF4-FFF2-40B4-BE49-F238E27FC236}">
              <a16:creationId xmlns:a16="http://schemas.microsoft.com/office/drawing/2014/main" id="{00000000-0008-0000-0000-00000604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21</xdr:row>
      <xdr:rowOff>38100</xdr:rowOff>
    </xdr:from>
    <xdr:to>
      <xdr:col>2</xdr:col>
      <xdr:colOff>1181100</xdr:colOff>
      <xdr:row>21</xdr:row>
      <xdr:rowOff>685800</xdr:rowOff>
    </xdr:to>
    <xdr:pic>
      <xdr:nvPicPr>
        <xdr:cNvPr id="1031" name="Picture 7">
          <a:extLst>
            <a:ext uri="{FF2B5EF4-FFF2-40B4-BE49-F238E27FC236}">
              <a16:creationId xmlns:a16="http://schemas.microsoft.com/office/drawing/2014/main" id="{00000000-0008-0000-0000-00000704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0" y="0"/>
          <a:ext cx="1143000" cy="647700"/>
        </a:xfrm>
        <a:prstGeom prst="rect">
          <a:avLst/>
        </a:prstGeom>
        <a:noFill/>
      </xdr:spPr>
    </xdr:pic>
    <xdr:clientData/>
  </xdr:twoCellAnchor>
  <xdr:twoCellAnchor editAs="oneCell">
    <xdr:from>
      <xdr:col>2</xdr:col>
      <xdr:colOff>38100</xdr:colOff>
      <xdr:row>23</xdr:row>
      <xdr:rowOff>38100</xdr:rowOff>
    </xdr:from>
    <xdr:to>
      <xdr:col>2</xdr:col>
      <xdr:colOff>1181100</xdr:colOff>
      <xdr:row>23</xdr:row>
      <xdr:rowOff>1181100</xdr:rowOff>
    </xdr:to>
    <xdr:pic>
      <xdr:nvPicPr>
        <xdr:cNvPr id="1032" name="Picture 8">
          <a:extLst>
            <a:ext uri="{FF2B5EF4-FFF2-40B4-BE49-F238E27FC236}">
              <a16:creationId xmlns:a16="http://schemas.microsoft.com/office/drawing/2014/main" id="{00000000-0008-0000-0000-00000804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24</xdr:row>
      <xdr:rowOff>38100</xdr:rowOff>
    </xdr:from>
    <xdr:to>
      <xdr:col>2</xdr:col>
      <xdr:colOff>769620</xdr:colOff>
      <xdr:row>24</xdr:row>
      <xdr:rowOff>202692</xdr:rowOff>
    </xdr:to>
    <xdr:pic>
      <xdr:nvPicPr>
        <xdr:cNvPr id="1033" name="Picture 9">
          <a:extLst>
            <a:ext uri="{FF2B5EF4-FFF2-40B4-BE49-F238E27FC236}">
              <a16:creationId xmlns:a16="http://schemas.microsoft.com/office/drawing/2014/main" id="{00000000-0008-0000-0000-00000904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0" y="0"/>
          <a:ext cx="731520" cy="164592"/>
        </a:xfrm>
        <a:prstGeom prst="rect">
          <a:avLst/>
        </a:prstGeom>
        <a:noFill/>
      </xdr:spPr>
    </xdr:pic>
    <xdr:clientData/>
  </xdr:twoCellAnchor>
  <xdr:twoCellAnchor editAs="oneCell">
    <xdr:from>
      <xdr:col>2</xdr:col>
      <xdr:colOff>38100</xdr:colOff>
      <xdr:row>27</xdr:row>
      <xdr:rowOff>38100</xdr:rowOff>
    </xdr:from>
    <xdr:to>
      <xdr:col>2</xdr:col>
      <xdr:colOff>1181100</xdr:colOff>
      <xdr:row>27</xdr:row>
      <xdr:rowOff>1181100</xdr:rowOff>
    </xdr:to>
    <xdr:pic>
      <xdr:nvPicPr>
        <xdr:cNvPr id="1034" name="Picture 10">
          <a:extLst>
            <a:ext uri="{FF2B5EF4-FFF2-40B4-BE49-F238E27FC236}">
              <a16:creationId xmlns:a16="http://schemas.microsoft.com/office/drawing/2014/main" id="{00000000-0008-0000-0000-00000A04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28</xdr:row>
      <xdr:rowOff>38100</xdr:rowOff>
    </xdr:from>
    <xdr:to>
      <xdr:col>2</xdr:col>
      <xdr:colOff>1181100</xdr:colOff>
      <xdr:row>28</xdr:row>
      <xdr:rowOff>1162050</xdr:rowOff>
    </xdr:to>
    <xdr:pic>
      <xdr:nvPicPr>
        <xdr:cNvPr id="1035" name="Picture 11">
          <a:extLst>
            <a:ext uri="{FF2B5EF4-FFF2-40B4-BE49-F238E27FC236}">
              <a16:creationId xmlns:a16="http://schemas.microsoft.com/office/drawing/2014/main" id="{00000000-0008-0000-0000-00000B04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0" y="0"/>
          <a:ext cx="1143000" cy="1123950"/>
        </a:xfrm>
        <a:prstGeom prst="rect">
          <a:avLst/>
        </a:prstGeom>
        <a:noFill/>
      </xdr:spPr>
    </xdr:pic>
    <xdr:clientData/>
  </xdr:twoCellAnchor>
  <xdr:twoCellAnchor editAs="oneCell">
    <xdr:from>
      <xdr:col>2</xdr:col>
      <xdr:colOff>38100</xdr:colOff>
      <xdr:row>30</xdr:row>
      <xdr:rowOff>38100</xdr:rowOff>
    </xdr:from>
    <xdr:to>
      <xdr:col>2</xdr:col>
      <xdr:colOff>1181220</xdr:colOff>
      <xdr:row>30</xdr:row>
      <xdr:rowOff>381036</xdr:rowOff>
    </xdr:to>
    <xdr:pic>
      <xdr:nvPicPr>
        <xdr:cNvPr id="1036" name="Picture 12">
          <a:extLst>
            <a:ext uri="{FF2B5EF4-FFF2-40B4-BE49-F238E27FC236}">
              <a16:creationId xmlns:a16="http://schemas.microsoft.com/office/drawing/2014/main" id="{00000000-0008-0000-0000-00000C04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0" y="0"/>
          <a:ext cx="1143120" cy="342936"/>
        </a:xfrm>
        <a:prstGeom prst="rect">
          <a:avLst/>
        </a:prstGeom>
        <a:noFill/>
      </xdr:spPr>
    </xdr:pic>
    <xdr:clientData/>
  </xdr:twoCellAnchor>
  <xdr:twoCellAnchor editAs="oneCell">
    <xdr:from>
      <xdr:col>2</xdr:col>
      <xdr:colOff>38100</xdr:colOff>
      <xdr:row>33</xdr:row>
      <xdr:rowOff>38100</xdr:rowOff>
    </xdr:from>
    <xdr:to>
      <xdr:col>2</xdr:col>
      <xdr:colOff>1181100</xdr:colOff>
      <xdr:row>33</xdr:row>
      <xdr:rowOff>542925</xdr:rowOff>
    </xdr:to>
    <xdr:pic>
      <xdr:nvPicPr>
        <xdr:cNvPr id="1037" name="Picture 13">
          <a:extLst>
            <a:ext uri="{FF2B5EF4-FFF2-40B4-BE49-F238E27FC236}">
              <a16:creationId xmlns:a16="http://schemas.microsoft.com/office/drawing/2014/main" id="{00000000-0008-0000-0000-00000D04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0" y="0"/>
          <a:ext cx="1143000" cy="504825"/>
        </a:xfrm>
        <a:prstGeom prst="rect">
          <a:avLst/>
        </a:prstGeom>
        <a:noFill/>
      </xdr:spPr>
    </xdr:pic>
    <xdr:clientData/>
  </xdr:twoCellAnchor>
  <xdr:twoCellAnchor editAs="oneCell">
    <xdr:from>
      <xdr:col>2</xdr:col>
      <xdr:colOff>38100</xdr:colOff>
      <xdr:row>35</xdr:row>
      <xdr:rowOff>38100</xdr:rowOff>
    </xdr:from>
    <xdr:to>
      <xdr:col>2</xdr:col>
      <xdr:colOff>1181100</xdr:colOff>
      <xdr:row>35</xdr:row>
      <xdr:rowOff>962025</xdr:rowOff>
    </xdr:to>
    <xdr:pic>
      <xdr:nvPicPr>
        <xdr:cNvPr id="1038" name="Picture 14">
          <a:extLst>
            <a:ext uri="{FF2B5EF4-FFF2-40B4-BE49-F238E27FC236}">
              <a16:creationId xmlns:a16="http://schemas.microsoft.com/office/drawing/2014/main" id="{00000000-0008-0000-0000-00000E04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0" y="0"/>
          <a:ext cx="1143000" cy="923925"/>
        </a:xfrm>
        <a:prstGeom prst="rect">
          <a:avLst/>
        </a:prstGeom>
        <a:noFill/>
      </xdr:spPr>
    </xdr:pic>
    <xdr:clientData/>
  </xdr:twoCellAnchor>
  <xdr:twoCellAnchor editAs="oneCell">
    <xdr:from>
      <xdr:col>2</xdr:col>
      <xdr:colOff>38100</xdr:colOff>
      <xdr:row>36</xdr:row>
      <xdr:rowOff>38100</xdr:rowOff>
    </xdr:from>
    <xdr:to>
      <xdr:col>2</xdr:col>
      <xdr:colOff>403860</xdr:colOff>
      <xdr:row>36</xdr:row>
      <xdr:rowOff>403860</xdr:rowOff>
    </xdr:to>
    <xdr:pic>
      <xdr:nvPicPr>
        <xdr:cNvPr id="1039" name="Picture 15">
          <a:extLst>
            <a:ext uri="{FF2B5EF4-FFF2-40B4-BE49-F238E27FC236}">
              <a16:creationId xmlns:a16="http://schemas.microsoft.com/office/drawing/2014/main" id="{00000000-0008-0000-0000-00000F04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38</xdr:row>
      <xdr:rowOff>38100</xdr:rowOff>
    </xdr:from>
    <xdr:to>
      <xdr:col>2</xdr:col>
      <xdr:colOff>1562100</xdr:colOff>
      <xdr:row>38</xdr:row>
      <xdr:rowOff>800100</xdr:rowOff>
    </xdr:to>
    <xdr:pic>
      <xdr:nvPicPr>
        <xdr:cNvPr id="1040" name="Picture 16">
          <a:extLst>
            <a:ext uri="{FF2B5EF4-FFF2-40B4-BE49-F238E27FC236}">
              <a16:creationId xmlns:a16="http://schemas.microsoft.com/office/drawing/2014/main" id="{00000000-0008-0000-0000-000010040000}"/>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0" y="0"/>
          <a:ext cx="1524000" cy="762000"/>
        </a:xfrm>
        <a:prstGeom prst="rect">
          <a:avLst/>
        </a:prstGeom>
        <a:noFill/>
      </xdr:spPr>
    </xdr:pic>
    <xdr:clientData/>
  </xdr:twoCellAnchor>
  <xdr:twoCellAnchor editAs="oneCell">
    <xdr:from>
      <xdr:col>2</xdr:col>
      <xdr:colOff>38100</xdr:colOff>
      <xdr:row>40</xdr:row>
      <xdr:rowOff>38100</xdr:rowOff>
    </xdr:from>
    <xdr:to>
      <xdr:col>2</xdr:col>
      <xdr:colOff>1095375</xdr:colOff>
      <xdr:row>40</xdr:row>
      <xdr:rowOff>1181100</xdr:rowOff>
    </xdr:to>
    <xdr:pic>
      <xdr:nvPicPr>
        <xdr:cNvPr id="1041" name="Picture 17">
          <a:extLst>
            <a:ext uri="{FF2B5EF4-FFF2-40B4-BE49-F238E27FC236}">
              <a16:creationId xmlns:a16="http://schemas.microsoft.com/office/drawing/2014/main" id="{00000000-0008-0000-0000-000011040000}"/>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0" y="0"/>
          <a:ext cx="1057275" cy="1143000"/>
        </a:xfrm>
        <a:prstGeom prst="rect">
          <a:avLst/>
        </a:prstGeom>
        <a:noFill/>
      </xdr:spPr>
    </xdr:pic>
    <xdr:clientData/>
  </xdr:twoCellAnchor>
  <xdr:twoCellAnchor editAs="oneCell">
    <xdr:from>
      <xdr:col>2</xdr:col>
      <xdr:colOff>38100</xdr:colOff>
      <xdr:row>41</xdr:row>
      <xdr:rowOff>38100</xdr:rowOff>
    </xdr:from>
    <xdr:to>
      <xdr:col>2</xdr:col>
      <xdr:colOff>1028700</xdr:colOff>
      <xdr:row>41</xdr:row>
      <xdr:rowOff>1181100</xdr:rowOff>
    </xdr:to>
    <xdr:pic>
      <xdr:nvPicPr>
        <xdr:cNvPr id="1042" name="Picture 18">
          <a:extLst>
            <a:ext uri="{FF2B5EF4-FFF2-40B4-BE49-F238E27FC236}">
              <a16:creationId xmlns:a16="http://schemas.microsoft.com/office/drawing/2014/main" id="{00000000-0008-0000-0000-000012040000}"/>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a:off x="0" y="0"/>
          <a:ext cx="990600" cy="1143000"/>
        </a:xfrm>
        <a:prstGeom prst="rect">
          <a:avLst/>
        </a:prstGeom>
        <a:noFill/>
      </xdr:spPr>
    </xdr:pic>
    <xdr:clientData/>
  </xdr:twoCellAnchor>
  <xdr:twoCellAnchor editAs="oneCell">
    <xdr:from>
      <xdr:col>2</xdr:col>
      <xdr:colOff>38100</xdr:colOff>
      <xdr:row>42</xdr:row>
      <xdr:rowOff>38100</xdr:rowOff>
    </xdr:from>
    <xdr:to>
      <xdr:col>2</xdr:col>
      <xdr:colOff>1181100</xdr:colOff>
      <xdr:row>42</xdr:row>
      <xdr:rowOff>342900</xdr:rowOff>
    </xdr:to>
    <xdr:pic>
      <xdr:nvPicPr>
        <xdr:cNvPr id="1043" name="Picture 19">
          <a:extLst>
            <a:ext uri="{FF2B5EF4-FFF2-40B4-BE49-F238E27FC236}">
              <a16:creationId xmlns:a16="http://schemas.microsoft.com/office/drawing/2014/main" id="{00000000-0008-0000-0000-000013040000}"/>
            </a:ext>
          </a:extLst>
        </xdr:cNvPr>
        <xdr:cNvPicPr>
          <a:picLocks noChangeAspect="1" noChangeArrowheads="1"/>
        </xdr:cNvPicPr>
      </xdr:nvPicPr>
      <xdr:blipFill>
        <a:blip xmlns:r="http://schemas.openxmlformats.org/officeDocument/2006/relationships" r:embed="rId19" cstate="print"/>
        <a:srcRect/>
        <a:stretch>
          <a:fillRect/>
        </a:stretch>
      </xdr:blipFill>
      <xdr:spPr bwMode="auto">
        <a:xfrm>
          <a:off x="0" y="0"/>
          <a:ext cx="1143000" cy="304800"/>
        </a:xfrm>
        <a:prstGeom prst="rect">
          <a:avLst/>
        </a:prstGeom>
        <a:noFill/>
      </xdr:spPr>
    </xdr:pic>
    <xdr:clientData/>
  </xdr:twoCellAnchor>
  <xdr:twoCellAnchor editAs="oneCell">
    <xdr:from>
      <xdr:col>2</xdr:col>
      <xdr:colOff>38100</xdr:colOff>
      <xdr:row>43</xdr:row>
      <xdr:rowOff>38100</xdr:rowOff>
    </xdr:from>
    <xdr:to>
      <xdr:col>2</xdr:col>
      <xdr:colOff>109766100</xdr:colOff>
      <xdr:row>43</xdr:row>
      <xdr:rowOff>28384500</xdr:rowOff>
    </xdr:to>
    <xdr:pic>
      <xdr:nvPicPr>
        <xdr:cNvPr id="1044" name="Picture 20">
          <a:extLst>
            <a:ext uri="{FF2B5EF4-FFF2-40B4-BE49-F238E27FC236}">
              <a16:creationId xmlns:a16="http://schemas.microsoft.com/office/drawing/2014/main" id="{00000000-0008-0000-0000-000014040000}"/>
            </a:ext>
          </a:extLst>
        </xdr:cNvPr>
        <xdr:cNvPicPr>
          <a:picLocks noChangeAspect="1" noChangeArrowheads="1"/>
        </xdr:cNvPicPr>
      </xdr:nvPicPr>
      <xdr:blipFill>
        <a:blip xmlns:r="http://schemas.openxmlformats.org/officeDocument/2006/relationships" r:embed="rId20" cstate="print"/>
        <a:srcRect/>
        <a:stretch>
          <a:fillRect/>
        </a:stretch>
      </xdr:blipFill>
      <xdr:spPr bwMode="auto">
        <a:xfrm>
          <a:off x="0" y="0"/>
          <a:ext cx="109728000" cy="28346400"/>
        </a:xfrm>
        <a:prstGeom prst="rect">
          <a:avLst/>
        </a:prstGeom>
        <a:noFill/>
      </xdr:spPr>
    </xdr:pic>
    <xdr:clientData/>
  </xdr:twoCellAnchor>
  <xdr:twoCellAnchor editAs="oneCell">
    <xdr:from>
      <xdr:col>2</xdr:col>
      <xdr:colOff>38100</xdr:colOff>
      <xdr:row>44</xdr:row>
      <xdr:rowOff>38100</xdr:rowOff>
    </xdr:from>
    <xdr:to>
      <xdr:col>2</xdr:col>
      <xdr:colOff>403860</xdr:colOff>
      <xdr:row>44</xdr:row>
      <xdr:rowOff>321564</xdr:rowOff>
    </xdr:to>
    <xdr:pic>
      <xdr:nvPicPr>
        <xdr:cNvPr id="1045" name="Picture 21">
          <a:extLst>
            <a:ext uri="{FF2B5EF4-FFF2-40B4-BE49-F238E27FC236}">
              <a16:creationId xmlns:a16="http://schemas.microsoft.com/office/drawing/2014/main" id="{00000000-0008-0000-0000-000015040000}"/>
            </a:ext>
          </a:extLst>
        </xdr:cNvPr>
        <xdr:cNvPicPr>
          <a:picLocks noChangeAspect="1" noChangeArrowheads="1"/>
        </xdr:cNvPicPr>
      </xdr:nvPicPr>
      <xdr:blipFill>
        <a:blip xmlns:r="http://schemas.openxmlformats.org/officeDocument/2006/relationships" r:embed="rId21" cstate="print"/>
        <a:srcRect/>
        <a:stretch>
          <a:fillRect/>
        </a:stretch>
      </xdr:blipFill>
      <xdr:spPr bwMode="auto">
        <a:xfrm>
          <a:off x="0" y="0"/>
          <a:ext cx="365760" cy="283464"/>
        </a:xfrm>
        <a:prstGeom prst="rect">
          <a:avLst/>
        </a:prstGeom>
        <a:noFill/>
      </xdr:spPr>
    </xdr:pic>
    <xdr:clientData/>
  </xdr:twoCellAnchor>
  <xdr:twoCellAnchor editAs="oneCell">
    <xdr:from>
      <xdr:col>2</xdr:col>
      <xdr:colOff>38100</xdr:colOff>
      <xdr:row>45</xdr:row>
      <xdr:rowOff>38100</xdr:rowOff>
    </xdr:from>
    <xdr:to>
      <xdr:col>2</xdr:col>
      <xdr:colOff>1181100</xdr:colOff>
      <xdr:row>45</xdr:row>
      <xdr:rowOff>800100</xdr:rowOff>
    </xdr:to>
    <xdr:pic>
      <xdr:nvPicPr>
        <xdr:cNvPr id="1046" name="Picture 22">
          <a:extLst>
            <a:ext uri="{FF2B5EF4-FFF2-40B4-BE49-F238E27FC236}">
              <a16:creationId xmlns:a16="http://schemas.microsoft.com/office/drawing/2014/main" id="{00000000-0008-0000-0000-000016040000}"/>
            </a:ext>
          </a:extLst>
        </xdr:cNvPr>
        <xdr:cNvPicPr>
          <a:picLocks noChangeAspect="1" noChangeArrowheads="1"/>
        </xdr:cNvPicPr>
      </xdr:nvPicPr>
      <xdr:blipFill>
        <a:blip xmlns:r="http://schemas.openxmlformats.org/officeDocument/2006/relationships" r:embed="rId22" cstate="print"/>
        <a:srcRect/>
        <a:stretch>
          <a:fillRect/>
        </a:stretch>
      </xdr:blipFill>
      <xdr:spPr bwMode="auto">
        <a:xfrm>
          <a:off x="0" y="0"/>
          <a:ext cx="1143000" cy="762000"/>
        </a:xfrm>
        <a:prstGeom prst="rect">
          <a:avLst/>
        </a:prstGeom>
        <a:noFill/>
      </xdr:spPr>
    </xdr:pic>
    <xdr:clientData/>
  </xdr:twoCellAnchor>
  <xdr:twoCellAnchor editAs="oneCell">
    <xdr:from>
      <xdr:col>2</xdr:col>
      <xdr:colOff>38100</xdr:colOff>
      <xdr:row>49</xdr:row>
      <xdr:rowOff>38100</xdr:rowOff>
    </xdr:from>
    <xdr:to>
      <xdr:col>2</xdr:col>
      <xdr:colOff>800100</xdr:colOff>
      <xdr:row>49</xdr:row>
      <xdr:rowOff>209550</xdr:rowOff>
    </xdr:to>
    <xdr:pic>
      <xdr:nvPicPr>
        <xdr:cNvPr id="1047" name="Picture 23">
          <a:extLst>
            <a:ext uri="{FF2B5EF4-FFF2-40B4-BE49-F238E27FC236}">
              <a16:creationId xmlns:a16="http://schemas.microsoft.com/office/drawing/2014/main" id="{00000000-0008-0000-0000-000017040000}"/>
            </a:ext>
          </a:extLst>
        </xdr:cNvPr>
        <xdr:cNvPicPr>
          <a:picLocks noChangeAspect="1" noChangeArrowheads="1"/>
        </xdr:cNvPicPr>
      </xdr:nvPicPr>
      <xdr:blipFill>
        <a:blip xmlns:r="http://schemas.openxmlformats.org/officeDocument/2006/relationships" r:embed="rId23" cstate="print"/>
        <a:srcRect/>
        <a:stretch>
          <a:fillRect/>
        </a:stretch>
      </xdr:blipFill>
      <xdr:spPr bwMode="auto">
        <a:xfrm>
          <a:off x="0" y="0"/>
          <a:ext cx="762000" cy="171450"/>
        </a:xfrm>
        <a:prstGeom prst="rect">
          <a:avLst/>
        </a:prstGeom>
        <a:noFill/>
      </xdr:spPr>
    </xdr:pic>
    <xdr:clientData/>
  </xdr:twoCellAnchor>
  <xdr:twoCellAnchor editAs="oneCell">
    <xdr:from>
      <xdr:col>2</xdr:col>
      <xdr:colOff>38100</xdr:colOff>
      <xdr:row>50</xdr:row>
      <xdr:rowOff>38100</xdr:rowOff>
    </xdr:from>
    <xdr:to>
      <xdr:col>2</xdr:col>
      <xdr:colOff>1181100</xdr:colOff>
      <xdr:row>50</xdr:row>
      <xdr:rowOff>419100</xdr:rowOff>
    </xdr:to>
    <xdr:pic>
      <xdr:nvPicPr>
        <xdr:cNvPr id="1048" name="Picture 24">
          <a:extLst>
            <a:ext uri="{FF2B5EF4-FFF2-40B4-BE49-F238E27FC236}">
              <a16:creationId xmlns:a16="http://schemas.microsoft.com/office/drawing/2014/main" id="{00000000-0008-0000-0000-000018040000}"/>
            </a:ext>
          </a:extLst>
        </xdr:cNvPr>
        <xdr:cNvPicPr>
          <a:picLocks noChangeAspect="1" noChangeArrowheads="1"/>
        </xdr:cNvPicPr>
      </xdr:nvPicPr>
      <xdr:blipFill>
        <a:blip xmlns:r="http://schemas.openxmlformats.org/officeDocument/2006/relationships" r:embed="rId24" cstate="print"/>
        <a:srcRect/>
        <a:stretch>
          <a:fillRect/>
        </a:stretch>
      </xdr:blipFill>
      <xdr:spPr bwMode="auto">
        <a:xfrm>
          <a:off x="0" y="0"/>
          <a:ext cx="1143000" cy="381000"/>
        </a:xfrm>
        <a:prstGeom prst="rect">
          <a:avLst/>
        </a:prstGeom>
        <a:noFill/>
      </xdr:spPr>
    </xdr:pic>
    <xdr:clientData/>
  </xdr:twoCellAnchor>
  <xdr:twoCellAnchor editAs="oneCell">
    <xdr:from>
      <xdr:col>2</xdr:col>
      <xdr:colOff>38100</xdr:colOff>
      <xdr:row>51</xdr:row>
      <xdr:rowOff>38100</xdr:rowOff>
    </xdr:from>
    <xdr:to>
      <xdr:col>2</xdr:col>
      <xdr:colOff>1181100</xdr:colOff>
      <xdr:row>51</xdr:row>
      <xdr:rowOff>457200</xdr:rowOff>
    </xdr:to>
    <xdr:pic>
      <xdr:nvPicPr>
        <xdr:cNvPr id="1049" name="Picture 25">
          <a:extLst>
            <a:ext uri="{FF2B5EF4-FFF2-40B4-BE49-F238E27FC236}">
              <a16:creationId xmlns:a16="http://schemas.microsoft.com/office/drawing/2014/main" id="{00000000-0008-0000-0000-000019040000}"/>
            </a:ext>
          </a:extLst>
        </xdr:cNvPr>
        <xdr:cNvPicPr>
          <a:picLocks noChangeAspect="1" noChangeArrowheads="1"/>
        </xdr:cNvPicPr>
      </xdr:nvPicPr>
      <xdr:blipFill>
        <a:blip xmlns:r="http://schemas.openxmlformats.org/officeDocument/2006/relationships" r:embed="rId25" cstate="print"/>
        <a:srcRect/>
        <a:stretch>
          <a:fillRect/>
        </a:stretch>
      </xdr:blipFill>
      <xdr:spPr bwMode="auto">
        <a:xfrm>
          <a:off x="0" y="0"/>
          <a:ext cx="1143000" cy="419100"/>
        </a:xfrm>
        <a:prstGeom prst="rect">
          <a:avLst/>
        </a:prstGeom>
        <a:noFill/>
      </xdr:spPr>
    </xdr:pic>
    <xdr:clientData/>
  </xdr:twoCellAnchor>
  <xdr:twoCellAnchor editAs="oneCell">
    <xdr:from>
      <xdr:col>2</xdr:col>
      <xdr:colOff>38100</xdr:colOff>
      <xdr:row>53</xdr:row>
      <xdr:rowOff>38100</xdr:rowOff>
    </xdr:from>
    <xdr:to>
      <xdr:col>2</xdr:col>
      <xdr:colOff>605028</xdr:colOff>
      <xdr:row>53</xdr:row>
      <xdr:rowOff>769620</xdr:rowOff>
    </xdr:to>
    <xdr:pic>
      <xdr:nvPicPr>
        <xdr:cNvPr id="1050" name="Picture 26">
          <a:extLst>
            <a:ext uri="{FF2B5EF4-FFF2-40B4-BE49-F238E27FC236}">
              <a16:creationId xmlns:a16="http://schemas.microsoft.com/office/drawing/2014/main" id="{00000000-0008-0000-0000-00001A040000}"/>
            </a:ext>
          </a:extLst>
        </xdr:cNvPr>
        <xdr:cNvPicPr>
          <a:picLocks noChangeAspect="1" noChangeArrowheads="1"/>
        </xdr:cNvPicPr>
      </xdr:nvPicPr>
      <xdr:blipFill>
        <a:blip xmlns:r="http://schemas.openxmlformats.org/officeDocument/2006/relationships" r:embed="rId26"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54</xdr:row>
      <xdr:rowOff>38100</xdr:rowOff>
    </xdr:from>
    <xdr:to>
      <xdr:col>2</xdr:col>
      <xdr:colOff>605028</xdr:colOff>
      <xdr:row>54</xdr:row>
      <xdr:rowOff>769620</xdr:rowOff>
    </xdr:to>
    <xdr:pic>
      <xdr:nvPicPr>
        <xdr:cNvPr id="1051" name="Picture 27">
          <a:extLst>
            <a:ext uri="{FF2B5EF4-FFF2-40B4-BE49-F238E27FC236}">
              <a16:creationId xmlns:a16="http://schemas.microsoft.com/office/drawing/2014/main" id="{00000000-0008-0000-0000-00001B040000}"/>
            </a:ext>
          </a:extLst>
        </xdr:cNvPr>
        <xdr:cNvPicPr>
          <a:picLocks noChangeAspect="1" noChangeArrowheads="1"/>
        </xdr:cNvPicPr>
      </xdr:nvPicPr>
      <xdr:blipFill>
        <a:blip xmlns:r="http://schemas.openxmlformats.org/officeDocument/2006/relationships" r:embed="rId27"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55</xdr:row>
      <xdr:rowOff>38100</xdr:rowOff>
    </xdr:from>
    <xdr:to>
      <xdr:col>2</xdr:col>
      <xdr:colOff>605028</xdr:colOff>
      <xdr:row>55</xdr:row>
      <xdr:rowOff>769620</xdr:rowOff>
    </xdr:to>
    <xdr:pic>
      <xdr:nvPicPr>
        <xdr:cNvPr id="1052" name="Picture 28">
          <a:extLst>
            <a:ext uri="{FF2B5EF4-FFF2-40B4-BE49-F238E27FC236}">
              <a16:creationId xmlns:a16="http://schemas.microsoft.com/office/drawing/2014/main" id="{00000000-0008-0000-0000-00001C040000}"/>
            </a:ext>
          </a:extLst>
        </xdr:cNvPr>
        <xdr:cNvPicPr>
          <a:picLocks noChangeAspect="1" noChangeArrowheads="1"/>
        </xdr:cNvPicPr>
      </xdr:nvPicPr>
      <xdr:blipFill>
        <a:blip xmlns:r="http://schemas.openxmlformats.org/officeDocument/2006/relationships" r:embed="rId28"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56</xdr:row>
      <xdr:rowOff>38100</xdr:rowOff>
    </xdr:from>
    <xdr:to>
      <xdr:col>2</xdr:col>
      <xdr:colOff>605028</xdr:colOff>
      <xdr:row>56</xdr:row>
      <xdr:rowOff>769620</xdr:rowOff>
    </xdr:to>
    <xdr:pic>
      <xdr:nvPicPr>
        <xdr:cNvPr id="1053" name="Picture 29">
          <a:extLst>
            <a:ext uri="{FF2B5EF4-FFF2-40B4-BE49-F238E27FC236}">
              <a16:creationId xmlns:a16="http://schemas.microsoft.com/office/drawing/2014/main" id="{00000000-0008-0000-0000-00001D040000}"/>
            </a:ext>
          </a:extLst>
        </xdr:cNvPr>
        <xdr:cNvPicPr>
          <a:picLocks noChangeAspect="1" noChangeArrowheads="1"/>
        </xdr:cNvPicPr>
      </xdr:nvPicPr>
      <xdr:blipFill>
        <a:blip xmlns:r="http://schemas.openxmlformats.org/officeDocument/2006/relationships" r:embed="rId29"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57</xdr:row>
      <xdr:rowOff>38100</xdr:rowOff>
    </xdr:from>
    <xdr:to>
      <xdr:col>2</xdr:col>
      <xdr:colOff>605028</xdr:colOff>
      <xdr:row>57</xdr:row>
      <xdr:rowOff>769620</xdr:rowOff>
    </xdr:to>
    <xdr:pic>
      <xdr:nvPicPr>
        <xdr:cNvPr id="1054" name="Picture 30">
          <a:extLst>
            <a:ext uri="{FF2B5EF4-FFF2-40B4-BE49-F238E27FC236}">
              <a16:creationId xmlns:a16="http://schemas.microsoft.com/office/drawing/2014/main" id="{00000000-0008-0000-0000-00001E040000}"/>
            </a:ext>
          </a:extLst>
        </xdr:cNvPr>
        <xdr:cNvPicPr>
          <a:picLocks noChangeAspect="1" noChangeArrowheads="1"/>
        </xdr:cNvPicPr>
      </xdr:nvPicPr>
      <xdr:blipFill>
        <a:blip xmlns:r="http://schemas.openxmlformats.org/officeDocument/2006/relationships" r:embed="rId30"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58</xdr:row>
      <xdr:rowOff>38100</xdr:rowOff>
    </xdr:from>
    <xdr:to>
      <xdr:col>2</xdr:col>
      <xdr:colOff>1135380</xdr:colOff>
      <xdr:row>58</xdr:row>
      <xdr:rowOff>1135380</xdr:rowOff>
    </xdr:to>
    <xdr:pic>
      <xdr:nvPicPr>
        <xdr:cNvPr id="1055" name="Picture 31">
          <a:extLst>
            <a:ext uri="{FF2B5EF4-FFF2-40B4-BE49-F238E27FC236}">
              <a16:creationId xmlns:a16="http://schemas.microsoft.com/office/drawing/2014/main" id="{00000000-0008-0000-0000-00001F040000}"/>
            </a:ext>
          </a:extLst>
        </xdr:cNvPr>
        <xdr:cNvPicPr>
          <a:picLocks noChangeAspect="1" noChangeArrowheads="1"/>
        </xdr:cNvPicPr>
      </xdr:nvPicPr>
      <xdr:blipFill>
        <a:blip xmlns:r="http://schemas.openxmlformats.org/officeDocument/2006/relationships" r:embed="rId31" cstate="print"/>
        <a:srcRect/>
        <a:stretch>
          <a:fillRect/>
        </a:stretch>
      </xdr:blipFill>
      <xdr:spPr bwMode="auto">
        <a:xfrm>
          <a:off x="0" y="0"/>
          <a:ext cx="1097280" cy="1097280"/>
        </a:xfrm>
        <a:prstGeom prst="rect">
          <a:avLst/>
        </a:prstGeom>
        <a:noFill/>
      </xdr:spPr>
    </xdr:pic>
    <xdr:clientData/>
  </xdr:twoCellAnchor>
  <xdr:twoCellAnchor editAs="oneCell">
    <xdr:from>
      <xdr:col>2</xdr:col>
      <xdr:colOff>38100</xdr:colOff>
      <xdr:row>59</xdr:row>
      <xdr:rowOff>38100</xdr:rowOff>
    </xdr:from>
    <xdr:to>
      <xdr:col>2</xdr:col>
      <xdr:colOff>1181100</xdr:colOff>
      <xdr:row>59</xdr:row>
      <xdr:rowOff>714375</xdr:rowOff>
    </xdr:to>
    <xdr:pic>
      <xdr:nvPicPr>
        <xdr:cNvPr id="1056" name="Picture 32">
          <a:extLst>
            <a:ext uri="{FF2B5EF4-FFF2-40B4-BE49-F238E27FC236}">
              <a16:creationId xmlns:a16="http://schemas.microsoft.com/office/drawing/2014/main" id="{00000000-0008-0000-0000-000020040000}"/>
            </a:ext>
          </a:extLst>
        </xdr:cNvPr>
        <xdr:cNvPicPr>
          <a:picLocks noChangeAspect="1" noChangeArrowheads="1"/>
        </xdr:cNvPicPr>
      </xdr:nvPicPr>
      <xdr:blipFill>
        <a:blip xmlns:r="http://schemas.openxmlformats.org/officeDocument/2006/relationships" r:embed="rId32" cstate="print"/>
        <a:srcRect/>
        <a:stretch>
          <a:fillRect/>
        </a:stretch>
      </xdr:blipFill>
      <xdr:spPr bwMode="auto">
        <a:xfrm>
          <a:off x="0" y="0"/>
          <a:ext cx="1143000" cy="676275"/>
        </a:xfrm>
        <a:prstGeom prst="rect">
          <a:avLst/>
        </a:prstGeom>
        <a:noFill/>
      </xdr:spPr>
    </xdr:pic>
    <xdr:clientData/>
  </xdr:twoCellAnchor>
  <xdr:twoCellAnchor editAs="oneCell">
    <xdr:from>
      <xdr:col>2</xdr:col>
      <xdr:colOff>38100</xdr:colOff>
      <xdr:row>64</xdr:row>
      <xdr:rowOff>38100</xdr:rowOff>
    </xdr:from>
    <xdr:to>
      <xdr:col>2</xdr:col>
      <xdr:colOff>403860</xdr:colOff>
      <xdr:row>64</xdr:row>
      <xdr:rowOff>288036</xdr:rowOff>
    </xdr:to>
    <xdr:pic>
      <xdr:nvPicPr>
        <xdr:cNvPr id="1057" name="Picture 33">
          <a:extLst>
            <a:ext uri="{FF2B5EF4-FFF2-40B4-BE49-F238E27FC236}">
              <a16:creationId xmlns:a16="http://schemas.microsoft.com/office/drawing/2014/main" id="{00000000-0008-0000-0000-000021040000}"/>
            </a:ext>
          </a:extLst>
        </xdr:cNvPr>
        <xdr:cNvPicPr>
          <a:picLocks noChangeAspect="1" noChangeArrowheads="1"/>
        </xdr:cNvPicPr>
      </xdr:nvPicPr>
      <xdr:blipFill>
        <a:blip xmlns:r="http://schemas.openxmlformats.org/officeDocument/2006/relationships" r:embed="rId33" cstate="print"/>
        <a:srcRect/>
        <a:stretch>
          <a:fillRect/>
        </a:stretch>
      </xdr:blipFill>
      <xdr:spPr bwMode="auto">
        <a:xfrm>
          <a:off x="0" y="0"/>
          <a:ext cx="365760" cy="249936"/>
        </a:xfrm>
        <a:prstGeom prst="rect">
          <a:avLst/>
        </a:prstGeom>
        <a:noFill/>
      </xdr:spPr>
    </xdr:pic>
    <xdr:clientData/>
  </xdr:twoCellAnchor>
  <xdr:twoCellAnchor editAs="oneCell">
    <xdr:from>
      <xdr:col>2</xdr:col>
      <xdr:colOff>38100</xdr:colOff>
      <xdr:row>65</xdr:row>
      <xdr:rowOff>38100</xdr:rowOff>
    </xdr:from>
    <xdr:to>
      <xdr:col>2</xdr:col>
      <xdr:colOff>556260</xdr:colOff>
      <xdr:row>65</xdr:row>
      <xdr:rowOff>769620</xdr:rowOff>
    </xdr:to>
    <xdr:pic>
      <xdr:nvPicPr>
        <xdr:cNvPr id="1058" name="Picture 34">
          <a:extLst>
            <a:ext uri="{FF2B5EF4-FFF2-40B4-BE49-F238E27FC236}">
              <a16:creationId xmlns:a16="http://schemas.microsoft.com/office/drawing/2014/main" id="{00000000-0008-0000-0000-000022040000}"/>
            </a:ext>
          </a:extLst>
        </xdr:cNvPr>
        <xdr:cNvPicPr>
          <a:picLocks noChangeAspect="1" noChangeArrowheads="1"/>
        </xdr:cNvPicPr>
      </xdr:nvPicPr>
      <xdr:blipFill>
        <a:blip xmlns:r="http://schemas.openxmlformats.org/officeDocument/2006/relationships" r:embed="rId34" cstate="print"/>
        <a:srcRect/>
        <a:stretch>
          <a:fillRect/>
        </a:stretch>
      </xdr:blipFill>
      <xdr:spPr bwMode="auto">
        <a:xfrm>
          <a:off x="0" y="0"/>
          <a:ext cx="518160" cy="731520"/>
        </a:xfrm>
        <a:prstGeom prst="rect">
          <a:avLst/>
        </a:prstGeom>
        <a:noFill/>
      </xdr:spPr>
    </xdr:pic>
    <xdr:clientData/>
  </xdr:twoCellAnchor>
  <xdr:twoCellAnchor editAs="oneCell">
    <xdr:from>
      <xdr:col>2</xdr:col>
      <xdr:colOff>38100</xdr:colOff>
      <xdr:row>66</xdr:row>
      <xdr:rowOff>38100</xdr:rowOff>
    </xdr:from>
    <xdr:to>
      <xdr:col>2</xdr:col>
      <xdr:colOff>1181100</xdr:colOff>
      <xdr:row>66</xdr:row>
      <xdr:rowOff>266700</xdr:rowOff>
    </xdr:to>
    <xdr:pic>
      <xdr:nvPicPr>
        <xdr:cNvPr id="1059" name="Picture 35">
          <a:extLst>
            <a:ext uri="{FF2B5EF4-FFF2-40B4-BE49-F238E27FC236}">
              <a16:creationId xmlns:a16="http://schemas.microsoft.com/office/drawing/2014/main" id="{00000000-0008-0000-0000-000023040000}"/>
            </a:ext>
          </a:extLst>
        </xdr:cNvPr>
        <xdr:cNvPicPr>
          <a:picLocks noChangeAspect="1" noChangeArrowheads="1"/>
        </xdr:cNvPicPr>
      </xdr:nvPicPr>
      <xdr:blipFill>
        <a:blip xmlns:r="http://schemas.openxmlformats.org/officeDocument/2006/relationships" r:embed="rId35" cstate="print"/>
        <a:srcRect/>
        <a:stretch>
          <a:fillRect/>
        </a:stretch>
      </xdr:blipFill>
      <xdr:spPr bwMode="auto">
        <a:xfrm>
          <a:off x="0" y="0"/>
          <a:ext cx="1143000" cy="228600"/>
        </a:xfrm>
        <a:prstGeom prst="rect">
          <a:avLst/>
        </a:prstGeom>
        <a:noFill/>
      </xdr:spPr>
    </xdr:pic>
    <xdr:clientData/>
  </xdr:twoCellAnchor>
  <xdr:twoCellAnchor editAs="oneCell">
    <xdr:from>
      <xdr:col>2</xdr:col>
      <xdr:colOff>38100</xdr:colOff>
      <xdr:row>71</xdr:row>
      <xdr:rowOff>38100</xdr:rowOff>
    </xdr:from>
    <xdr:to>
      <xdr:col>2</xdr:col>
      <xdr:colOff>586740</xdr:colOff>
      <xdr:row>71</xdr:row>
      <xdr:rowOff>408432</xdr:rowOff>
    </xdr:to>
    <xdr:pic>
      <xdr:nvPicPr>
        <xdr:cNvPr id="1060" name="Picture 36">
          <a:extLst>
            <a:ext uri="{FF2B5EF4-FFF2-40B4-BE49-F238E27FC236}">
              <a16:creationId xmlns:a16="http://schemas.microsoft.com/office/drawing/2014/main" id="{00000000-0008-0000-0000-000024040000}"/>
            </a:ext>
          </a:extLst>
        </xdr:cNvPr>
        <xdr:cNvPicPr>
          <a:picLocks noChangeAspect="1" noChangeArrowheads="1"/>
        </xdr:cNvPicPr>
      </xdr:nvPicPr>
      <xdr:blipFill>
        <a:blip xmlns:r="http://schemas.openxmlformats.org/officeDocument/2006/relationships" r:embed="rId36" cstate="print"/>
        <a:srcRect/>
        <a:stretch>
          <a:fillRect/>
        </a:stretch>
      </xdr:blipFill>
      <xdr:spPr bwMode="auto">
        <a:xfrm>
          <a:off x="0" y="0"/>
          <a:ext cx="548640" cy="370332"/>
        </a:xfrm>
        <a:prstGeom prst="rect">
          <a:avLst/>
        </a:prstGeom>
        <a:noFill/>
      </xdr:spPr>
    </xdr:pic>
    <xdr:clientData/>
  </xdr:twoCellAnchor>
  <xdr:twoCellAnchor editAs="oneCell">
    <xdr:from>
      <xdr:col>2</xdr:col>
      <xdr:colOff>38100</xdr:colOff>
      <xdr:row>72</xdr:row>
      <xdr:rowOff>38100</xdr:rowOff>
    </xdr:from>
    <xdr:to>
      <xdr:col>2</xdr:col>
      <xdr:colOff>1181100</xdr:colOff>
      <xdr:row>72</xdr:row>
      <xdr:rowOff>1181100</xdr:rowOff>
    </xdr:to>
    <xdr:pic>
      <xdr:nvPicPr>
        <xdr:cNvPr id="1061" name="Picture 37">
          <a:extLst>
            <a:ext uri="{FF2B5EF4-FFF2-40B4-BE49-F238E27FC236}">
              <a16:creationId xmlns:a16="http://schemas.microsoft.com/office/drawing/2014/main" id="{00000000-0008-0000-0000-000025040000}"/>
            </a:ext>
          </a:extLst>
        </xdr:cNvPr>
        <xdr:cNvPicPr>
          <a:picLocks noChangeAspect="1" noChangeArrowheads="1"/>
        </xdr:cNvPicPr>
      </xdr:nvPicPr>
      <xdr:blipFill>
        <a:blip xmlns:r="http://schemas.openxmlformats.org/officeDocument/2006/relationships" r:embed="rId3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73</xdr:row>
      <xdr:rowOff>38100</xdr:rowOff>
    </xdr:from>
    <xdr:to>
      <xdr:col>2</xdr:col>
      <xdr:colOff>1181100</xdr:colOff>
      <xdr:row>73</xdr:row>
      <xdr:rowOff>1181100</xdr:rowOff>
    </xdr:to>
    <xdr:pic>
      <xdr:nvPicPr>
        <xdr:cNvPr id="1062" name="Picture 38">
          <a:extLst>
            <a:ext uri="{FF2B5EF4-FFF2-40B4-BE49-F238E27FC236}">
              <a16:creationId xmlns:a16="http://schemas.microsoft.com/office/drawing/2014/main" id="{00000000-0008-0000-0000-000026040000}"/>
            </a:ext>
          </a:extLst>
        </xdr:cNvPr>
        <xdr:cNvPicPr>
          <a:picLocks noChangeAspect="1" noChangeArrowheads="1"/>
        </xdr:cNvPicPr>
      </xdr:nvPicPr>
      <xdr:blipFill>
        <a:blip xmlns:r="http://schemas.openxmlformats.org/officeDocument/2006/relationships" r:embed="rId3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75</xdr:row>
      <xdr:rowOff>38100</xdr:rowOff>
    </xdr:from>
    <xdr:to>
      <xdr:col>2</xdr:col>
      <xdr:colOff>647700</xdr:colOff>
      <xdr:row>75</xdr:row>
      <xdr:rowOff>1181100</xdr:rowOff>
    </xdr:to>
    <xdr:pic>
      <xdr:nvPicPr>
        <xdr:cNvPr id="1063" name="Picture 39">
          <a:extLst>
            <a:ext uri="{FF2B5EF4-FFF2-40B4-BE49-F238E27FC236}">
              <a16:creationId xmlns:a16="http://schemas.microsoft.com/office/drawing/2014/main" id="{00000000-0008-0000-0000-000027040000}"/>
            </a:ext>
          </a:extLst>
        </xdr:cNvPr>
        <xdr:cNvPicPr>
          <a:picLocks noChangeAspect="1" noChangeArrowheads="1"/>
        </xdr:cNvPicPr>
      </xdr:nvPicPr>
      <xdr:blipFill>
        <a:blip xmlns:r="http://schemas.openxmlformats.org/officeDocument/2006/relationships" r:embed="rId39" cstate="print"/>
        <a:srcRect/>
        <a:stretch>
          <a:fillRect/>
        </a:stretch>
      </xdr:blipFill>
      <xdr:spPr bwMode="auto">
        <a:xfrm>
          <a:off x="0" y="0"/>
          <a:ext cx="609600" cy="1143000"/>
        </a:xfrm>
        <a:prstGeom prst="rect">
          <a:avLst/>
        </a:prstGeom>
        <a:noFill/>
      </xdr:spPr>
    </xdr:pic>
    <xdr:clientData/>
  </xdr:twoCellAnchor>
  <xdr:twoCellAnchor editAs="oneCell">
    <xdr:from>
      <xdr:col>2</xdr:col>
      <xdr:colOff>38100</xdr:colOff>
      <xdr:row>76</xdr:row>
      <xdr:rowOff>38100</xdr:rowOff>
    </xdr:from>
    <xdr:to>
      <xdr:col>2</xdr:col>
      <xdr:colOff>866775</xdr:colOff>
      <xdr:row>76</xdr:row>
      <xdr:rowOff>1181100</xdr:rowOff>
    </xdr:to>
    <xdr:pic>
      <xdr:nvPicPr>
        <xdr:cNvPr id="1064" name="Picture 40">
          <a:extLst>
            <a:ext uri="{FF2B5EF4-FFF2-40B4-BE49-F238E27FC236}">
              <a16:creationId xmlns:a16="http://schemas.microsoft.com/office/drawing/2014/main" id="{00000000-0008-0000-0000-000028040000}"/>
            </a:ext>
          </a:extLst>
        </xdr:cNvPr>
        <xdr:cNvPicPr>
          <a:picLocks noChangeAspect="1" noChangeArrowheads="1"/>
        </xdr:cNvPicPr>
      </xdr:nvPicPr>
      <xdr:blipFill>
        <a:blip xmlns:r="http://schemas.openxmlformats.org/officeDocument/2006/relationships" r:embed="rId40" cstate="print"/>
        <a:srcRect/>
        <a:stretch>
          <a:fillRect/>
        </a:stretch>
      </xdr:blipFill>
      <xdr:spPr bwMode="auto">
        <a:xfrm>
          <a:off x="0" y="0"/>
          <a:ext cx="828675" cy="1143000"/>
        </a:xfrm>
        <a:prstGeom prst="rect">
          <a:avLst/>
        </a:prstGeom>
        <a:noFill/>
      </xdr:spPr>
    </xdr:pic>
    <xdr:clientData/>
  </xdr:twoCellAnchor>
  <xdr:twoCellAnchor editAs="oneCell">
    <xdr:from>
      <xdr:col>2</xdr:col>
      <xdr:colOff>38100</xdr:colOff>
      <xdr:row>77</xdr:row>
      <xdr:rowOff>38100</xdr:rowOff>
    </xdr:from>
    <xdr:to>
      <xdr:col>2</xdr:col>
      <xdr:colOff>1181100</xdr:colOff>
      <xdr:row>77</xdr:row>
      <xdr:rowOff>1181100</xdr:rowOff>
    </xdr:to>
    <xdr:pic>
      <xdr:nvPicPr>
        <xdr:cNvPr id="1065" name="Picture 41">
          <a:extLst>
            <a:ext uri="{FF2B5EF4-FFF2-40B4-BE49-F238E27FC236}">
              <a16:creationId xmlns:a16="http://schemas.microsoft.com/office/drawing/2014/main" id="{00000000-0008-0000-0000-000029040000}"/>
            </a:ext>
          </a:extLst>
        </xdr:cNvPr>
        <xdr:cNvPicPr>
          <a:picLocks noChangeAspect="1" noChangeArrowheads="1"/>
        </xdr:cNvPicPr>
      </xdr:nvPicPr>
      <xdr:blipFill>
        <a:blip xmlns:r="http://schemas.openxmlformats.org/officeDocument/2006/relationships" r:embed="rId4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78</xdr:row>
      <xdr:rowOff>38100</xdr:rowOff>
    </xdr:from>
    <xdr:to>
      <xdr:col>2</xdr:col>
      <xdr:colOff>1181100</xdr:colOff>
      <xdr:row>78</xdr:row>
      <xdr:rowOff>1181100</xdr:rowOff>
    </xdr:to>
    <xdr:pic>
      <xdr:nvPicPr>
        <xdr:cNvPr id="1066" name="Picture 42">
          <a:extLst>
            <a:ext uri="{FF2B5EF4-FFF2-40B4-BE49-F238E27FC236}">
              <a16:creationId xmlns:a16="http://schemas.microsoft.com/office/drawing/2014/main" id="{00000000-0008-0000-0000-00002A040000}"/>
            </a:ext>
          </a:extLst>
        </xdr:cNvPr>
        <xdr:cNvPicPr>
          <a:picLocks noChangeAspect="1" noChangeArrowheads="1"/>
        </xdr:cNvPicPr>
      </xdr:nvPicPr>
      <xdr:blipFill>
        <a:blip xmlns:r="http://schemas.openxmlformats.org/officeDocument/2006/relationships" r:embed="rId4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79</xdr:row>
      <xdr:rowOff>38100</xdr:rowOff>
    </xdr:from>
    <xdr:to>
      <xdr:col>2</xdr:col>
      <xdr:colOff>1181100</xdr:colOff>
      <xdr:row>79</xdr:row>
      <xdr:rowOff>571500</xdr:rowOff>
    </xdr:to>
    <xdr:pic>
      <xdr:nvPicPr>
        <xdr:cNvPr id="1067" name="Picture 43">
          <a:extLst>
            <a:ext uri="{FF2B5EF4-FFF2-40B4-BE49-F238E27FC236}">
              <a16:creationId xmlns:a16="http://schemas.microsoft.com/office/drawing/2014/main" id="{00000000-0008-0000-0000-00002B040000}"/>
            </a:ext>
          </a:extLst>
        </xdr:cNvPr>
        <xdr:cNvPicPr>
          <a:picLocks noChangeAspect="1" noChangeArrowheads="1"/>
        </xdr:cNvPicPr>
      </xdr:nvPicPr>
      <xdr:blipFill>
        <a:blip xmlns:r="http://schemas.openxmlformats.org/officeDocument/2006/relationships" r:embed="rId43" cstate="print"/>
        <a:srcRect/>
        <a:stretch>
          <a:fillRect/>
        </a:stretch>
      </xdr:blipFill>
      <xdr:spPr bwMode="auto">
        <a:xfrm>
          <a:off x="0" y="0"/>
          <a:ext cx="1143000" cy="533400"/>
        </a:xfrm>
        <a:prstGeom prst="rect">
          <a:avLst/>
        </a:prstGeom>
        <a:noFill/>
      </xdr:spPr>
    </xdr:pic>
    <xdr:clientData/>
  </xdr:twoCellAnchor>
  <xdr:twoCellAnchor editAs="oneCell">
    <xdr:from>
      <xdr:col>2</xdr:col>
      <xdr:colOff>38100</xdr:colOff>
      <xdr:row>80</xdr:row>
      <xdr:rowOff>38100</xdr:rowOff>
    </xdr:from>
    <xdr:to>
      <xdr:col>2</xdr:col>
      <xdr:colOff>1181100</xdr:colOff>
      <xdr:row>80</xdr:row>
      <xdr:rowOff>714375</xdr:rowOff>
    </xdr:to>
    <xdr:pic>
      <xdr:nvPicPr>
        <xdr:cNvPr id="1068" name="Picture 44">
          <a:extLst>
            <a:ext uri="{FF2B5EF4-FFF2-40B4-BE49-F238E27FC236}">
              <a16:creationId xmlns:a16="http://schemas.microsoft.com/office/drawing/2014/main" id="{00000000-0008-0000-0000-00002C040000}"/>
            </a:ext>
          </a:extLst>
        </xdr:cNvPr>
        <xdr:cNvPicPr>
          <a:picLocks noChangeAspect="1" noChangeArrowheads="1"/>
        </xdr:cNvPicPr>
      </xdr:nvPicPr>
      <xdr:blipFill>
        <a:blip xmlns:r="http://schemas.openxmlformats.org/officeDocument/2006/relationships" r:embed="rId44" cstate="print"/>
        <a:srcRect/>
        <a:stretch>
          <a:fillRect/>
        </a:stretch>
      </xdr:blipFill>
      <xdr:spPr bwMode="auto">
        <a:xfrm>
          <a:off x="0" y="0"/>
          <a:ext cx="1143000" cy="676275"/>
        </a:xfrm>
        <a:prstGeom prst="rect">
          <a:avLst/>
        </a:prstGeom>
        <a:noFill/>
      </xdr:spPr>
    </xdr:pic>
    <xdr:clientData/>
  </xdr:twoCellAnchor>
  <xdr:twoCellAnchor editAs="oneCell">
    <xdr:from>
      <xdr:col>2</xdr:col>
      <xdr:colOff>38100</xdr:colOff>
      <xdr:row>81</xdr:row>
      <xdr:rowOff>38100</xdr:rowOff>
    </xdr:from>
    <xdr:to>
      <xdr:col>2</xdr:col>
      <xdr:colOff>605028</xdr:colOff>
      <xdr:row>81</xdr:row>
      <xdr:rowOff>769620</xdr:rowOff>
    </xdr:to>
    <xdr:pic>
      <xdr:nvPicPr>
        <xdr:cNvPr id="1069" name="Picture 45">
          <a:extLst>
            <a:ext uri="{FF2B5EF4-FFF2-40B4-BE49-F238E27FC236}">
              <a16:creationId xmlns:a16="http://schemas.microsoft.com/office/drawing/2014/main" id="{00000000-0008-0000-0000-00002D040000}"/>
            </a:ext>
          </a:extLst>
        </xdr:cNvPr>
        <xdr:cNvPicPr>
          <a:picLocks noChangeAspect="1" noChangeArrowheads="1"/>
        </xdr:cNvPicPr>
      </xdr:nvPicPr>
      <xdr:blipFill>
        <a:blip xmlns:r="http://schemas.openxmlformats.org/officeDocument/2006/relationships" r:embed="rId45"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83</xdr:row>
      <xdr:rowOff>38100</xdr:rowOff>
    </xdr:from>
    <xdr:to>
      <xdr:col>2</xdr:col>
      <xdr:colOff>1123950</xdr:colOff>
      <xdr:row>83</xdr:row>
      <xdr:rowOff>1181100</xdr:rowOff>
    </xdr:to>
    <xdr:pic>
      <xdr:nvPicPr>
        <xdr:cNvPr id="1070" name="Picture 46">
          <a:extLst>
            <a:ext uri="{FF2B5EF4-FFF2-40B4-BE49-F238E27FC236}">
              <a16:creationId xmlns:a16="http://schemas.microsoft.com/office/drawing/2014/main" id="{00000000-0008-0000-0000-00002E04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0" y="0"/>
          <a:ext cx="1085850" cy="1143000"/>
        </a:xfrm>
        <a:prstGeom prst="rect">
          <a:avLst/>
        </a:prstGeom>
        <a:noFill/>
      </xdr:spPr>
    </xdr:pic>
    <xdr:clientData/>
  </xdr:twoCellAnchor>
  <xdr:twoCellAnchor editAs="oneCell">
    <xdr:from>
      <xdr:col>2</xdr:col>
      <xdr:colOff>38100</xdr:colOff>
      <xdr:row>87</xdr:row>
      <xdr:rowOff>38100</xdr:rowOff>
    </xdr:from>
    <xdr:to>
      <xdr:col>2</xdr:col>
      <xdr:colOff>1181100</xdr:colOff>
      <xdr:row>87</xdr:row>
      <xdr:rowOff>476250</xdr:rowOff>
    </xdr:to>
    <xdr:pic>
      <xdr:nvPicPr>
        <xdr:cNvPr id="1071" name="Picture 47">
          <a:extLst>
            <a:ext uri="{FF2B5EF4-FFF2-40B4-BE49-F238E27FC236}">
              <a16:creationId xmlns:a16="http://schemas.microsoft.com/office/drawing/2014/main" id="{00000000-0008-0000-0000-00002F040000}"/>
            </a:ext>
          </a:extLst>
        </xdr:cNvPr>
        <xdr:cNvPicPr>
          <a:picLocks noChangeAspect="1" noChangeArrowheads="1"/>
        </xdr:cNvPicPr>
      </xdr:nvPicPr>
      <xdr:blipFill>
        <a:blip xmlns:r="http://schemas.openxmlformats.org/officeDocument/2006/relationships" r:embed="rId47" cstate="print"/>
        <a:srcRect/>
        <a:stretch>
          <a:fillRect/>
        </a:stretch>
      </xdr:blipFill>
      <xdr:spPr bwMode="auto">
        <a:xfrm>
          <a:off x="0" y="0"/>
          <a:ext cx="1143000" cy="438150"/>
        </a:xfrm>
        <a:prstGeom prst="rect">
          <a:avLst/>
        </a:prstGeom>
        <a:noFill/>
      </xdr:spPr>
    </xdr:pic>
    <xdr:clientData/>
  </xdr:twoCellAnchor>
  <xdr:twoCellAnchor editAs="oneCell">
    <xdr:from>
      <xdr:col>2</xdr:col>
      <xdr:colOff>38100</xdr:colOff>
      <xdr:row>97</xdr:row>
      <xdr:rowOff>38100</xdr:rowOff>
    </xdr:from>
    <xdr:to>
      <xdr:col>2</xdr:col>
      <xdr:colOff>1181100</xdr:colOff>
      <xdr:row>97</xdr:row>
      <xdr:rowOff>657225</xdr:rowOff>
    </xdr:to>
    <xdr:pic>
      <xdr:nvPicPr>
        <xdr:cNvPr id="1072" name="Picture 48">
          <a:extLst>
            <a:ext uri="{FF2B5EF4-FFF2-40B4-BE49-F238E27FC236}">
              <a16:creationId xmlns:a16="http://schemas.microsoft.com/office/drawing/2014/main" id="{00000000-0008-0000-0000-000030040000}"/>
            </a:ext>
          </a:extLst>
        </xdr:cNvPr>
        <xdr:cNvPicPr>
          <a:picLocks noChangeAspect="1" noChangeArrowheads="1"/>
        </xdr:cNvPicPr>
      </xdr:nvPicPr>
      <xdr:blipFill>
        <a:blip xmlns:r="http://schemas.openxmlformats.org/officeDocument/2006/relationships" r:embed="rId48" cstate="print"/>
        <a:srcRect/>
        <a:stretch>
          <a:fillRect/>
        </a:stretch>
      </xdr:blipFill>
      <xdr:spPr bwMode="auto">
        <a:xfrm>
          <a:off x="0" y="0"/>
          <a:ext cx="1143000" cy="619125"/>
        </a:xfrm>
        <a:prstGeom prst="rect">
          <a:avLst/>
        </a:prstGeom>
        <a:noFill/>
      </xdr:spPr>
    </xdr:pic>
    <xdr:clientData/>
  </xdr:twoCellAnchor>
  <xdr:twoCellAnchor editAs="oneCell">
    <xdr:from>
      <xdr:col>2</xdr:col>
      <xdr:colOff>38100</xdr:colOff>
      <xdr:row>98</xdr:row>
      <xdr:rowOff>38100</xdr:rowOff>
    </xdr:from>
    <xdr:to>
      <xdr:col>2</xdr:col>
      <xdr:colOff>1181100</xdr:colOff>
      <xdr:row>98</xdr:row>
      <xdr:rowOff>933450</xdr:rowOff>
    </xdr:to>
    <xdr:pic>
      <xdr:nvPicPr>
        <xdr:cNvPr id="1073" name="Picture 49">
          <a:extLst>
            <a:ext uri="{FF2B5EF4-FFF2-40B4-BE49-F238E27FC236}">
              <a16:creationId xmlns:a16="http://schemas.microsoft.com/office/drawing/2014/main" id="{00000000-0008-0000-0000-000031040000}"/>
            </a:ext>
          </a:extLst>
        </xdr:cNvPr>
        <xdr:cNvPicPr>
          <a:picLocks noChangeAspect="1" noChangeArrowheads="1"/>
        </xdr:cNvPicPr>
      </xdr:nvPicPr>
      <xdr:blipFill>
        <a:blip xmlns:r="http://schemas.openxmlformats.org/officeDocument/2006/relationships" r:embed="rId49" cstate="print"/>
        <a:srcRect/>
        <a:stretch>
          <a:fillRect/>
        </a:stretch>
      </xdr:blipFill>
      <xdr:spPr bwMode="auto">
        <a:xfrm>
          <a:off x="0" y="0"/>
          <a:ext cx="1143000" cy="895350"/>
        </a:xfrm>
        <a:prstGeom prst="rect">
          <a:avLst/>
        </a:prstGeom>
        <a:noFill/>
      </xdr:spPr>
    </xdr:pic>
    <xdr:clientData/>
  </xdr:twoCellAnchor>
  <xdr:twoCellAnchor editAs="oneCell">
    <xdr:from>
      <xdr:col>2</xdr:col>
      <xdr:colOff>38100</xdr:colOff>
      <xdr:row>99</xdr:row>
      <xdr:rowOff>38100</xdr:rowOff>
    </xdr:from>
    <xdr:to>
      <xdr:col>2</xdr:col>
      <xdr:colOff>1181100</xdr:colOff>
      <xdr:row>99</xdr:row>
      <xdr:rowOff>762000</xdr:rowOff>
    </xdr:to>
    <xdr:pic>
      <xdr:nvPicPr>
        <xdr:cNvPr id="1074" name="Picture 50">
          <a:extLst>
            <a:ext uri="{FF2B5EF4-FFF2-40B4-BE49-F238E27FC236}">
              <a16:creationId xmlns:a16="http://schemas.microsoft.com/office/drawing/2014/main" id="{00000000-0008-0000-0000-000032040000}"/>
            </a:ext>
          </a:extLst>
        </xdr:cNvPr>
        <xdr:cNvPicPr>
          <a:picLocks noChangeAspect="1" noChangeArrowheads="1"/>
        </xdr:cNvPicPr>
      </xdr:nvPicPr>
      <xdr:blipFill>
        <a:blip xmlns:r="http://schemas.openxmlformats.org/officeDocument/2006/relationships" r:embed="rId50" cstate="print"/>
        <a:srcRect/>
        <a:stretch>
          <a:fillRect/>
        </a:stretch>
      </xdr:blipFill>
      <xdr:spPr bwMode="auto">
        <a:xfrm>
          <a:off x="0" y="0"/>
          <a:ext cx="1143000" cy="723900"/>
        </a:xfrm>
        <a:prstGeom prst="rect">
          <a:avLst/>
        </a:prstGeom>
        <a:noFill/>
      </xdr:spPr>
    </xdr:pic>
    <xdr:clientData/>
  </xdr:twoCellAnchor>
  <xdr:twoCellAnchor editAs="oneCell">
    <xdr:from>
      <xdr:col>2</xdr:col>
      <xdr:colOff>38100</xdr:colOff>
      <xdr:row>101</xdr:row>
      <xdr:rowOff>38100</xdr:rowOff>
    </xdr:from>
    <xdr:to>
      <xdr:col>2</xdr:col>
      <xdr:colOff>1181220</xdr:colOff>
      <xdr:row>101</xdr:row>
      <xdr:rowOff>924018</xdr:rowOff>
    </xdr:to>
    <xdr:pic>
      <xdr:nvPicPr>
        <xdr:cNvPr id="1075" name="Picture 51">
          <a:extLst>
            <a:ext uri="{FF2B5EF4-FFF2-40B4-BE49-F238E27FC236}">
              <a16:creationId xmlns:a16="http://schemas.microsoft.com/office/drawing/2014/main" id="{00000000-0008-0000-0000-000033040000}"/>
            </a:ext>
          </a:extLst>
        </xdr:cNvPr>
        <xdr:cNvPicPr>
          <a:picLocks noChangeAspect="1" noChangeArrowheads="1"/>
        </xdr:cNvPicPr>
      </xdr:nvPicPr>
      <xdr:blipFill>
        <a:blip xmlns:r="http://schemas.openxmlformats.org/officeDocument/2006/relationships" r:embed="rId51" cstate="print"/>
        <a:srcRect/>
        <a:stretch>
          <a:fillRect/>
        </a:stretch>
      </xdr:blipFill>
      <xdr:spPr bwMode="auto">
        <a:xfrm>
          <a:off x="0" y="0"/>
          <a:ext cx="1143120" cy="885918"/>
        </a:xfrm>
        <a:prstGeom prst="rect">
          <a:avLst/>
        </a:prstGeom>
        <a:noFill/>
      </xdr:spPr>
    </xdr:pic>
    <xdr:clientData/>
  </xdr:twoCellAnchor>
  <xdr:twoCellAnchor editAs="oneCell">
    <xdr:from>
      <xdr:col>2</xdr:col>
      <xdr:colOff>38100</xdr:colOff>
      <xdr:row>103</xdr:row>
      <xdr:rowOff>38100</xdr:rowOff>
    </xdr:from>
    <xdr:to>
      <xdr:col>2</xdr:col>
      <xdr:colOff>1181100</xdr:colOff>
      <xdr:row>103</xdr:row>
      <xdr:rowOff>933450</xdr:rowOff>
    </xdr:to>
    <xdr:pic>
      <xdr:nvPicPr>
        <xdr:cNvPr id="1076" name="Picture 52">
          <a:extLst>
            <a:ext uri="{FF2B5EF4-FFF2-40B4-BE49-F238E27FC236}">
              <a16:creationId xmlns:a16="http://schemas.microsoft.com/office/drawing/2014/main" id="{00000000-0008-0000-0000-000034040000}"/>
            </a:ext>
          </a:extLst>
        </xdr:cNvPr>
        <xdr:cNvPicPr>
          <a:picLocks noChangeAspect="1" noChangeArrowheads="1"/>
        </xdr:cNvPicPr>
      </xdr:nvPicPr>
      <xdr:blipFill>
        <a:blip xmlns:r="http://schemas.openxmlformats.org/officeDocument/2006/relationships" r:embed="rId52" cstate="print"/>
        <a:srcRect/>
        <a:stretch>
          <a:fillRect/>
        </a:stretch>
      </xdr:blipFill>
      <xdr:spPr bwMode="auto">
        <a:xfrm>
          <a:off x="0" y="0"/>
          <a:ext cx="1143000" cy="895350"/>
        </a:xfrm>
        <a:prstGeom prst="rect">
          <a:avLst/>
        </a:prstGeom>
        <a:noFill/>
      </xdr:spPr>
    </xdr:pic>
    <xdr:clientData/>
  </xdr:twoCellAnchor>
  <xdr:twoCellAnchor editAs="oneCell">
    <xdr:from>
      <xdr:col>2</xdr:col>
      <xdr:colOff>38100</xdr:colOff>
      <xdr:row>104</xdr:row>
      <xdr:rowOff>38100</xdr:rowOff>
    </xdr:from>
    <xdr:to>
      <xdr:col>2</xdr:col>
      <xdr:colOff>1181100</xdr:colOff>
      <xdr:row>104</xdr:row>
      <xdr:rowOff>1181100</xdr:rowOff>
    </xdr:to>
    <xdr:pic>
      <xdr:nvPicPr>
        <xdr:cNvPr id="1077" name="Picture 53">
          <a:extLst>
            <a:ext uri="{FF2B5EF4-FFF2-40B4-BE49-F238E27FC236}">
              <a16:creationId xmlns:a16="http://schemas.microsoft.com/office/drawing/2014/main" id="{00000000-0008-0000-0000-000035040000}"/>
            </a:ext>
          </a:extLst>
        </xdr:cNvPr>
        <xdr:cNvPicPr>
          <a:picLocks noChangeAspect="1" noChangeArrowheads="1"/>
        </xdr:cNvPicPr>
      </xdr:nvPicPr>
      <xdr:blipFill>
        <a:blip xmlns:r="http://schemas.openxmlformats.org/officeDocument/2006/relationships" r:embed="rId5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105</xdr:row>
      <xdr:rowOff>38100</xdr:rowOff>
    </xdr:from>
    <xdr:to>
      <xdr:col>2</xdr:col>
      <xdr:colOff>1181100</xdr:colOff>
      <xdr:row>105</xdr:row>
      <xdr:rowOff>285750</xdr:rowOff>
    </xdr:to>
    <xdr:pic>
      <xdr:nvPicPr>
        <xdr:cNvPr id="1078" name="Picture 54">
          <a:extLst>
            <a:ext uri="{FF2B5EF4-FFF2-40B4-BE49-F238E27FC236}">
              <a16:creationId xmlns:a16="http://schemas.microsoft.com/office/drawing/2014/main" id="{00000000-0008-0000-0000-000036040000}"/>
            </a:ext>
          </a:extLst>
        </xdr:cNvPr>
        <xdr:cNvPicPr>
          <a:picLocks noChangeAspect="1" noChangeArrowheads="1"/>
        </xdr:cNvPicPr>
      </xdr:nvPicPr>
      <xdr:blipFill>
        <a:blip xmlns:r="http://schemas.openxmlformats.org/officeDocument/2006/relationships" r:embed="rId54" cstate="print"/>
        <a:srcRect/>
        <a:stretch>
          <a:fillRect/>
        </a:stretch>
      </xdr:blipFill>
      <xdr:spPr bwMode="auto">
        <a:xfrm>
          <a:off x="0" y="0"/>
          <a:ext cx="1143000" cy="247650"/>
        </a:xfrm>
        <a:prstGeom prst="rect">
          <a:avLst/>
        </a:prstGeom>
        <a:noFill/>
      </xdr:spPr>
    </xdr:pic>
    <xdr:clientData/>
  </xdr:twoCellAnchor>
  <xdr:twoCellAnchor editAs="oneCell">
    <xdr:from>
      <xdr:col>2</xdr:col>
      <xdr:colOff>38100</xdr:colOff>
      <xdr:row>106</xdr:row>
      <xdr:rowOff>38100</xdr:rowOff>
    </xdr:from>
    <xdr:to>
      <xdr:col>2</xdr:col>
      <xdr:colOff>1181100</xdr:colOff>
      <xdr:row>106</xdr:row>
      <xdr:rowOff>1181100</xdr:rowOff>
    </xdr:to>
    <xdr:pic>
      <xdr:nvPicPr>
        <xdr:cNvPr id="1079" name="Picture 55">
          <a:extLst>
            <a:ext uri="{FF2B5EF4-FFF2-40B4-BE49-F238E27FC236}">
              <a16:creationId xmlns:a16="http://schemas.microsoft.com/office/drawing/2014/main" id="{00000000-0008-0000-0000-000037040000}"/>
            </a:ext>
          </a:extLst>
        </xdr:cNvPr>
        <xdr:cNvPicPr>
          <a:picLocks noChangeAspect="1" noChangeArrowheads="1"/>
        </xdr:cNvPicPr>
      </xdr:nvPicPr>
      <xdr:blipFill>
        <a:blip xmlns:r="http://schemas.openxmlformats.org/officeDocument/2006/relationships" r:embed="rId55"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107</xdr:row>
      <xdr:rowOff>38100</xdr:rowOff>
    </xdr:from>
    <xdr:to>
      <xdr:col>2</xdr:col>
      <xdr:colOff>769620</xdr:colOff>
      <xdr:row>107</xdr:row>
      <xdr:rowOff>769620</xdr:rowOff>
    </xdr:to>
    <xdr:pic>
      <xdr:nvPicPr>
        <xdr:cNvPr id="1080" name="Picture 56">
          <a:extLst>
            <a:ext uri="{FF2B5EF4-FFF2-40B4-BE49-F238E27FC236}">
              <a16:creationId xmlns:a16="http://schemas.microsoft.com/office/drawing/2014/main" id="{00000000-0008-0000-0000-000038040000}"/>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109</xdr:row>
      <xdr:rowOff>38100</xdr:rowOff>
    </xdr:from>
    <xdr:to>
      <xdr:col>2</xdr:col>
      <xdr:colOff>605028</xdr:colOff>
      <xdr:row>109</xdr:row>
      <xdr:rowOff>769620</xdr:rowOff>
    </xdr:to>
    <xdr:pic>
      <xdr:nvPicPr>
        <xdr:cNvPr id="1081" name="Picture 57">
          <a:extLst>
            <a:ext uri="{FF2B5EF4-FFF2-40B4-BE49-F238E27FC236}">
              <a16:creationId xmlns:a16="http://schemas.microsoft.com/office/drawing/2014/main" id="{00000000-0008-0000-0000-000039040000}"/>
            </a:ext>
          </a:extLst>
        </xdr:cNvPr>
        <xdr:cNvPicPr>
          <a:picLocks noChangeAspect="1" noChangeArrowheads="1"/>
        </xdr:cNvPicPr>
      </xdr:nvPicPr>
      <xdr:blipFill>
        <a:blip xmlns:r="http://schemas.openxmlformats.org/officeDocument/2006/relationships" r:embed="rId57"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110</xdr:row>
      <xdr:rowOff>38100</xdr:rowOff>
    </xdr:from>
    <xdr:to>
      <xdr:col>2</xdr:col>
      <xdr:colOff>1181100</xdr:colOff>
      <xdr:row>110</xdr:row>
      <xdr:rowOff>1181100</xdr:rowOff>
    </xdr:to>
    <xdr:pic>
      <xdr:nvPicPr>
        <xdr:cNvPr id="1082" name="Picture 58">
          <a:extLst>
            <a:ext uri="{FF2B5EF4-FFF2-40B4-BE49-F238E27FC236}">
              <a16:creationId xmlns:a16="http://schemas.microsoft.com/office/drawing/2014/main" id="{00000000-0008-0000-0000-00003A040000}"/>
            </a:ext>
          </a:extLst>
        </xdr:cNvPr>
        <xdr:cNvPicPr>
          <a:picLocks noChangeAspect="1" noChangeArrowheads="1"/>
        </xdr:cNvPicPr>
      </xdr:nvPicPr>
      <xdr:blipFill>
        <a:blip xmlns:r="http://schemas.openxmlformats.org/officeDocument/2006/relationships" r:embed="rId5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111</xdr:row>
      <xdr:rowOff>38100</xdr:rowOff>
    </xdr:from>
    <xdr:to>
      <xdr:col>2</xdr:col>
      <xdr:colOff>1181100</xdr:colOff>
      <xdr:row>111</xdr:row>
      <xdr:rowOff>1181100</xdr:rowOff>
    </xdr:to>
    <xdr:pic>
      <xdr:nvPicPr>
        <xdr:cNvPr id="1083" name="Picture 59">
          <a:extLst>
            <a:ext uri="{FF2B5EF4-FFF2-40B4-BE49-F238E27FC236}">
              <a16:creationId xmlns:a16="http://schemas.microsoft.com/office/drawing/2014/main" id="{00000000-0008-0000-0000-00003B040000}"/>
            </a:ext>
          </a:extLst>
        </xdr:cNvPr>
        <xdr:cNvPicPr>
          <a:picLocks noChangeAspect="1" noChangeArrowheads="1"/>
        </xdr:cNvPicPr>
      </xdr:nvPicPr>
      <xdr:blipFill>
        <a:blip xmlns:r="http://schemas.openxmlformats.org/officeDocument/2006/relationships" r:embed="rId59"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112</xdr:row>
      <xdr:rowOff>38100</xdr:rowOff>
    </xdr:from>
    <xdr:to>
      <xdr:col>2</xdr:col>
      <xdr:colOff>1205700</xdr:colOff>
      <xdr:row>112</xdr:row>
      <xdr:rowOff>291080</xdr:rowOff>
    </xdr:to>
    <xdr:pic>
      <xdr:nvPicPr>
        <xdr:cNvPr id="1084" name="Picture 60">
          <a:extLst>
            <a:ext uri="{FF2B5EF4-FFF2-40B4-BE49-F238E27FC236}">
              <a16:creationId xmlns:a16="http://schemas.microsoft.com/office/drawing/2014/main" id="{00000000-0008-0000-0000-00003C040000}"/>
            </a:ext>
          </a:extLst>
        </xdr:cNvPr>
        <xdr:cNvPicPr>
          <a:picLocks noChangeAspect="1" noChangeArrowheads="1"/>
        </xdr:cNvPicPr>
      </xdr:nvPicPr>
      <xdr:blipFill>
        <a:blip xmlns:r="http://schemas.openxmlformats.org/officeDocument/2006/relationships" r:embed="rId60" cstate="print"/>
        <a:srcRect/>
        <a:stretch>
          <a:fillRect/>
        </a:stretch>
      </xdr:blipFill>
      <xdr:spPr bwMode="auto">
        <a:xfrm>
          <a:off x="0" y="0"/>
          <a:ext cx="1167600" cy="252980"/>
        </a:xfrm>
        <a:prstGeom prst="rect">
          <a:avLst/>
        </a:prstGeom>
        <a:noFill/>
      </xdr:spPr>
    </xdr:pic>
    <xdr:clientData/>
  </xdr:twoCellAnchor>
  <xdr:twoCellAnchor editAs="oneCell">
    <xdr:from>
      <xdr:col>2</xdr:col>
      <xdr:colOff>38100</xdr:colOff>
      <xdr:row>113</xdr:row>
      <xdr:rowOff>38100</xdr:rowOff>
    </xdr:from>
    <xdr:to>
      <xdr:col>2</xdr:col>
      <xdr:colOff>1181100</xdr:colOff>
      <xdr:row>113</xdr:row>
      <xdr:rowOff>552450</xdr:rowOff>
    </xdr:to>
    <xdr:pic>
      <xdr:nvPicPr>
        <xdr:cNvPr id="1085" name="Picture 61">
          <a:extLst>
            <a:ext uri="{FF2B5EF4-FFF2-40B4-BE49-F238E27FC236}">
              <a16:creationId xmlns:a16="http://schemas.microsoft.com/office/drawing/2014/main" id="{00000000-0008-0000-0000-00003D040000}"/>
            </a:ext>
          </a:extLst>
        </xdr:cNvPr>
        <xdr:cNvPicPr>
          <a:picLocks noChangeAspect="1" noChangeArrowheads="1"/>
        </xdr:cNvPicPr>
      </xdr:nvPicPr>
      <xdr:blipFill>
        <a:blip xmlns:r="http://schemas.openxmlformats.org/officeDocument/2006/relationships" r:embed="rId61" cstate="print"/>
        <a:srcRect/>
        <a:stretch>
          <a:fillRect/>
        </a:stretch>
      </xdr:blipFill>
      <xdr:spPr bwMode="auto">
        <a:xfrm>
          <a:off x="0" y="0"/>
          <a:ext cx="1143000" cy="514350"/>
        </a:xfrm>
        <a:prstGeom prst="rect">
          <a:avLst/>
        </a:prstGeom>
        <a:noFill/>
      </xdr:spPr>
    </xdr:pic>
    <xdr:clientData/>
  </xdr:twoCellAnchor>
  <xdr:twoCellAnchor editAs="oneCell">
    <xdr:from>
      <xdr:col>2</xdr:col>
      <xdr:colOff>38100</xdr:colOff>
      <xdr:row>116</xdr:row>
      <xdr:rowOff>38100</xdr:rowOff>
    </xdr:from>
    <xdr:to>
      <xdr:col>2</xdr:col>
      <xdr:colOff>1181100</xdr:colOff>
      <xdr:row>116</xdr:row>
      <xdr:rowOff>752475</xdr:rowOff>
    </xdr:to>
    <xdr:pic>
      <xdr:nvPicPr>
        <xdr:cNvPr id="1086" name="Picture 62">
          <a:extLst>
            <a:ext uri="{FF2B5EF4-FFF2-40B4-BE49-F238E27FC236}">
              <a16:creationId xmlns:a16="http://schemas.microsoft.com/office/drawing/2014/main" id="{00000000-0008-0000-0000-00003E040000}"/>
            </a:ext>
          </a:extLst>
        </xdr:cNvPr>
        <xdr:cNvPicPr>
          <a:picLocks noChangeAspect="1" noChangeArrowheads="1"/>
        </xdr:cNvPicPr>
      </xdr:nvPicPr>
      <xdr:blipFill>
        <a:blip xmlns:r="http://schemas.openxmlformats.org/officeDocument/2006/relationships" r:embed="rId62" cstate="print"/>
        <a:srcRect/>
        <a:stretch>
          <a:fillRect/>
        </a:stretch>
      </xdr:blipFill>
      <xdr:spPr bwMode="auto">
        <a:xfrm>
          <a:off x="0" y="0"/>
          <a:ext cx="1143000" cy="714375"/>
        </a:xfrm>
        <a:prstGeom prst="rect">
          <a:avLst/>
        </a:prstGeom>
        <a:noFill/>
      </xdr:spPr>
    </xdr:pic>
    <xdr:clientData/>
  </xdr:twoCellAnchor>
  <xdr:twoCellAnchor editAs="oneCell">
    <xdr:from>
      <xdr:col>2</xdr:col>
      <xdr:colOff>38100</xdr:colOff>
      <xdr:row>118</xdr:row>
      <xdr:rowOff>38100</xdr:rowOff>
    </xdr:from>
    <xdr:to>
      <xdr:col>2</xdr:col>
      <xdr:colOff>452220</xdr:colOff>
      <xdr:row>118</xdr:row>
      <xdr:rowOff>452220</xdr:rowOff>
    </xdr:to>
    <xdr:pic>
      <xdr:nvPicPr>
        <xdr:cNvPr id="1087" name="Picture 63">
          <a:extLst>
            <a:ext uri="{FF2B5EF4-FFF2-40B4-BE49-F238E27FC236}">
              <a16:creationId xmlns:a16="http://schemas.microsoft.com/office/drawing/2014/main" id="{00000000-0008-0000-0000-00003F040000}"/>
            </a:ext>
          </a:extLst>
        </xdr:cNvPr>
        <xdr:cNvPicPr>
          <a:picLocks noChangeAspect="1" noChangeArrowheads="1"/>
        </xdr:cNvPicPr>
      </xdr:nvPicPr>
      <xdr:blipFill>
        <a:blip xmlns:r="http://schemas.openxmlformats.org/officeDocument/2006/relationships" r:embed="rId63" cstate="print"/>
        <a:srcRect/>
        <a:stretch>
          <a:fillRect/>
        </a:stretch>
      </xdr:blipFill>
      <xdr:spPr bwMode="auto">
        <a:xfrm>
          <a:off x="0" y="0"/>
          <a:ext cx="414120" cy="414120"/>
        </a:xfrm>
        <a:prstGeom prst="rect">
          <a:avLst/>
        </a:prstGeom>
        <a:noFill/>
      </xdr:spPr>
    </xdr:pic>
    <xdr:clientData/>
  </xdr:twoCellAnchor>
  <xdr:twoCellAnchor editAs="oneCell">
    <xdr:from>
      <xdr:col>2</xdr:col>
      <xdr:colOff>38100</xdr:colOff>
      <xdr:row>122</xdr:row>
      <xdr:rowOff>38100</xdr:rowOff>
    </xdr:from>
    <xdr:to>
      <xdr:col>2</xdr:col>
      <xdr:colOff>923925</xdr:colOff>
      <xdr:row>122</xdr:row>
      <xdr:rowOff>1181100</xdr:rowOff>
    </xdr:to>
    <xdr:pic>
      <xdr:nvPicPr>
        <xdr:cNvPr id="1088" name="Picture 64">
          <a:extLst>
            <a:ext uri="{FF2B5EF4-FFF2-40B4-BE49-F238E27FC236}">
              <a16:creationId xmlns:a16="http://schemas.microsoft.com/office/drawing/2014/main" id="{00000000-0008-0000-0000-000040040000}"/>
            </a:ext>
          </a:extLst>
        </xdr:cNvPr>
        <xdr:cNvPicPr>
          <a:picLocks noChangeAspect="1" noChangeArrowheads="1"/>
        </xdr:cNvPicPr>
      </xdr:nvPicPr>
      <xdr:blipFill>
        <a:blip xmlns:r="http://schemas.openxmlformats.org/officeDocument/2006/relationships" r:embed="rId64" cstate="print"/>
        <a:srcRect/>
        <a:stretch>
          <a:fillRect/>
        </a:stretch>
      </xdr:blipFill>
      <xdr:spPr bwMode="auto">
        <a:xfrm>
          <a:off x="0" y="0"/>
          <a:ext cx="885825" cy="1143000"/>
        </a:xfrm>
        <a:prstGeom prst="rect">
          <a:avLst/>
        </a:prstGeom>
        <a:noFill/>
      </xdr:spPr>
    </xdr:pic>
    <xdr:clientData/>
  </xdr:twoCellAnchor>
  <xdr:twoCellAnchor editAs="oneCell">
    <xdr:from>
      <xdr:col>2</xdr:col>
      <xdr:colOff>38100</xdr:colOff>
      <xdr:row>123</xdr:row>
      <xdr:rowOff>38100</xdr:rowOff>
    </xdr:from>
    <xdr:to>
      <xdr:col>2</xdr:col>
      <xdr:colOff>1057275</xdr:colOff>
      <xdr:row>123</xdr:row>
      <xdr:rowOff>1181100</xdr:rowOff>
    </xdr:to>
    <xdr:pic>
      <xdr:nvPicPr>
        <xdr:cNvPr id="1089" name="Picture 65">
          <a:extLst>
            <a:ext uri="{FF2B5EF4-FFF2-40B4-BE49-F238E27FC236}">
              <a16:creationId xmlns:a16="http://schemas.microsoft.com/office/drawing/2014/main" id="{00000000-0008-0000-0000-000041040000}"/>
            </a:ext>
          </a:extLst>
        </xdr:cNvPr>
        <xdr:cNvPicPr>
          <a:picLocks noChangeAspect="1" noChangeArrowheads="1"/>
        </xdr:cNvPicPr>
      </xdr:nvPicPr>
      <xdr:blipFill>
        <a:blip xmlns:r="http://schemas.openxmlformats.org/officeDocument/2006/relationships" r:embed="rId65" cstate="print"/>
        <a:srcRect/>
        <a:stretch>
          <a:fillRect/>
        </a:stretch>
      </xdr:blipFill>
      <xdr:spPr bwMode="auto">
        <a:xfrm>
          <a:off x="0" y="0"/>
          <a:ext cx="1019175" cy="1143000"/>
        </a:xfrm>
        <a:prstGeom prst="rect">
          <a:avLst/>
        </a:prstGeom>
        <a:noFill/>
      </xdr:spPr>
    </xdr:pic>
    <xdr:clientData/>
  </xdr:twoCellAnchor>
  <xdr:twoCellAnchor editAs="oneCell">
    <xdr:from>
      <xdr:col>2</xdr:col>
      <xdr:colOff>38100</xdr:colOff>
      <xdr:row>126</xdr:row>
      <xdr:rowOff>38100</xdr:rowOff>
    </xdr:from>
    <xdr:to>
      <xdr:col>2</xdr:col>
      <xdr:colOff>769620</xdr:colOff>
      <xdr:row>126</xdr:row>
      <xdr:rowOff>196596</xdr:rowOff>
    </xdr:to>
    <xdr:pic>
      <xdr:nvPicPr>
        <xdr:cNvPr id="1090" name="Picture 66">
          <a:extLst>
            <a:ext uri="{FF2B5EF4-FFF2-40B4-BE49-F238E27FC236}">
              <a16:creationId xmlns:a16="http://schemas.microsoft.com/office/drawing/2014/main" id="{00000000-0008-0000-0000-000042040000}"/>
            </a:ext>
          </a:extLst>
        </xdr:cNvPr>
        <xdr:cNvPicPr>
          <a:picLocks noChangeAspect="1" noChangeArrowheads="1"/>
        </xdr:cNvPicPr>
      </xdr:nvPicPr>
      <xdr:blipFill>
        <a:blip xmlns:r="http://schemas.openxmlformats.org/officeDocument/2006/relationships" r:embed="rId66" cstate="print"/>
        <a:srcRect/>
        <a:stretch>
          <a:fillRect/>
        </a:stretch>
      </xdr:blipFill>
      <xdr:spPr bwMode="auto">
        <a:xfrm>
          <a:off x="0" y="0"/>
          <a:ext cx="731520" cy="158496"/>
        </a:xfrm>
        <a:prstGeom prst="rect">
          <a:avLst/>
        </a:prstGeom>
        <a:noFill/>
      </xdr:spPr>
    </xdr:pic>
    <xdr:clientData/>
  </xdr:twoCellAnchor>
  <xdr:twoCellAnchor editAs="oneCell">
    <xdr:from>
      <xdr:col>2</xdr:col>
      <xdr:colOff>38100</xdr:colOff>
      <xdr:row>127</xdr:row>
      <xdr:rowOff>38100</xdr:rowOff>
    </xdr:from>
    <xdr:to>
      <xdr:col>2</xdr:col>
      <xdr:colOff>769620</xdr:colOff>
      <xdr:row>127</xdr:row>
      <xdr:rowOff>220980</xdr:rowOff>
    </xdr:to>
    <xdr:pic>
      <xdr:nvPicPr>
        <xdr:cNvPr id="1091" name="Picture 67">
          <a:extLst>
            <a:ext uri="{FF2B5EF4-FFF2-40B4-BE49-F238E27FC236}">
              <a16:creationId xmlns:a16="http://schemas.microsoft.com/office/drawing/2014/main" id="{00000000-0008-0000-0000-000043040000}"/>
            </a:ext>
          </a:extLst>
        </xdr:cNvPr>
        <xdr:cNvPicPr>
          <a:picLocks noChangeAspect="1" noChangeArrowheads="1"/>
        </xdr:cNvPicPr>
      </xdr:nvPicPr>
      <xdr:blipFill>
        <a:blip xmlns:r="http://schemas.openxmlformats.org/officeDocument/2006/relationships" r:embed="rId67" cstate="print"/>
        <a:srcRect/>
        <a:stretch>
          <a:fillRect/>
        </a:stretch>
      </xdr:blipFill>
      <xdr:spPr bwMode="auto">
        <a:xfrm>
          <a:off x="0" y="0"/>
          <a:ext cx="731520" cy="182880"/>
        </a:xfrm>
        <a:prstGeom prst="rect">
          <a:avLst/>
        </a:prstGeom>
        <a:noFill/>
      </xdr:spPr>
    </xdr:pic>
    <xdr:clientData/>
  </xdr:twoCellAnchor>
  <xdr:twoCellAnchor editAs="oneCell">
    <xdr:from>
      <xdr:col>2</xdr:col>
      <xdr:colOff>38100</xdr:colOff>
      <xdr:row>132</xdr:row>
      <xdr:rowOff>38100</xdr:rowOff>
    </xdr:from>
    <xdr:to>
      <xdr:col>2</xdr:col>
      <xdr:colOff>1181100</xdr:colOff>
      <xdr:row>132</xdr:row>
      <xdr:rowOff>857250</xdr:rowOff>
    </xdr:to>
    <xdr:pic>
      <xdr:nvPicPr>
        <xdr:cNvPr id="1092" name="Picture 68">
          <a:extLst>
            <a:ext uri="{FF2B5EF4-FFF2-40B4-BE49-F238E27FC236}">
              <a16:creationId xmlns:a16="http://schemas.microsoft.com/office/drawing/2014/main" id="{00000000-0008-0000-0000-000044040000}"/>
            </a:ext>
          </a:extLst>
        </xdr:cNvPr>
        <xdr:cNvPicPr>
          <a:picLocks noChangeAspect="1" noChangeArrowheads="1"/>
        </xdr:cNvPicPr>
      </xdr:nvPicPr>
      <xdr:blipFill>
        <a:blip xmlns:r="http://schemas.openxmlformats.org/officeDocument/2006/relationships" r:embed="rId68" cstate="print"/>
        <a:srcRect/>
        <a:stretch>
          <a:fillRect/>
        </a:stretch>
      </xdr:blipFill>
      <xdr:spPr bwMode="auto">
        <a:xfrm>
          <a:off x="0" y="0"/>
          <a:ext cx="1143000" cy="819150"/>
        </a:xfrm>
        <a:prstGeom prst="rect">
          <a:avLst/>
        </a:prstGeom>
        <a:noFill/>
      </xdr:spPr>
    </xdr:pic>
    <xdr:clientData/>
  </xdr:twoCellAnchor>
  <xdr:twoCellAnchor editAs="oneCell">
    <xdr:from>
      <xdr:col>2</xdr:col>
      <xdr:colOff>38100</xdr:colOff>
      <xdr:row>133</xdr:row>
      <xdr:rowOff>38100</xdr:rowOff>
    </xdr:from>
    <xdr:to>
      <xdr:col>2</xdr:col>
      <xdr:colOff>1135380</xdr:colOff>
      <xdr:row>133</xdr:row>
      <xdr:rowOff>1135380</xdr:rowOff>
    </xdr:to>
    <xdr:pic>
      <xdr:nvPicPr>
        <xdr:cNvPr id="1093" name="Picture 69">
          <a:extLst>
            <a:ext uri="{FF2B5EF4-FFF2-40B4-BE49-F238E27FC236}">
              <a16:creationId xmlns:a16="http://schemas.microsoft.com/office/drawing/2014/main" id="{00000000-0008-0000-0000-000045040000}"/>
            </a:ext>
          </a:extLst>
        </xdr:cNvPr>
        <xdr:cNvPicPr>
          <a:picLocks noChangeAspect="1" noChangeArrowheads="1"/>
        </xdr:cNvPicPr>
      </xdr:nvPicPr>
      <xdr:blipFill>
        <a:blip xmlns:r="http://schemas.openxmlformats.org/officeDocument/2006/relationships" r:embed="rId69" cstate="print"/>
        <a:srcRect/>
        <a:stretch>
          <a:fillRect/>
        </a:stretch>
      </xdr:blipFill>
      <xdr:spPr bwMode="auto">
        <a:xfrm>
          <a:off x="0" y="0"/>
          <a:ext cx="1097280" cy="1097280"/>
        </a:xfrm>
        <a:prstGeom prst="rect">
          <a:avLst/>
        </a:prstGeom>
        <a:noFill/>
      </xdr:spPr>
    </xdr:pic>
    <xdr:clientData/>
  </xdr:twoCellAnchor>
  <xdr:twoCellAnchor editAs="oneCell">
    <xdr:from>
      <xdr:col>2</xdr:col>
      <xdr:colOff>38100</xdr:colOff>
      <xdr:row>134</xdr:row>
      <xdr:rowOff>38100</xdr:rowOff>
    </xdr:from>
    <xdr:to>
      <xdr:col>2</xdr:col>
      <xdr:colOff>1181100</xdr:colOff>
      <xdr:row>134</xdr:row>
      <xdr:rowOff>552450</xdr:rowOff>
    </xdr:to>
    <xdr:pic>
      <xdr:nvPicPr>
        <xdr:cNvPr id="1094" name="Picture 70">
          <a:extLst>
            <a:ext uri="{FF2B5EF4-FFF2-40B4-BE49-F238E27FC236}">
              <a16:creationId xmlns:a16="http://schemas.microsoft.com/office/drawing/2014/main" id="{00000000-0008-0000-0000-000046040000}"/>
            </a:ext>
          </a:extLst>
        </xdr:cNvPr>
        <xdr:cNvPicPr>
          <a:picLocks noChangeAspect="1" noChangeArrowheads="1"/>
        </xdr:cNvPicPr>
      </xdr:nvPicPr>
      <xdr:blipFill>
        <a:blip xmlns:r="http://schemas.openxmlformats.org/officeDocument/2006/relationships" r:embed="rId70" cstate="print"/>
        <a:srcRect/>
        <a:stretch>
          <a:fillRect/>
        </a:stretch>
      </xdr:blipFill>
      <xdr:spPr bwMode="auto">
        <a:xfrm>
          <a:off x="0" y="0"/>
          <a:ext cx="1143000" cy="514350"/>
        </a:xfrm>
        <a:prstGeom prst="rect">
          <a:avLst/>
        </a:prstGeom>
        <a:noFill/>
      </xdr:spPr>
    </xdr:pic>
    <xdr:clientData/>
  </xdr:twoCellAnchor>
  <xdr:twoCellAnchor editAs="oneCell">
    <xdr:from>
      <xdr:col>2</xdr:col>
      <xdr:colOff>38100</xdr:colOff>
      <xdr:row>135</xdr:row>
      <xdr:rowOff>38100</xdr:rowOff>
    </xdr:from>
    <xdr:to>
      <xdr:col>2</xdr:col>
      <xdr:colOff>1181100</xdr:colOff>
      <xdr:row>135</xdr:row>
      <xdr:rowOff>723900</xdr:rowOff>
    </xdr:to>
    <xdr:pic>
      <xdr:nvPicPr>
        <xdr:cNvPr id="1095" name="Picture 71">
          <a:extLst>
            <a:ext uri="{FF2B5EF4-FFF2-40B4-BE49-F238E27FC236}">
              <a16:creationId xmlns:a16="http://schemas.microsoft.com/office/drawing/2014/main" id="{00000000-0008-0000-0000-000047040000}"/>
            </a:ext>
          </a:extLst>
        </xdr:cNvPr>
        <xdr:cNvPicPr>
          <a:picLocks noChangeAspect="1" noChangeArrowheads="1"/>
        </xdr:cNvPicPr>
      </xdr:nvPicPr>
      <xdr:blipFill>
        <a:blip xmlns:r="http://schemas.openxmlformats.org/officeDocument/2006/relationships" r:embed="rId71" cstate="print"/>
        <a:srcRect/>
        <a:stretch>
          <a:fillRect/>
        </a:stretch>
      </xdr:blipFill>
      <xdr:spPr bwMode="auto">
        <a:xfrm>
          <a:off x="0" y="0"/>
          <a:ext cx="1143000" cy="685800"/>
        </a:xfrm>
        <a:prstGeom prst="rect">
          <a:avLst/>
        </a:prstGeom>
        <a:noFill/>
      </xdr:spPr>
    </xdr:pic>
    <xdr:clientData/>
  </xdr:twoCellAnchor>
  <xdr:twoCellAnchor editAs="oneCell">
    <xdr:from>
      <xdr:col>2</xdr:col>
      <xdr:colOff>38100</xdr:colOff>
      <xdr:row>136</xdr:row>
      <xdr:rowOff>38100</xdr:rowOff>
    </xdr:from>
    <xdr:to>
      <xdr:col>2</xdr:col>
      <xdr:colOff>1181100</xdr:colOff>
      <xdr:row>136</xdr:row>
      <xdr:rowOff>561975</xdr:rowOff>
    </xdr:to>
    <xdr:pic>
      <xdr:nvPicPr>
        <xdr:cNvPr id="1096" name="Picture 72">
          <a:extLst>
            <a:ext uri="{FF2B5EF4-FFF2-40B4-BE49-F238E27FC236}">
              <a16:creationId xmlns:a16="http://schemas.microsoft.com/office/drawing/2014/main" id="{00000000-0008-0000-0000-000048040000}"/>
            </a:ext>
          </a:extLst>
        </xdr:cNvPr>
        <xdr:cNvPicPr>
          <a:picLocks noChangeAspect="1" noChangeArrowheads="1"/>
        </xdr:cNvPicPr>
      </xdr:nvPicPr>
      <xdr:blipFill>
        <a:blip xmlns:r="http://schemas.openxmlformats.org/officeDocument/2006/relationships" r:embed="rId72" cstate="print"/>
        <a:srcRect/>
        <a:stretch>
          <a:fillRect/>
        </a:stretch>
      </xdr:blipFill>
      <xdr:spPr bwMode="auto">
        <a:xfrm>
          <a:off x="0" y="0"/>
          <a:ext cx="1143000" cy="523875"/>
        </a:xfrm>
        <a:prstGeom prst="rect">
          <a:avLst/>
        </a:prstGeom>
        <a:noFill/>
      </xdr:spPr>
    </xdr:pic>
    <xdr:clientData/>
  </xdr:twoCellAnchor>
  <xdr:twoCellAnchor editAs="oneCell">
    <xdr:from>
      <xdr:col>2</xdr:col>
      <xdr:colOff>38100</xdr:colOff>
      <xdr:row>137</xdr:row>
      <xdr:rowOff>38100</xdr:rowOff>
    </xdr:from>
    <xdr:to>
      <xdr:col>2</xdr:col>
      <xdr:colOff>1181100</xdr:colOff>
      <xdr:row>137</xdr:row>
      <xdr:rowOff>314325</xdr:rowOff>
    </xdr:to>
    <xdr:pic>
      <xdr:nvPicPr>
        <xdr:cNvPr id="1097" name="Picture 73">
          <a:extLst>
            <a:ext uri="{FF2B5EF4-FFF2-40B4-BE49-F238E27FC236}">
              <a16:creationId xmlns:a16="http://schemas.microsoft.com/office/drawing/2014/main" id="{00000000-0008-0000-0000-000049040000}"/>
            </a:ext>
          </a:extLst>
        </xdr:cNvPr>
        <xdr:cNvPicPr>
          <a:picLocks noChangeAspect="1" noChangeArrowheads="1"/>
        </xdr:cNvPicPr>
      </xdr:nvPicPr>
      <xdr:blipFill>
        <a:blip xmlns:r="http://schemas.openxmlformats.org/officeDocument/2006/relationships" r:embed="rId73" cstate="print"/>
        <a:srcRect/>
        <a:stretch>
          <a:fillRect/>
        </a:stretch>
      </xdr:blipFill>
      <xdr:spPr bwMode="auto">
        <a:xfrm>
          <a:off x="0" y="0"/>
          <a:ext cx="1143000" cy="276225"/>
        </a:xfrm>
        <a:prstGeom prst="rect">
          <a:avLst/>
        </a:prstGeom>
        <a:noFill/>
      </xdr:spPr>
    </xdr:pic>
    <xdr:clientData/>
  </xdr:twoCellAnchor>
  <xdr:twoCellAnchor editAs="oneCell">
    <xdr:from>
      <xdr:col>2</xdr:col>
      <xdr:colOff>38100</xdr:colOff>
      <xdr:row>138</xdr:row>
      <xdr:rowOff>38100</xdr:rowOff>
    </xdr:from>
    <xdr:to>
      <xdr:col>2</xdr:col>
      <xdr:colOff>952500</xdr:colOff>
      <xdr:row>138</xdr:row>
      <xdr:rowOff>662940</xdr:rowOff>
    </xdr:to>
    <xdr:pic>
      <xdr:nvPicPr>
        <xdr:cNvPr id="1098" name="Picture 74">
          <a:extLst>
            <a:ext uri="{FF2B5EF4-FFF2-40B4-BE49-F238E27FC236}">
              <a16:creationId xmlns:a16="http://schemas.microsoft.com/office/drawing/2014/main" id="{00000000-0008-0000-0000-00004A040000}"/>
            </a:ext>
          </a:extLst>
        </xdr:cNvPr>
        <xdr:cNvPicPr>
          <a:picLocks noChangeAspect="1" noChangeArrowheads="1"/>
        </xdr:cNvPicPr>
      </xdr:nvPicPr>
      <xdr:blipFill>
        <a:blip xmlns:r="http://schemas.openxmlformats.org/officeDocument/2006/relationships" r:embed="rId74" cstate="print"/>
        <a:srcRect/>
        <a:stretch>
          <a:fillRect/>
        </a:stretch>
      </xdr:blipFill>
      <xdr:spPr bwMode="auto">
        <a:xfrm>
          <a:off x="0" y="0"/>
          <a:ext cx="914400" cy="624840"/>
        </a:xfrm>
        <a:prstGeom prst="rect">
          <a:avLst/>
        </a:prstGeom>
        <a:noFill/>
      </xdr:spPr>
    </xdr:pic>
    <xdr:clientData/>
  </xdr:twoCellAnchor>
  <xdr:twoCellAnchor editAs="oneCell">
    <xdr:from>
      <xdr:col>2</xdr:col>
      <xdr:colOff>38100</xdr:colOff>
      <xdr:row>139</xdr:row>
      <xdr:rowOff>38100</xdr:rowOff>
    </xdr:from>
    <xdr:to>
      <xdr:col>2</xdr:col>
      <xdr:colOff>1181100</xdr:colOff>
      <xdr:row>139</xdr:row>
      <xdr:rowOff>1057275</xdr:rowOff>
    </xdr:to>
    <xdr:pic>
      <xdr:nvPicPr>
        <xdr:cNvPr id="1099" name="Picture 75">
          <a:extLst>
            <a:ext uri="{FF2B5EF4-FFF2-40B4-BE49-F238E27FC236}">
              <a16:creationId xmlns:a16="http://schemas.microsoft.com/office/drawing/2014/main" id="{00000000-0008-0000-0000-00004B040000}"/>
            </a:ext>
          </a:extLst>
        </xdr:cNvPr>
        <xdr:cNvPicPr>
          <a:picLocks noChangeAspect="1" noChangeArrowheads="1"/>
        </xdr:cNvPicPr>
      </xdr:nvPicPr>
      <xdr:blipFill>
        <a:blip xmlns:r="http://schemas.openxmlformats.org/officeDocument/2006/relationships" r:embed="rId75" cstate="print"/>
        <a:srcRect/>
        <a:stretch>
          <a:fillRect/>
        </a:stretch>
      </xdr:blipFill>
      <xdr:spPr bwMode="auto">
        <a:xfrm>
          <a:off x="0" y="0"/>
          <a:ext cx="1143000" cy="1019175"/>
        </a:xfrm>
        <a:prstGeom prst="rect">
          <a:avLst/>
        </a:prstGeom>
        <a:noFill/>
      </xdr:spPr>
    </xdr:pic>
    <xdr:clientData/>
  </xdr:twoCellAnchor>
  <xdr:twoCellAnchor editAs="oneCell">
    <xdr:from>
      <xdr:col>2</xdr:col>
      <xdr:colOff>38100</xdr:colOff>
      <xdr:row>140</xdr:row>
      <xdr:rowOff>38100</xdr:rowOff>
    </xdr:from>
    <xdr:to>
      <xdr:col>2</xdr:col>
      <xdr:colOff>1181100</xdr:colOff>
      <xdr:row>140</xdr:row>
      <xdr:rowOff>1181100</xdr:rowOff>
    </xdr:to>
    <xdr:pic>
      <xdr:nvPicPr>
        <xdr:cNvPr id="1100" name="Picture 76">
          <a:extLst>
            <a:ext uri="{FF2B5EF4-FFF2-40B4-BE49-F238E27FC236}">
              <a16:creationId xmlns:a16="http://schemas.microsoft.com/office/drawing/2014/main" id="{00000000-0008-0000-0000-00004C040000}"/>
            </a:ext>
          </a:extLst>
        </xdr:cNvPr>
        <xdr:cNvPicPr>
          <a:picLocks noChangeAspect="1" noChangeArrowheads="1"/>
        </xdr:cNvPicPr>
      </xdr:nvPicPr>
      <xdr:blipFill>
        <a:blip xmlns:r="http://schemas.openxmlformats.org/officeDocument/2006/relationships" r:embed="rId76"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141</xdr:row>
      <xdr:rowOff>38100</xdr:rowOff>
    </xdr:from>
    <xdr:to>
      <xdr:col>2</xdr:col>
      <xdr:colOff>403860</xdr:colOff>
      <xdr:row>141</xdr:row>
      <xdr:rowOff>403860</xdr:rowOff>
    </xdr:to>
    <xdr:pic>
      <xdr:nvPicPr>
        <xdr:cNvPr id="1101" name="Picture 77">
          <a:extLst>
            <a:ext uri="{FF2B5EF4-FFF2-40B4-BE49-F238E27FC236}">
              <a16:creationId xmlns:a16="http://schemas.microsoft.com/office/drawing/2014/main" id="{00000000-0008-0000-0000-00004D040000}"/>
            </a:ext>
          </a:extLst>
        </xdr:cNvPr>
        <xdr:cNvPicPr>
          <a:picLocks noChangeAspect="1" noChangeArrowheads="1"/>
        </xdr:cNvPicPr>
      </xdr:nvPicPr>
      <xdr:blipFill>
        <a:blip xmlns:r="http://schemas.openxmlformats.org/officeDocument/2006/relationships" r:embed="rId77"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142</xdr:row>
      <xdr:rowOff>38100</xdr:rowOff>
    </xdr:from>
    <xdr:to>
      <xdr:col>2</xdr:col>
      <xdr:colOff>1181100</xdr:colOff>
      <xdr:row>142</xdr:row>
      <xdr:rowOff>1181100</xdr:rowOff>
    </xdr:to>
    <xdr:pic>
      <xdr:nvPicPr>
        <xdr:cNvPr id="1102" name="Picture 78">
          <a:extLst>
            <a:ext uri="{FF2B5EF4-FFF2-40B4-BE49-F238E27FC236}">
              <a16:creationId xmlns:a16="http://schemas.microsoft.com/office/drawing/2014/main" id="{00000000-0008-0000-0000-00004E040000}"/>
            </a:ext>
          </a:extLst>
        </xdr:cNvPr>
        <xdr:cNvPicPr>
          <a:picLocks noChangeAspect="1" noChangeArrowheads="1"/>
        </xdr:cNvPicPr>
      </xdr:nvPicPr>
      <xdr:blipFill>
        <a:blip xmlns:r="http://schemas.openxmlformats.org/officeDocument/2006/relationships" r:embed="rId7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146</xdr:row>
      <xdr:rowOff>38100</xdr:rowOff>
    </xdr:from>
    <xdr:to>
      <xdr:col>2</xdr:col>
      <xdr:colOff>403860</xdr:colOff>
      <xdr:row>146</xdr:row>
      <xdr:rowOff>403860</xdr:rowOff>
    </xdr:to>
    <xdr:pic>
      <xdr:nvPicPr>
        <xdr:cNvPr id="1103" name="Picture 79">
          <a:extLst>
            <a:ext uri="{FF2B5EF4-FFF2-40B4-BE49-F238E27FC236}">
              <a16:creationId xmlns:a16="http://schemas.microsoft.com/office/drawing/2014/main" id="{00000000-0008-0000-0000-00004F040000}"/>
            </a:ext>
          </a:extLst>
        </xdr:cNvPr>
        <xdr:cNvPicPr>
          <a:picLocks noChangeAspect="1" noChangeArrowheads="1"/>
        </xdr:cNvPicPr>
      </xdr:nvPicPr>
      <xdr:blipFill>
        <a:blip xmlns:r="http://schemas.openxmlformats.org/officeDocument/2006/relationships" r:embed="rId79"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148</xdr:row>
      <xdr:rowOff>38100</xdr:rowOff>
    </xdr:from>
    <xdr:to>
      <xdr:col>2</xdr:col>
      <xdr:colOff>1181100</xdr:colOff>
      <xdr:row>148</xdr:row>
      <xdr:rowOff>1181100</xdr:rowOff>
    </xdr:to>
    <xdr:pic>
      <xdr:nvPicPr>
        <xdr:cNvPr id="1104" name="Picture 80">
          <a:extLst>
            <a:ext uri="{FF2B5EF4-FFF2-40B4-BE49-F238E27FC236}">
              <a16:creationId xmlns:a16="http://schemas.microsoft.com/office/drawing/2014/main" id="{00000000-0008-0000-0000-000050040000}"/>
            </a:ext>
          </a:extLst>
        </xdr:cNvPr>
        <xdr:cNvPicPr>
          <a:picLocks noChangeAspect="1" noChangeArrowheads="1"/>
        </xdr:cNvPicPr>
      </xdr:nvPicPr>
      <xdr:blipFill>
        <a:blip xmlns:r="http://schemas.openxmlformats.org/officeDocument/2006/relationships" r:embed="rId8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149</xdr:row>
      <xdr:rowOff>38100</xdr:rowOff>
    </xdr:from>
    <xdr:to>
      <xdr:col>2</xdr:col>
      <xdr:colOff>1135380</xdr:colOff>
      <xdr:row>149</xdr:row>
      <xdr:rowOff>1135380</xdr:rowOff>
    </xdr:to>
    <xdr:pic>
      <xdr:nvPicPr>
        <xdr:cNvPr id="1105" name="Picture 81">
          <a:extLst>
            <a:ext uri="{FF2B5EF4-FFF2-40B4-BE49-F238E27FC236}">
              <a16:creationId xmlns:a16="http://schemas.microsoft.com/office/drawing/2014/main" id="{00000000-0008-0000-0000-000051040000}"/>
            </a:ext>
          </a:extLst>
        </xdr:cNvPr>
        <xdr:cNvPicPr>
          <a:picLocks noChangeAspect="1" noChangeArrowheads="1"/>
        </xdr:cNvPicPr>
      </xdr:nvPicPr>
      <xdr:blipFill>
        <a:blip xmlns:r="http://schemas.openxmlformats.org/officeDocument/2006/relationships" r:embed="rId81" cstate="print"/>
        <a:srcRect/>
        <a:stretch>
          <a:fillRect/>
        </a:stretch>
      </xdr:blipFill>
      <xdr:spPr bwMode="auto">
        <a:xfrm>
          <a:off x="0" y="0"/>
          <a:ext cx="1097280" cy="1097280"/>
        </a:xfrm>
        <a:prstGeom prst="rect">
          <a:avLst/>
        </a:prstGeom>
        <a:noFill/>
      </xdr:spPr>
    </xdr:pic>
    <xdr:clientData/>
  </xdr:twoCellAnchor>
  <xdr:twoCellAnchor editAs="oneCell">
    <xdr:from>
      <xdr:col>2</xdr:col>
      <xdr:colOff>38100</xdr:colOff>
      <xdr:row>150</xdr:row>
      <xdr:rowOff>38100</xdr:rowOff>
    </xdr:from>
    <xdr:to>
      <xdr:col>2</xdr:col>
      <xdr:colOff>1135380</xdr:colOff>
      <xdr:row>150</xdr:row>
      <xdr:rowOff>1135380</xdr:rowOff>
    </xdr:to>
    <xdr:pic>
      <xdr:nvPicPr>
        <xdr:cNvPr id="1106" name="Picture 82">
          <a:extLst>
            <a:ext uri="{FF2B5EF4-FFF2-40B4-BE49-F238E27FC236}">
              <a16:creationId xmlns:a16="http://schemas.microsoft.com/office/drawing/2014/main" id="{00000000-0008-0000-0000-000052040000}"/>
            </a:ext>
          </a:extLst>
        </xdr:cNvPr>
        <xdr:cNvPicPr>
          <a:picLocks noChangeAspect="1" noChangeArrowheads="1"/>
        </xdr:cNvPicPr>
      </xdr:nvPicPr>
      <xdr:blipFill>
        <a:blip xmlns:r="http://schemas.openxmlformats.org/officeDocument/2006/relationships" r:embed="rId82" cstate="print"/>
        <a:srcRect/>
        <a:stretch>
          <a:fillRect/>
        </a:stretch>
      </xdr:blipFill>
      <xdr:spPr bwMode="auto">
        <a:xfrm>
          <a:off x="0" y="0"/>
          <a:ext cx="1097280" cy="1097280"/>
        </a:xfrm>
        <a:prstGeom prst="rect">
          <a:avLst/>
        </a:prstGeom>
        <a:noFill/>
      </xdr:spPr>
    </xdr:pic>
    <xdr:clientData/>
  </xdr:twoCellAnchor>
  <xdr:twoCellAnchor editAs="oneCell">
    <xdr:from>
      <xdr:col>2</xdr:col>
      <xdr:colOff>38100</xdr:colOff>
      <xdr:row>152</xdr:row>
      <xdr:rowOff>38100</xdr:rowOff>
    </xdr:from>
    <xdr:to>
      <xdr:col>2</xdr:col>
      <xdr:colOff>1181100</xdr:colOff>
      <xdr:row>152</xdr:row>
      <xdr:rowOff>1085850</xdr:rowOff>
    </xdr:to>
    <xdr:pic>
      <xdr:nvPicPr>
        <xdr:cNvPr id="1107" name="Picture 83">
          <a:extLst>
            <a:ext uri="{FF2B5EF4-FFF2-40B4-BE49-F238E27FC236}">
              <a16:creationId xmlns:a16="http://schemas.microsoft.com/office/drawing/2014/main" id="{00000000-0008-0000-0000-000053040000}"/>
            </a:ext>
          </a:extLst>
        </xdr:cNvPr>
        <xdr:cNvPicPr>
          <a:picLocks noChangeAspect="1" noChangeArrowheads="1"/>
        </xdr:cNvPicPr>
      </xdr:nvPicPr>
      <xdr:blipFill>
        <a:blip xmlns:r="http://schemas.openxmlformats.org/officeDocument/2006/relationships" r:embed="rId83" cstate="print"/>
        <a:srcRect/>
        <a:stretch>
          <a:fillRect/>
        </a:stretch>
      </xdr:blipFill>
      <xdr:spPr bwMode="auto">
        <a:xfrm>
          <a:off x="0" y="0"/>
          <a:ext cx="1143000" cy="1047750"/>
        </a:xfrm>
        <a:prstGeom prst="rect">
          <a:avLst/>
        </a:prstGeom>
        <a:noFill/>
      </xdr:spPr>
    </xdr:pic>
    <xdr:clientData/>
  </xdr:twoCellAnchor>
  <xdr:twoCellAnchor editAs="oneCell">
    <xdr:from>
      <xdr:col>2</xdr:col>
      <xdr:colOff>38100</xdr:colOff>
      <xdr:row>154</xdr:row>
      <xdr:rowOff>38100</xdr:rowOff>
    </xdr:from>
    <xdr:to>
      <xdr:col>2</xdr:col>
      <xdr:colOff>1205700</xdr:colOff>
      <xdr:row>154</xdr:row>
      <xdr:rowOff>310540</xdr:rowOff>
    </xdr:to>
    <xdr:pic>
      <xdr:nvPicPr>
        <xdr:cNvPr id="1108" name="Picture 84">
          <a:extLst>
            <a:ext uri="{FF2B5EF4-FFF2-40B4-BE49-F238E27FC236}">
              <a16:creationId xmlns:a16="http://schemas.microsoft.com/office/drawing/2014/main" id="{00000000-0008-0000-0000-000054040000}"/>
            </a:ext>
          </a:extLst>
        </xdr:cNvPr>
        <xdr:cNvPicPr>
          <a:picLocks noChangeAspect="1" noChangeArrowheads="1"/>
        </xdr:cNvPicPr>
      </xdr:nvPicPr>
      <xdr:blipFill>
        <a:blip xmlns:r="http://schemas.openxmlformats.org/officeDocument/2006/relationships" r:embed="rId84" cstate="print"/>
        <a:srcRect/>
        <a:stretch>
          <a:fillRect/>
        </a:stretch>
      </xdr:blipFill>
      <xdr:spPr bwMode="auto">
        <a:xfrm>
          <a:off x="0" y="0"/>
          <a:ext cx="1167600" cy="272440"/>
        </a:xfrm>
        <a:prstGeom prst="rect">
          <a:avLst/>
        </a:prstGeom>
        <a:noFill/>
      </xdr:spPr>
    </xdr:pic>
    <xdr:clientData/>
  </xdr:twoCellAnchor>
  <xdr:twoCellAnchor editAs="oneCell">
    <xdr:from>
      <xdr:col>2</xdr:col>
      <xdr:colOff>38100</xdr:colOff>
      <xdr:row>155</xdr:row>
      <xdr:rowOff>38100</xdr:rowOff>
    </xdr:from>
    <xdr:to>
      <xdr:col>2</xdr:col>
      <xdr:colOff>1205700</xdr:colOff>
      <xdr:row>155</xdr:row>
      <xdr:rowOff>320270</xdr:rowOff>
    </xdr:to>
    <xdr:pic>
      <xdr:nvPicPr>
        <xdr:cNvPr id="1109" name="Picture 85">
          <a:extLst>
            <a:ext uri="{FF2B5EF4-FFF2-40B4-BE49-F238E27FC236}">
              <a16:creationId xmlns:a16="http://schemas.microsoft.com/office/drawing/2014/main" id="{00000000-0008-0000-0000-000055040000}"/>
            </a:ext>
          </a:extLst>
        </xdr:cNvPr>
        <xdr:cNvPicPr>
          <a:picLocks noChangeAspect="1" noChangeArrowheads="1"/>
        </xdr:cNvPicPr>
      </xdr:nvPicPr>
      <xdr:blipFill>
        <a:blip xmlns:r="http://schemas.openxmlformats.org/officeDocument/2006/relationships" r:embed="rId85" cstate="print"/>
        <a:srcRect/>
        <a:stretch>
          <a:fillRect/>
        </a:stretch>
      </xdr:blipFill>
      <xdr:spPr bwMode="auto">
        <a:xfrm>
          <a:off x="0" y="0"/>
          <a:ext cx="1167600" cy="282170"/>
        </a:xfrm>
        <a:prstGeom prst="rect">
          <a:avLst/>
        </a:prstGeom>
        <a:noFill/>
      </xdr:spPr>
    </xdr:pic>
    <xdr:clientData/>
  </xdr:twoCellAnchor>
  <xdr:twoCellAnchor editAs="oneCell">
    <xdr:from>
      <xdr:col>2</xdr:col>
      <xdr:colOff>38100</xdr:colOff>
      <xdr:row>158</xdr:row>
      <xdr:rowOff>38100</xdr:rowOff>
    </xdr:from>
    <xdr:to>
      <xdr:col>2</xdr:col>
      <xdr:colOff>1181100</xdr:colOff>
      <xdr:row>158</xdr:row>
      <xdr:rowOff>523875</xdr:rowOff>
    </xdr:to>
    <xdr:pic>
      <xdr:nvPicPr>
        <xdr:cNvPr id="1110" name="Picture 86">
          <a:extLst>
            <a:ext uri="{FF2B5EF4-FFF2-40B4-BE49-F238E27FC236}">
              <a16:creationId xmlns:a16="http://schemas.microsoft.com/office/drawing/2014/main" id="{00000000-0008-0000-0000-000056040000}"/>
            </a:ext>
          </a:extLst>
        </xdr:cNvPr>
        <xdr:cNvPicPr>
          <a:picLocks noChangeAspect="1" noChangeArrowheads="1"/>
        </xdr:cNvPicPr>
      </xdr:nvPicPr>
      <xdr:blipFill>
        <a:blip xmlns:r="http://schemas.openxmlformats.org/officeDocument/2006/relationships" r:embed="rId86" cstate="print"/>
        <a:srcRect/>
        <a:stretch>
          <a:fillRect/>
        </a:stretch>
      </xdr:blipFill>
      <xdr:spPr bwMode="auto">
        <a:xfrm>
          <a:off x="0" y="0"/>
          <a:ext cx="1143000" cy="485775"/>
        </a:xfrm>
        <a:prstGeom prst="rect">
          <a:avLst/>
        </a:prstGeom>
        <a:noFill/>
      </xdr:spPr>
    </xdr:pic>
    <xdr:clientData/>
  </xdr:twoCellAnchor>
  <xdr:twoCellAnchor editAs="oneCell">
    <xdr:from>
      <xdr:col>2</xdr:col>
      <xdr:colOff>38100</xdr:colOff>
      <xdr:row>163</xdr:row>
      <xdr:rowOff>38100</xdr:rowOff>
    </xdr:from>
    <xdr:to>
      <xdr:col>2</xdr:col>
      <xdr:colOff>1181100</xdr:colOff>
      <xdr:row>163</xdr:row>
      <xdr:rowOff>466725</xdr:rowOff>
    </xdr:to>
    <xdr:pic>
      <xdr:nvPicPr>
        <xdr:cNvPr id="1111" name="Picture 87">
          <a:extLst>
            <a:ext uri="{FF2B5EF4-FFF2-40B4-BE49-F238E27FC236}">
              <a16:creationId xmlns:a16="http://schemas.microsoft.com/office/drawing/2014/main" id="{00000000-0008-0000-0000-000057040000}"/>
            </a:ext>
          </a:extLst>
        </xdr:cNvPr>
        <xdr:cNvPicPr>
          <a:picLocks noChangeAspect="1" noChangeArrowheads="1"/>
        </xdr:cNvPicPr>
      </xdr:nvPicPr>
      <xdr:blipFill>
        <a:blip xmlns:r="http://schemas.openxmlformats.org/officeDocument/2006/relationships" r:embed="rId87" cstate="print"/>
        <a:srcRect/>
        <a:stretch>
          <a:fillRect/>
        </a:stretch>
      </xdr:blipFill>
      <xdr:spPr bwMode="auto">
        <a:xfrm>
          <a:off x="0" y="0"/>
          <a:ext cx="1143000" cy="428625"/>
        </a:xfrm>
        <a:prstGeom prst="rect">
          <a:avLst/>
        </a:prstGeom>
        <a:noFill/>
      </xdr:spPr>
    </xdr:pic>
    <xdr:clientData/>
  </xdr:twoCellAnchor>
  <xdr:twoCellAnchor editAs="oneCell">
    <xdr:from>
      <xdr:col>2</xdr:col>
      <xdr:colOff>38100</xdr:colOff>
      <xdr:row>164</xdr:row>
      <xdr:rowOff>38100</xdr:rowOff>
    </xdr:from>
    <xdr:to>
      <xdr:col>2</xdr:col>
      <xdr:colOff>952500</xdr:colOff>
      <xdr:row>164</xdr:row>
      <xdr:rowOff>952500</xdr:rowOff>
    </xdr:to>
    <xdr:pic>
      <xdr:nvPicPr>
        <xdr:cNvPr id="1112" name="Picture 88">
          <a:extLst>
            <a:ext uri="{FF2B5EF4-FFF2-40B4-BE49-F238E27FC236}">
              <a16:creationId xmlns:a16="http://schemas.microsoft.com/office/drawing/2014/main" id="{00000000-0008-0000-0000-000058040000}"/>
            </a:ext>
          </a:extLst>
        </xdr:cNvPr>
        <xdr:cNvPicPr>
          <a:picLocks noChangeAspect="1" noChangeArrowheads="1"/>
        </xdr:cNvPicPr>
      </xdr:nvPicPr>
      <xdr:blipFill>
        <a:blip xmlns:r="http://schemas.openxmlformats.org/officeDocument/2006/relationships" r:embed="rId88" cstate="print"/>
        <a:srcRect/>
        <a:stretch>
          <a:fillRect/>
        </a:stretch>
      </xdr:blipFill>
      <xdr:spPr bwMode="auto">
        <a:xfrm>
          <a:off x="0" y="0"/>
          <a:ext cx="914400" cy="914400"/>
        </a:xfrm>
        <a:prstGeom prst="rect">
          <a:avLst/>
        </a:prstGeom>
        <a:noFill/>
      </xdr:spPr>
    </xdr:pic>
    <xdr:clientData/>
  </xdr:twoCellAnchor>
  <xdr:twoCellAnchor editAs="oneCell">
    <xdr:from>
      <xdr:col>2</xdr:col>
      <xdr:colOff>38100</xdr:colOff>
      <xdr:row>165</xdr:row>
      <xdr:rowOff>38100</xdr:rowOff>
    </xdr:from>
    <xdr:to>
      <xdr:col>2</xdr:col>
      <xdr:colOff>109766100</xdr:colOff>
      <xdr:row>165</xdr:row>
      <xdr:rowOff>47586900</xdr:rowOff>
    </xdr:to>
    <xdr:pic>
      <xdr:nvPicPr>
        <xdr:cNvPr id="1113" name="Picture 89">
          <a:extLst>
            <a:ext uri="{FF2B5EF4-FFF2-40B4-BE49-F238E27FC236}">
              <a16:creationId xmlns:a16="http://schemas.microsoft.com/office/drawing/2014/main" id="{00000000-0008-0000-0000-000059040000}"/>
            </a:ext>
          </a:extLst>
        </xdr:cNvPr>
        <xdr:cNvPicPr>
          <a:picLocks noChangeAspect="1" noChangeArrowheads="1"/>
        </xdr:cNvPicPr>
      </xdr:nvPicPr>
      <xdr:blipFill>
        <a:blip xmlns:r="http://schemas.openxmlformats.org/officeDocument/2006/relationships" r:embed="rId89" cstate="print"/>
        <a:srcRect/>
        <a:stretch>
          <a:fillRect/>
        </a:stretch>
      </xdr:blipFill>
      <xdr:spPr bwMode="auto">
        <a:xfrm>
          <a:off x="0" y="0"/>
          <a:ext cx="109728000" cy="47548800"/>
        </a:xfrm>
        <a:prstGeom prst="rect">
          <a:avLst/>
        </a:prstGeom>
        <a:noFill/>
      </xdr:spPr>
    </xdr:pic>
    <xdr:clientData/>
  </xdr:twoCellAnchor>
  <xdr:twoCellAnchor editAs="oneCell">
    <xdr:from>
      <xdr:col>2</xdr:col>
      <xdr:colOff>38100</xdr:colOff>
      <xdr:row>166</xdr:row>
      <xdr:rowOff>38100</xdr:rowOff>
    </xdr:from>
    <xdr:to>
      <xdr:col>2</xdr:col>
      <xdr:colOff>1181100</xdr:colOff>
      <xdr:row>166</xdr:row>
      <xdr:rowOff>1181100</xdr:rowOff>
    </xdr:to>
    <xdr:pic>
      <xdr:nvPicPr>
        <xdr:cNvPr id="1114" name="Picture 90">
          <a:extLst>
            <a:ext uri="{FF2B5EF4-FFF2-40B4-BE49-F238E27FC236}">
              <a16:creationId xmlns:a16="http://schemas.microsoft.com/office/drawing/2014/main" id="{00000000-0008-0000-0000-00005A040000}"/>
            </a:ext>
          </a:extLst>
        </xdr:cNvPr>
        <xdr:cNvPicPr>
          <a:picLocks noChangeAspect="1" noChangeArrowheads="1"/>
        </xdr:cNvPicPr>
      </xdr:nvPicPr>
      <xdr:blipFill>
        <a:blip xmlns:r="http://schemas.openxmlformats.org/officeDocument/2006/relationships" r:embed="rId9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167</xdr:row>
      <xdr:rowOff>38100</xdr:rowOff>
    </xdr:from>
    <xdr:to>
      <xdr:col>2</xdr:col>
      <xdr:colOff>1181100</xdr:colOff>
      <xdr:row>167</xdr:row>
      <xdr:rowOff>1181100</xdr:rowOff>
    </xdr:to>
    <xdr:pic>
      <xdr:nvPicPr>
        <xdr:cNvPr id="1115" name="Picture 91">
          <a:extLst>
            <a:ext uri="{FF2B5EF4-FFF2-40B4-BE49-F238E27FC236}">
              <a16:creationId xmlns:a16="http://schemas.microsoft.com/office/drawing/2014/main" id="{00000000-0008-0000-0000-00005B040000}"/>
            </a:ext>
          </a:extLst>
        </xdr:cNvPr>
        <xdr:cNvPicPr>
          <a:picLocks noChangeAspect="1" noChangeArrowheads="1"/>
        </xdr:cNvPicPr>
      </xdr:nvPicPr>
      <xdr:blipFill>
        <a:blip xmlns:r="http://schemas.openxmlformats.org/officeDocument/2006/relationships" r:embed="rId9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168</xdr:row>
      <xdr:rowOff>38100</xdr:rowOff>
    </xdr:from>
    <xdr:to>
      <xdr:col>2</xdr:col>
      <xdr:colOff>1181100</xdr:colOff>
      <xdr:row>168</xdr:row>
      <xdr:rowOff>314325</xdr:rowOff>
    </xdr:to>
    <xdr:pic>
      <xdr:nvPicPr>
        <xdr:cNvPr id="1116" name="Picture 92">
          <a:extLst>
            <a:ext uri="{FF2B5EF4-FFF2-40B4-BE49-F238E27FC236}">
              <a16:creationId xmlns:a16="http://schemas.microsoft.com/office/drawing/2014/main" id="{00000000-0008-0000-0000-00005C040000}"/>
            </a:ext>
          </a:extLst>
        </xdr:cNvPr>
        <xdr:cNvPicPr>
          <a:picLocks noChangeAspect="1" noChangeArrowheads="1"/>
        </xdr:cNvPicPr>
      </xdr:nvPicPr>
      <xdr:blipFill>
        <a:blip xmlns:r="http://schemas.openxmlformats.org/officeDocument/2006/relationships" r:embed="rId92" cstate="print"/>
        <a:srcRect/>
        <a:stretch>
          <a:fillRect/>
        </a:stretch>
      </xdr:blipFill>
      <xdr:spPr bwMode="auto">
        <a:xfrm>
          <a:off x="0" y="0"/>
          <a:ext cx="1143000" cy="276225"/>
        </a:xfrm>
        <a:prstGeom prst="rect">
          <a:avLst/>
        </a:prstGeom>
        <a:noFill/>
      </xdr:spPr>
    </xdr:pic>
    <xdr:clientData/>
  </xdr:twoCellAnchor>
  <xdr:twoCellAnchor editAs="oneCell">
    <xdr:from>
      <xdr:col>2</xdr:col>
      <xdr:colOff>38100</xdr:colOff>
      <xdr:row>169</xdr:row>
      <xdr:rowOff>38100</xdr:rowOff>
    </xdr:from>
    <xdr:to>
      <xdr:col>2</xdr:col>
      <xdr:colOff>1181100</xdr:colOff>
      <xdr:row>169</xdr:row>
      <xdr:rowOff>495300</xdr:rowOff>
    </xdr:to>
    <xdr:pic>
      <xdr:nvPicPr>
        <xdr:cNvPr id="1117" name="Picture 93">
          <a:extLst>
            <a:ext uri="{FF2B5EF4-FFF2-40B4-BE49-F238E27FC236}">
              <a16:creationId xmlns:a16="http://schemas.microsoft.com/office/drawing/2014/main" id="{00000000-0008-0000-0000-00005D040000}"/>
            </a:ext>
          </a:extLst>
        </xdr:cNvPr>
        <xdr:cNvPicPr>
          <a:picLocks noChangeAspect="1" noChangeArrowheads="1"/>
        </xdr:cNvPicPr>
      </xdr:nvPicPr>
      <xdr:blipFill>
        <a:blip xmlns:r="http://schemas.openxmlformats.org/officeDocument/2006/relationships" r:embed="rId93" cstate="print"/>
        <a:srcRect/>
        <a:stretch>
          <a:fillRect/>
        </a:stretch>
      </xdr:blipFill>
      <xdr:spPr bwMode="auto">
        <a:xfrm>
          <a:off x="0" y="0"/>
          <a:ext cx="1143000" cy="457200"/>
        </a:xfrm>
        <a:prstGeom prst="rect">
          <a:avLst/>
        </a:prstGeom>
        <a:noFill/>
      </xdr:spPr>
    </xdr:pic>
    <xdr:clientData/>
  </xdr:twoCellAnchor>
  <xdr:twoCellAnchor editAs="oneCell">
    <xdr:from>
      <xdr:col>2</xdr:col>
      <xdr:colOff>38100</xdr:colOff>
      <xdr:row>170</xdr:row>
      <xdr:rowOff>38100</xdr:rowOff>
    </xdr:from>
    <xdr:to>
      <xdr:col>2</xdr:col>
      <xdr:colOff>800100</xdr:colOff>
      <xdr:row>170</xdr:row>
      <xdr:rowOff>698500</xdr:rowOff>
    </xdr:to>
    <xdr:pic>
      <xdr:nvPicPr>
        <xdr:cNvPr id="1118" name="Picture 94">
          <a:extLst>
            <a:ext uri="{FF2B5EF4-FFF2-40B4-BE49-F238E27FC236}">
              <a16:creationId xmlns:a16="http://schemas.microsoft.com/office/drawing/2014/main" id="{00000000-0008-0000-0000-00005E040000}"/>
            </a:ext>
          </a:extLst>
        </xdr:cNvPr>
        <xdr:cNvPicPr>
          <a:picLocks noChangeAspect="1" noChangeArrowheads="1"/>
        </xdr:cNvPicPr>
      </xdr:nvPicPr>
      <xdr:blipFill>
        <a:blip xmlns:r="http://schemas.openxmlformats.org/officeDocument/2006/relationships" r:embed="rId94" cstate="print"/>
        <a:srcRect/>
        <a:stretch>
          <a:fillRect/>
        </a:stretch>
      </xdr:blipFill>
      <xdr:spPr bwMode="auto">
        <a:xfrm>
          <a:off x="0" y="0"/>
          <a:ext cx="762000" cy="660400"/>
        </a:xfrm>
        <a:prstGeom prst="rect">
          <a:avLst/>
        </a:prstGeom>
        <a:noFill/>
      </xdr:spPr>
    </xdr:pic>
    <xdr:clientData/>
  </xdr:twoCellAnchor>
  <xdr:twoCellAnchor editAs="oneCell">
    <xdr:from>
      <xdr:col>2</xdr:col>
      <xdr:colOff>38100</xdr:colOff>
      <xdr:row>180</xdr:row>
      <xdr:rowOff>38100</xdr:rowOff>
    </xdr:from>
    <xdr:to>
      <xdr:col>2</xdr:col>
      <xdr:colOff>800100</xdr:colOff>
      <xdr:row>180</xdr:row>
      <xdr:rowOff>596900</xdr:rowOff>
    </xdr:to>
    <xdr:pic>
      <xdr:nvPicPr>
        <xdr:cNvPr id="1119" name="Picture 95">
          <a:extLst>
            <a:ext uri="{FF2B5EF4-FFF2-40B4-BE49-F238E27FC236}">
              <a16:creationId xmlns:a16="http://schemas.microsoft.com/office/drawing/2014/main" id="{00000000-0008-0000-0000-00005F040000}"/>
            </a:ext>
          </a:extLst>
        </xdr:cNvPr>
        <xdr:cNvPicPr>
          <a:picLocks noChangeAspect="1" noChangeArrowheads="1"/>
        </xdr:cNvPicPr>
      </xdr:nvPicPr>
      <xdr:blipFill>
        <a:blip xmlns:r="http://schemas.openxmlformats.org/officeDocument/2006/relationships" r:embed="rId95" cstate="print"/>
        <a:srcRect/>
        <a:stretch>
          <a:fillRect/>
        </a:stretch>
      </xdr:blipFill>
      <xdr:spPr bwMode="auto">
        <a:xfrm>
          <a:off x="0" y="0"/>
          <a:ext cx="762000" cy="558800"/>
        </a:xfrm>
        <a:prstGeom prst="rect">
          <a:avLst/>
        </a:prstGeom>
        <a:noFill/>
      </xdr:spPr>
    </xdr:pic>
    <xdr:clientData/>
  </xdr:twoCellAnchor>
  <xdr:twoCellAnchor editAs="oneCell">
    <xdr:from>
      <xdr:col>2</xdr:col>
      <xdr:colOff>38100</xdr:colOff>
      <xdr:row>181</xdr:row>
      <xdr:rowOff>38100</xdr:rowOff>
    </xdr:from>
    <xdr:to>
      <xdr:col>2</xdr:col>
      <xdr:colOff>1181100</xdr:colOff>
      <xdr:row>181</xdr:row>
      <xdr:rowOff>885825</xdr:rowOff>
    </xdr:to>
    <xdr:pic>
      <xdr:nvPicPr>
        <xdr:cNvPr id="1120" name="Picture 96">
          <a:extLst>
            <a:ext uri="{FF2B5EF4-FFF2-40B4-BE49-F238E27FC236}">
              <a16:creationId xmlns:a16="http://schemas.microsoft.com/office/drawing/2014/main" id="{00000000-0008-0000-0000-000060040000}"/>
            </a:ext>
          </a:extLst>
        </xdr:cNvPr>
        <xdr:cNvPicPr>
          <a:picLocks noChangeAspect="1" noChangeArrowheads="1"/>
        </xdr:cNvPicPr>
      </xdr:nvPicPr>
      <xdr:blipFill>
        <a:blip xmlns:r="http://schemas.openxmlformats.org/officeDocument/2006/relationships" r:embed="rId96" cstate="print"/>
        <a:srcRect/>
        <a:stretch>
          <a:fillRect/>
        </a:stretch>
      </xdr:blipFill>
      <xdr:spPr bwMode="auto">
        <a:xfrm>
          <a:off x="0" y="0"/>
          <a:ext cx="1143000" cy="847725"/>
        </a:xfrm>
        <a:prstGeom prst="rect">
          <a:avLst/>
        </a:prstGeom>
        <a:noFill/>
      </xdr:spPr>
    </xdr:pic>
    <xdr:clientData/>
  </xdr:twoCellAnchor>
  <xdr:twoCellAnchor editAs="oneCell">
    <xdr:from>
      <xdr:col>2</xdr:col>
      <xdr:colOff>38100</xdr:colOff>
      <xdr:row>182</xdr:row>
      <xdr:rowOff>38100</xdr:rowOff>
    </xdr:from>
    <xdr:to>
      <xdr:col>2</xdr:col>
      <xdr:colOff>403860</xdr:colOff>
      <xdr:row>182</xdr:row>
      <xdr:rowOff>403860</xdr:rowOff>
    </xdr:to>
    <xdr:pic>
      <xdr:nvPicPr>
        <xdr:cNvPr id="1121" name="Picture 97">
          <a:extLst>
            <a:ext uri="{FF2B5EF4-FFF2-40B4-BE49-F238E27FC236}">
              <a16:creationId xmlns:a16="http://schemas.microsoft.com/office/drawing/2014/main" id="{00000000-0008-0000-0000-000061040000}"/>
            </a:ext>
          </a:extLst>
        </xdr:cNvPr>
        <xdr:cNvPicPr>
          <a:picLocks noChangeAspect="1" noChangeArrowheads="1"/>
        </xdr:cNvPicPr>
      </xdr:nvPicPr>
      <xdr:blipFill>
        <a:blip xmlns:r="http://schemas.openxmlformats.org/officeDocument/2006/relationships" r:embed="rId97"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183</xdr:row>
      <xdr:rowOff>38100</xdr:rowOff>
    </xdr:from>
    <xdr:to>
      <xdr:col>2</xdr:col>
      <xdr:colOff>1562100</xdr:colOff>
      <xdr:row>183</xdr:row>
      <xdr:rowOff>1562100</xdr:rowOff>
    </xdr:to>
    <xdr:pic>
      <xdr:nvPicPr>
        <xdr:cNvPr id="1122" name="Picture 98">
          <a:extLst>
            <a:ext uri="{FF2B5EF4-FFF2-40B4-BE49-F238E27FC236}">
              <a16:creationId xmlns:a16="http://schemas.microsoft.com/office/drawing/2014/main" id="{00000000-0008-0000-0000-000062040000}"/>
            </a:ext>
          </a:extLst>
        </xdr:cNvPr>
        <xdr:cNvPicPr>
          <a:picLocks noChangeAspect="1" noChangeArrowheads="1"/>
        </xdr:cNvPicPr>
      </xdr:nvPicPr>
      <xdr:blipFill>
        <a:blip xmlns:r="http://schemas.openxmlformats.org/officeDocument/2006/relationships" r:embed="rId98"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188</xdr:row>
      <xdr:rowOff>38100</xdr:rowOff>
    </xdr:from>
    <xdr:to>
      <xdr:col>2</xdr:col>
      <xdr:colOff>403860</xdr:colOff>
      <xdr:row>188</xdr:row>
      <xdr:rowOff>89916</xdr:rowOff>
    </xdr:to>
    <xdr:pic>
      <xdr:nvPicPr>
        <xdr:cNvPr id="1123" name="Picture 99">
          <a:extLst>
            <a:ext uri="{FF2B5EF4-FFF2-40B4-BE49-F238E27FC236}">
              <a16:creationId xmlns:a16="http://schemas.microsoft.com/office/drawing/2014/main" id="{00000000-0008-0000-0000-000063040000}"/>
            </a:ext>
          </a:extLst>
        </xdr:cNvPr>
        <xdr:cNvPicPr>
          <a:picLocks noChangeAspect="1" noChangeArrowheads="1"/>
        </xdr:cNvPicPr>
      </xdr:nvPicPr>
      <xdr:blipFill>
        <a:blip xmlns:r="http://schemas.openxmlformats.org/officeDocument/2006/relationships" r:embed="rId99" cstate="print"/>
        <a:srcRect/>
        <a:stretch>
          <a:fillRect/>
        </a:stretch>
      </xdr:blipFill>
      <xdr:spPr bwMode="auto">
        <a:xfrm>
          <a:off x="0" y="0"/>
          <a:ext cx="365760" cy="51816"/>
        </a:xfrm>
        <a:prstGeom prst="rect">
          <a:avLst/>
        </a:prstGeom>
        <a:noFill/>
      </xdr:spPr>
    </xdr:pic>
    <xdr:clientData/>
  </xdr:twoCellAnchor>
  <xdr:twoCellAnchor editAs="oneCell">
    <xdr:from>
      <xdr:col>2</xdr:col>
      <xdr:colOff>38100</xdr:colOff>
      <xdr:row>189</xdr:row>
      <xdr:rowOff>38100</xdr:rowOff>
    </xdr:from>
    <xdr:to>
      <xdr:col>2</xdr:col>
      <xdr:colOff>1181100</xdr:colOff>
      <xdr:row>189</xdr:row>
      <xdr:rowOff>923925</xdr:rowOff>
    </xdr:to>
    <xdr:pic>
      <xdr:nvPicPr>
        <xdr:cNvPr id="1124" name="Picture 100">
          <a:extLst>
            <a:ext uri="{FF2B5EF4-FFF2-40B4-BE49-F238E27FC236}">
              <a16:creationId xmlns:a16="http://schemas.microsoft.com/office/drawing/2014/main" id="{00000000-0008-0000-0000-000064040000}"/>
            </a:ext>
          </a:extLst>
        </xdr:cNvPr>
        <xdr:cNvPicPr>
          <a:picLocks noChangeAspect="1" noChangeArrowheads="1"/>
        </xdr:cNvPicPr>
      </xdr:nvPicPr>
      <xdr:blipFill>
        <a:blip xmlns:r="http://schemas.openxmlformats.org/officeDocument/2006/relationships" r:embed="rId100" cstate="print"/>
        <a:srcRect/>
        <a:stretch>
          <a:fillRect/>
        </a:stretch>
      </xdr:blipFill>
      <xdr:spPr bwMode="auto">
        <a:xfrm>
          <a:off x="0" y="0"/>
          <a:ext cx="1143000" cy="885825"/>
        </a:xfrm>
        <a:prstGeom prst="rect">
          <a:avLst/>
        </a:prstGeom>
        <a:noFill/>
      </xdr:spPr>
    </xdr:pic>
    <xdr:clientData/>
  </xdr:twoCellAnchor>
  <xdr:twoCellAnchor editAs="oneCell">
    <xdr:from>
      <xdr:col>2</xdr:col>
      <xdr:colOff>38100</xdr:colOff>
      <xdr:row>192</xdr:row>
      <xdr:rowOff>38100</xdr:rowOff>
    </xdr:from>
    <xdr:to>
      <xdr:col>2</xdr:col>
      <xdr:colOff>1181100</xdr:colOff>
      <xdr:row>192</xdr:row>
      <xdr:rowOff>523875</xdr:rowOff>
    </xdr:to>
    <xdr:pic>
      <xdr:nvPicPr>
        <xdr:cNvPr id="1125" name="Picture 101">
          <a:extLst>
            <a:ext uri="{FF2B5EF4-FFF2-40B4-BE49-F238E27FC236}">
              <a16:creationId xmlns:a16="http://schemas.microsoft.com/office/drawing/2014/main" id="{00000000-0008-0000-0000-000065040000}"/>
            </a:ext>
          </a:extLst>
        </xdr:cNvPr>
        <xdr:cNvPicPr>
          <a:picLocks noChangeAspect="1" noChangeArrowheads="1"/>
        </xdr:cNvPicPr>
      </xdr:nvPicPr>
      <xdr:blipFill>
        <a:blip xmlns:r="http://schemas.openxmlformats.org/officeDocument/2006/relationships" r:embed="rId101" cstate="print"/>
        <a:srcRect/>
        <a:stretch>
          <a:fillRect/>
        </a:stretch>
      </xdr:blipFill>
      <xdr:spPr bwMode="auto">
        <a:xfrm>
          <a:off x="0" y="0"/>
          <a:ext cx="1143000" cy="485775"/>
        </a:xfrm>
        <a:prstGeom prst="rect">
          <a:avLst/>
        </a:prstGeom>
        <a:noFill/>
      </xdr:spPr>
    </xdr:pic>
    <xdr:clientData/>
  </xdr:twoCellAnchor>
  <xdr:twoCellAnchor editAs="oneCell">
    <xdr:from>
      <xdr:col>2</xdr:col>
      <xdr:colOff>38100</xdr:colOff>
      <xdr:row>193</xdr:row>
      <xdr:rowOff>38100</xdr:rowOff>
    </xdr:from>
    <xdr:to>
      <xdr:col>2</xdr:col>
      <xdr:colOff>1181100</xdr:colOff>
      <xdr:row>193</xdr:row>
      <xdr:rowOff>476250</xdr:rowOff>
    </xdr:to>
    <xdr:pic>
      <xdr:nvPicPr>
        <xdr:cNvPr id="1126" name="Picture 102">
          <a:extLst>
            <a:ext uri="{FF2B5EF4-FFF2-40B4-BE49-F238E27FC236}">
              <a16:creationId xmlns:a16="http://schemas.microsoft.com/office/drawing/2014/main" id="{00000000-0008-0000-0000-000066040000}"/>
            </a:ext>
          </a:extLst>
        </xdr:cNvPr>
        <xdr:cNvPicPr>
          <a:picLocks noChangeAspect="1" noChangeArrowheads="1"/>
        </xdr:cNvPicPr>
      </xdr:nvPicPr>
      <xdr:blipFill>
        <a:blip xmlns:r="http://schemas.openxmlformats.org/officeDocument/2006/relationships" r:embed="rId102" cstate="print"/>
        <a:srcRect/>
        <a:stretch>
          <a:fillRect/>
        </a:stretch>
      </xdr:blipFill>
      <xdr:spPr bwMode="auto">
        <a:xfrm>
          <a:off x="0" y="0"/>
          <a:ext cx="1143000" cy="438150"/>
        </a:xfrm>
        <a:prstGeom prst="rect">
          <a:avLst/>
        </a:prstGeom>
        <a:noFill/>
      </xdr:spPr>
    </xdr:pic>
    <xdr:clientData/>
  </xdr:twoCellAnchor>
  <xdr:twoCellAnchor editAs="oneCell">
    <xdr:from>
      <xdr:col>2</xdr:col>
      <xdr:colOff>38100</xdr:colOff>
      <xdr:row>195</xdr:row>
      <xdr:rowOff>38100</xdr:rowOff>
    </xdr:from>
    <xdr:to>
      <xdr:col>2</xdr:col>
      <xdr:colOff>1181100</xdr:colOff>
      <xdr:row>195</xdr:row>
      <xdr:rowOff>1181100</xdr:rowOff>
    </xdr:to>
    <xdr:pic>
      <xdr:nvPicPr>
        <xdr:cNvPr id="1127" name="Picture 103">
          <a:extLst>
            <a:ext uri="{FF2B5EF4-FFF2-40B4-BE49-F238E27FC236}">
              <a16:creationId xmlns:a16="http://schemas.microsoft.com/office/drawing/2014/main" id="{00000000-0008-0000-0000-000067040000}"/>
            </a:ext>
          </a:extLst>
        </xdr:cNvPr>
        <xdr:cNvPicPr>
          <a:picLocks noChangeAspect="1" noChangeArrowheads="1"/>
        </xdr:cNvPicPr>
      </xdr:nvPicPr>
      <xdr:blipFill>
        <a:blip xmlns:r="http://schemas.openxmlformats.org/officeDocument/2006/relationships" r:embed="rId10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201</xdr:row>
      <xdr:rowOff>38100</xdr:rowOff>
    </xdr:from>
    <xdr:to>
      <xdr:col>2</xdr:col>
      <xdr:colOff>990600</xdr:colOff>
      <xdr:row>201</xdr:row>
      <xdr:rowOff>476250</xdr:rowOff>
    </xdr:to>
    <xdr:pic>
      <xdr:nvPicPr>
        <xdr:cNvPr id="1128" name="Picture 104">
          <a:extLst>
            <a:ext uri="{FF2B5EF4-FFF2-40B4-BE49-F238E27FC236}">
              <a16:creationId xmlns:a16="http://schemas.microsoft.com/office/drawing/2014/main" id="{00000000-0008-0000-0000-000068040000}"/>
            </a:ext>
          </a:extLst>
        </xdr:cNvPr>
        <xdr:cNvPicPr>
          <a:picLocks noChangeAspect="1" noChangeArrowheads="1"/>
        </xdr:cNvPicPr>
      </xdr:nvPicPr>
      <xdr:blipFill>
        <a:blip xmlns:r="http://schemas.openxmlformats.org/officeDocument/2006/relationships" r:embed="rId104" cstate="print"/>
        <a:srcRect/>
        <a:stretch>
          <a:fillRect/>
        </a:stretch>
      </xdr:blipFill>
      <xdr:spPr bwMode="auto">
        <a:xfrm>
          <a:off x="0" y="0"/>
          <a:ext cx="952500" cy="438150"/>
        </a:xfrm>
        <a:prstGeom prst="rect">
          <a:avLst/>
        </a:prstGeom>
        <a:noFill/>
      </xdr:spPr>
    </xdr:pic>
    <xdr:clientData/>
  </xdr:twoCellAnchor>
  <xdr:twoCellAnchor editAs="oneCell">
    <xdr:from>
      <xdr:col>2</xdr:col>
      <xdr:colOff>38100</xdr:colOff>
      <xdr:row>202</xdr:row>
      <xdr:rowOff>38100</xdr:rowOff>
    </xdr:from>
    <xdr:to>
      <xdr:col>2</xdr:col>
      <xdr:colOff>1181100</xdr:colOff>
      <xdr:row>202</xdr:row>
      <xdr:rowOff>733425</xdr:rowOff>
    </xdr:to>
    <xdr:pic>
      <xdr:nvPicPr>
        <xdr:cNvPr id="1129" name="Picture 105">
          <a:extLst>
            <a:ext uri="{FF2B5EF4-FFF2-40B4-BE49-F238E27FC236}">
              <a16:creationId xmlns:a16="http://schemas.microsoft.com/office/drawing/2014/main" id="{00000000-0008-0000-0000-000069040000}"/>
            </a:ext>
          </a:extLst>
        </xdr:cNvPr>
        <xdr:cNvPicPr>
          <a:picLocks noChangeAspect="1" noChangeArrowheads="1"/>
        </xdr:cNvPicPr>
      </xdr:nvPicPr>
      <xdr:blipFill>
        <a:blip xmlns:r="http://schemas.openxmlformats.org/officeDocument/2006/relationships" r:embed="rId105" cstate="print"/>
        <a:srcRect/>
        <a:stretch>
          <a:fillRect/>
        </a:stretch>
      </xdr:blipFill>
      <xdr:spPr bwMode="auto">
        <a:xfrm>
          <a:off x="0" y="0"/>
          <a:ext cx="1143000" cy="695325"/>
        </a:xfrm>
        <a:prstGeom prst="rect">
          <a:avLst/>
        </a:prstGeom>
        <a:noFill/>
      </xdr:spPr>
    </xdr:pic>
    <xdr:clientData/>
  </xdr:twoCellAnchor>
  <xdr:twoCellAnchor editAs="oneCell">
    <xdr:from>
      <xdr:col>2</xdr:col>
      <xdr:colOff>38100</xdr:colOff>
      <xdr:row>203</xdr:row>
      <xdr:rowOff>38100</xdr:rowOff>
    </xdr:from>
    <xdr:to>
      <xdr:col>2</xdr:col>
      <xdr:colOff>1181100</xdr:colOff>
      <xdr:row>203</xdr:row>
      <xdr:rowOff>714375</xdr:rowOff>
    </xdr:to>
    <xdr:pic>
      <xdr:nvPicPr>
        <xdr:cNvPr id="1130" name="Picture 106">
          <a:extLst>
            <a:ext uri="{FF2B5EF4-FFF2-40B4-BE49-F238E27FC236}">
              <a16:creationId xmlns:a16="http://schemas.microsoft.com/office/drawing/2014/main" id="{00000000-0008-0000-0000-00006A040000}"/>
            </a:ext>
          </a:extLst>
        </xdr:cNvPr>
        <xdr:cNvPicPr>
          <a:picLocks noChangeAspect="1" noChangeArrowheads="1"/>
        </xdr:cNvPicPr>
      </xdr:nvPicPr>
      <xdr:blipFill>
        <a:blip xmlns:r="http://schemas.openxmlformats.org/officeDocument/2006/relationships" r:embed="rId106" cstate="print"/>
        <a:srcRect/>
        <a:stretch>
          <a:fillRect/>
        </a:stretch>
      </xdr:blipFill>
      <xdr:spPr bwMode="auto">
        <a:xfrm>
          <a:off x="0" y="0"/>
          <a:ext cx="1143000" cy="676275"/>
        </a:xfrm>
        <a:prstGeom prst="rect">
          <a:avLst/>
        </a:prstGeom>
        <a:noFill/>
      </xdr:spPr>
    </xdr:pic>
    <xdr:clientData/>
  </xdr:twoCellAnchor>
  <xdr:twoCellAnchor editAs="oneCell">
    <xdr:from>
      <xdr:col>2</xdr:col>
      <xdr:colOff>38100</xdr:colOff>
      <xdr:row>204</xdr:row>
      <xdr:rowOff>38100</xdr:rowOff>
    </xdr:from>
    <xdr:to>
      <xdr:col>2</xdr:col>
      <xdr:colOff>1181100</xdr:colOff>
      <xdr:row>204</xdr:row>
      <xdr:rowOff>876300</xdr:rowOff>
    </xdr:to>
    <xdr:pic>
      <xdr:nvPicPr>
        <xdr:cNvPr id="1131" name="Picture 107">
          <a:extLst>
            <a:ext uri="{FF2B5EF4-FFF2-40B4-BE49-F238E27FC236}">
              <a16:creationId xmlns:a16="http://schemas.microsoft.com/office/drawing/2014/main" id="{00000000-0008-0000-0000-00006B040000}"/>
            </a:ext>
          </a:extLst>
        </xdr:cNvPr>
        <xdr:cNvPicPr>
          <a:picLocks noChangeAspect="1" noChangeArrowheads="1"/>
        </xdr:cNvPicPr>
      </xdr:nvPicPr>
      <xdr:blipFill>
        <a:blip xmlns:r="http://schemas.openxmlformats.org/officeDocument/2006/relationships" r:embed="rId107" cstate="print"/>
        <a:srcRect/>
        <a:stretch>
          <a:fillRect/>
        </a:stretch>
      </xdr:blipFill>
      <xdr:spPr bwMode="auto">
        <a:xfrm>
          <a:off x="0" y="0"/>
          <a:ext cx="1143000" cy="838200"/>
        </a:xfrm>
        <a:prstGeom prst="rect">
          <a:avLst/>
        </a:prstGeom>
        <a:noFill/>
      </xdr:spPr>
    </xdr:pic>
    <xdr:clientData/>
  </xdr:twoCellAnchor>
  <xdr:twoCellAnchor editAs="oneCell">
    <xdr:from>
      <xdr:col>2</xdr:col>
      <xdr:colOff>38100</xdr:colOff>
      <xdr:row>207</xdr:row>
      <xdr:rowOff>38100</xdr:rowOff>
    </xdr:from>
    <xdr:to>
      <xdr:col>2</xdr:col>
      <xdr:colOff>1562100</xdr:colOff>
      <xdr:row>207</xdr:row>
      <xdr:rowOff>698500</xdr:rowOff>
    </xdr:to>
    <xdr:pic>
      <xdr:nvPicPr>
        <xdr:cNvPr id="1132" name="Picture 108">
          <a:extLst>
            <a:ext uri="{FF2B5EF4-FFF2-40B4-BE49-F238E27FC236}">
              <a16:creationId xmlns:a16="http://schemas.microsoft.com/office/drawing/2014/main" id="{00000000-0008-0000-0000-00006C040000}"/>
            </a:ext>
          </a:extLst>
        </xdr:cNvPr>
        <xdr:cNvPicPr>
          <a:picLocks noChangeAspect="1" noChangeArrowheads="1"/>
        </xdr:cNvPicPr>
      </xdr:nvPicPr>
      <xdr:blipFill>
        <a:blip xmlns:r="http://schemas.openxmlformats.org/officeDocument/2006/relationships" r:embed="rId108" cstate="print"/>
        <a:srcRect/>
        <a:stretch>
          <a:fillRect/>
        </a:stretch>
      </xdr:blipFill>
      <xdr:spPr bwMode="auto">
        <a:xfrm>
          <a:off x="0" y="0"/>
          <a:ext cx="1524000" cy="660400"/>
        </a:xfrm>
        <a:prstGeom prst="rect">
          <a:avLst/>
        </a:prstGeom>
        <a:noFill/>
      </xdr:spPr>
    </xdr:pic>
    <xdr:clientData/>
  </xdr:twoCellAnchor>
  <xdr:twoCellAnchor editAs="oneCell">
    <xdr:from>
      <xdr:col>2</xdr:col>
      <xdr:colOff>38100</xdr:colOff>
      <xdr:row>208</xdr:row>
      <xdr:rowOff>38100</xdr:rowOff>
    </xdr:from>
    <xdr:to>
      <xdr:col>2</xdr:col>
      <xdr:colOff>1181100</xdr:colOff>
      <xdr:row>208</xdr:row>
      <xdr:rowOff>314325</xdr:rowOff>
    </xdr:to>
    <xdr:pic>
      <xdr:nvPicPr>
        <xdr:cNvPr id="1133" name="Picture 109">
          <a:extLst>
            <a:ext uri="{FF2B5EF4-FFF2-40B4-BE49-F238E27FC236}">
              <a16:creationId xmlns:a16="http://schemas.microsoft.com/office/drawing/2014/main" id="{00000000-0008-0000-0000-00006D040000}"/>
            </a:ext>
          </a:extLst>
        </xdr:cNvPr>
        <xdr:cNvPicPr>
          <a:picLocks noChangeAspect="1" noChangeArrowheads="1"/>
        </xdr:cNvPicPr>
      </xdr:nvPicPr>
      <xdr:blipFill>
        <a:blip xmlns:r="http://schemas.openxmlformats.org/officeDocument/2006/relationships" r:embed="rId109" cstate="print"/>
        <a:srcRect/>
        <a:stretch>
          <a:fillRect/>
        </a:stretch>
      </xdr:blipFill>
      <xdr:spPr bwMode="auto">
        <a:xfrm>
          <a:off x="0" y="0"/>
          <a:ext cx="1143000" cy="276225"/>
        </a:xfrm>
        <a:prstGeom prst="rect">
          <a:avLst/>
        </a:prstGeom>
        <a:noFill/>
      </xdr:spPr>
    </xdr:pic>
    <xdr:clientData/>
  </xdr:twoCellAnchor>
  <xdr:twoCellAnchor editAs="oneCell">
    <xdr:from>
      <xdr:col>2</xdr:col>
      <xdr:colOff>38100</xdr:colOff>
      <xdr:row>212</xdr:row>
      <xdr:rowOff>38100</xdr:rowOff>
    </xdr:from>
    <xdr:to>
      <xdr:col>2</xdr:col>
      <xdr:colOff>1181100</xdr:colOff>
      <xdr:row>212</xdr:row>
      <xdr:rowOff>600075</xdr:rowOff>
    </xdr:to>
    <xdr:pic>
      <xdr:nvPicPr>
        <xdr:cNvPr id="1134" name="Picture 110">
          <a:extLst>
            <a:ext uri="{FF2B5EF4-FFF2-40B4-BE49-F238E27FC236}">
              <a16:creationId xmlns:a16="http://schemas.microsoft.com/office/drawing/2014/main" id="{00000000-0008-0000-0000-00006E040000}"/>
            </a:ext>
          </a:extLst>
        </xdr:cNvPr>
        <xdr:cNvPicPr>
          <a:picLocks noChangeAspect="1" noChangeArrowheads="1"/>
        </xdr:cNvPicPr>
      </xdr:nvPicPr>
      <xdr:blipFill>
        <a:blip xmlns:r="http://schemas.openxmlformats.org/officeDocument/2006/relationships" r:embed="rId110" cstate="print"/>
        <a:srcRect/>
        <a:stretch>
          <a:fillRect/>
        </a:stretch>
      </xdr:blipFill>
      <xdr:spPr bwMode="auto">
        <a:xfrm>
          <a:off x="0" y="0"/>
          <a:ext cx="1143000" cy="561975"/>
        </a:xfrm>
        <a:prstGeom prst="rect">
          <a:avLst/>
        </a:prstGeom>
        <a:noFill/>
      </xdr:spPr>
    </xdr:pic>
    <xdr:clientData/>
  </xdr:twoCellAnchor>
  <xdr:twoCellAnchor editAs="oneCell">
    <xdr:from>
      <xdr:col>2</xdr:col>
      <xdr:colOff>38100</xdr:colOff>
      <xdr:row>215</xdr:row>
      <xdr:rowOff>38100</xdr:rowOff>
    </xdr:from>
    <xdr:to>
      <xdr:col>2</xdr:col>
      <xdr:colOff>1181220</xdr:colOff>
      <xdr:row>215</xdr:row>
      <xdr:rowOff>1019278</xdr:rowOff>
    </xdr:to>
    <xdr:pic>
      <xdr:nvPicPr>
        <xdr:cNvPr id="1135" name="Picture 111">
          <a:extLst>
            <a:ext uri="{FF2B5EF4-FFF2-40B4-BE49-F238E27FC236}">
              <a16:creationId xmlns:a16="http://schemas.microsoft.com/office/drawing/2014/main" id="{00000000-0008-0000-0000-00006F040000}"/>
            </a:ext>
          </a:extLst>
        </xdr:cNvPr>
        <xdr:cNvPicPr>
          <a:picLocks noChangeAspect="1" noChangeArrowheads="1"/>
        </xdr:cNvPicPr>
      </xdr:nvPicPr>
      <xdr:blipFill>
        <a:blip xmlns:r="http://schemas.openxmlformats.org/officeDocument/2006/relationships" r:embed="rId111" cstate="print"/>
        <a:srcRect/>
        <a:stretch>
          <a:fillRect/>
        </a:stretch>
      </xdr:blipFill>
      <xdr:spPr bwMode="auto">
        <a:xfrm>
          <a:off x="0" y="0"/>
          <a:ext cx="1143120" cy="981178"/>
        </a:xfrm>
        <a:prstGeom prst="rect">
          <a:avLst/>
        </a:prstGeom>
        <a:noFill/>
      </xdr:spPr>
    </xdr:pic>
    <xdr:clientData/>
  </xdr:twoCellAnchor>
  <xdr:twoCellAnchor editAs="oneCell">
    <xdr:from>
      <xdr:col>2</xdr:col>
      <xdr:colOff>38100</xdr:colOff>
      <xdr:row>216</xdr:row>
      <xdr:rowOff>38100</xdr:rowOff>
    </xdr:from>
    <xdr:to>
      <xdr:col>2</xdr:col>
      <xdr:colOff>1205700</xdr:colOff>
      <xdr:row>216</xdr:row>
      <xdr:rowOff>1205700</xdr:rowOff>
    </xdr:to>
    <xdr:pic>
      <xdr:nvPicPr>
        <xdr:cNvPr id="1136" name="Picture 112">
          <a:extLst>
            <a:ext uri="{FF2B5EF4-FFF2-40B4-BE49-F238E27FC236}">
              <a16:creationId xmlns:a16="http://schemas.microsoft.com/office/drawing/2014/main" id="{00000000-0008-0000-0000-000070040000}"/>
            </a:ext>
          </a:extLst>
        </xdr:cNvPr>
        <xdr:cNvPicPr>
          <a:picLocks noChangeAspect="1" noChangeArrowheads="1"/>
        </xdr:cNvPicPr>
      </xdr:nvPicPr>
      <xdr:blipFill>
        <a:blip xmlns:r="http://schemas.openxmlformats.org/officeDocument/2006/relationships" r:embed="rId112" cstate="print"/>
        <a:srcRect/>
        <a:stretch>
          <a:fillRect/>
        </a:stretch>
      </xdr:blipFill>
      <xdr:spPr bwMode="auto">
        <a:xfrm>
          <a:off x="0" y="0"/>
          <a:ext cx="1167600" cy="1167600"/>
        </a:xfrm>
        <a:prstGeom prst="rect">
          <a:avLst/>
        </a:prstGeom>
        <a:noFill/>
      </xdr:spPr>
    </xdr:pic>
    <xdr:clientData/>
  </xdr:twoCellAnchor>
  <xdr:twoCellAnchor editAs="oneCell">
    <xdr:from>
      <xdr:col>2</xdr:col>
      <xdr:colOff>38100</xdr:colOff>
      <xdr:row>218</xdr:row>
      <xdr:rowOff>38100</xdr:rowOff>
    </xdr:from>
    <xdr:to>
      <xdr:col>2</xdr:col>
      <xdr:colOff>769620</xdr:colOff>
      <xdr:row>218</xdr:row>
      <xdr:rowOff>769620</xdr:rowOff>
    </xdr:to>
    <xdr:pic>
      <xdr:nvPicPr>
        <xdr:cNvPr id="1137" name="Picture 113">
          <a:extLst>
            <a:ext uri="{FF2B5EF4-FFF2-40B4-BE49-F238E27FC236}">
              <a16:creationId xmlns:a16="http://schemas.microsoft.com/office/drawing/2014/main" id="{00000000-0008-0000-0000-000071040000}"/>
            </a:ext>
          </a:extLst>
        </xdr:cNvPr>
        <xdr:cNvPicPr>
          <a:picLocks noChangeAspect="1" noChangeArrowheads="1"/>
        </xdr:cNvPicPr>
      </xdr:nvPicPr>
      <xdr:blipFill>
        <a:blip xmlns:r="http://schemas.openxmlformats.org/officeDocument/2006/relationships" r:embed="rId113"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219</xdr:row>
      <xdr:rowOff>38100</xdr:rowOff>
    </xdr:from>
    <xdr:to>
      <xdr:col>2</xdr:col>
      <xdr:colOff>1181100</xdr:colOff>
      <xdr:row>219</xdr:row>
      <xdr:rowOff>819150</xdr:rowOff>
    </xdr:to>
    <xdr:pic>
      <xdr:nvPicPr>
        <xdr:cNvPr id="1138" name="Picture 114">
          <a:extLst>
            <a:ext uri="{FF2B5EF4-FFF2-40B4-BE49-F238E27FC236}">
              <a16:creationId xmlns:a16="http://schemas.microsoft.com/office/drawing/2014/main" id="{00000000-0008-0000-0000-000072040000}"/>
            </a:ext>
          </a:extLst>
        </xdr:cNvPr>
        <xdr:cNvPicPr>
          <a:picLocks noChangeAspect="1" noChangeArrowheads="1"/>
        </xdr:cNvPicPr>
      </xdr:nvPicPr>
      <xdr:blipFill>
        <a:blip xmlns:r="http://schemas.openxmlformats.org/officeDocument/2006/relationships" r:embed="rId114" cstate="print"/>
        <a:srcRect/>
        <a:stretch>
          <a:fillRect/>
        </a:stretch>
      </xdr:blipFill>
      <xdr:spPr bwMode="auto">
        <a:xfrm>
          <a:off x="0" y="0"/>
          <a:ext cx="1143000" cy="781050"/>
        </a:xfrm>
        <a:prstGeom prst="rect">
          <a:avLst/>
        </a:prstGeom>
        <a:noFill/>
      </xdr:spPr>
    </xdr:pic>
    <xdr:clientData/>
  </xdr:twoCellAnchor>
  <xdr:twoCellAnchor editAs="oneCell">
    <xdr:from>
      <xdr:col>2</xdr:col>
      <xdr:colOff>38100</xdr:colOff>
      <xdr:row>220</xdr:row>
      <xdr:rowOff>38100</xdr:rowOff>
    </xdr:from>
    <xdr:to>
      <xdr:col>2</xdr:col>
      <xdr:colOff>1181100</xdr:colOff>
      <xdr:row>220</xdr:row>
      <xdr:rowOff>1028700</xdr:rowOff>
    </xdr:to>
    <xdr:pic>
      <xdr:nvPicPr>
        <xdr:cNvPr id="1139" name="Picture 115">
          <a:extLst>
            <a:ext uri="{FF2B5EF4-FFF2-40B4-BE49-F238E27FC236}">
              <a16:creationId xmlns:a16="http://schemas.microsoft.com/office/drawing/2014/main" id="{00000000-0008-0000-0000-000073040000}"/>
            </a:ext>
          </a:extLst>
        </xdr:cNvPr>
        <xdr:cNvPicPr>
          <a:picLocks noChangeAspect="1" noChangeArrowheads="1"/>
        </xdr:cNvPicPr>
      </xdr:nvPicPr>
      <xdr:blipFill>
        <a:blip xmlns:r="http://schemas.openxmlformats.org/officeDocument/2006/relationships" r:embed="rId115" cstate="print"/>
        <a:srcRect/>
        <a:stretch>
          <a:fillRect/>
        </a:stretch>
      </xdr:blipFill>
      <xdr:spPr bwMode="auto">
        <a:xfrm>
          <a:off x="0" y="0"/>
          <a:ext cx="1143000" cy="990600"/>
        </a:xfrm>
        <a:prstGeom prst="rect">
          <a:avLst/>
        </a:prstGeom>
        <a:noFill/>
      </xdr:spPr>
    </xdr:pic>
    <xdr:clientData/>
  </xdr:twoCellAnchor>
  <xdr:twoCellAnchor editAs="oneCell">
    <xdr:from>
      <xdr:col>2</xdr:col>
      <xdr:colOff>38100</xdr:colOff>
      <xdr:row>221</xdr:row>
      <xdr:rowOff>38100</xdr:rowOff>
    </xdr:from>
    <xdr:to>
      <xdr:col>2</xdr:col>
      <xdr:colOff>1181220</xdr:colOff>
      <xdr:row>221</xdr:row>
      <xdr:rowOff>1181220</xdr:rowOff>
    </xdr:to>
    <xdr:pic>
      <xdr:nvPicPr>
        <xdr:cNvPr id="1140" name="Picture 116">
          <a:extLst>
            <a:ext uri="{FF2B5EF4-FFF2-40B4-BE49-F238E27FC236}">
              <a16:creationId xmlns:a16="http://schemas.microsoft.com/office/drawing/2014/main" id="{00000000-0008-0000-0000-000074040000}"/>
            </a:ext>
          </a:extLst>
        </xdr:cNvPr>
        <xdr:cNvPicPr>
          <a:picLocks noChangeAspect="1" noChangeArrowheads="1"/>
        </xdr:cNvPicPr>
      </xdr:nvPicPr>
      <xdr:blipFill>
        <a:blip xmlns:r="http://schemas.openxmlformats.org/officeDocument/2006/relationships" r:embed="rId116" cstate="print"/>
        <a:srcRect/>
        <a:stretch>
          <a:fillRect/>
        </a:stretch>
      </xdr:blipFill>
      <xdr:spPr bwMode="auto">
        <a:xfrm>
          <a:off x="0" y="0"/>
          <a:ext cx="1143120" cy="1143120"/>
        </a:xfrm>
        <a:prstGeom prst="rect">
          <a:avLst/>
        </a:prstGeom>
        <a:noFill/>
      </xdr:spPr>
    </xdr:pic>
    <xdr:clientData/>
  </xdr:twoCellAnchor>
  <xdr:twoCellAnchor editAs="oneCell">
    <xdr:from>
      <xdr:col>2</xdr:col>
      <xdr:colOff>38100</xdr:colOff>
      <xdr:row>223</xdr:row>
      <xdr:rowOff>38100</xdr:rowOff>
    </xdr:from>
    <xdr:to>
      <xdr:col>2</xdr:col>
      <xdr:colOff>1181100</xdr:colOff>
      <xdr:row>223</xdr:row>
      <xdr:rowOff>1181100</xdr:rowOff>
    </xdr:to>
    <xdr:pic>
      <xdr:nvPicPr>
        <xdr:cNvPr id="1141" name="Picture 117">
          <a:extLst>
            <a:ext uri="{FF2B5EF4-FFF2-40B4-BE49-F238E27FC236}">
              <a16:creationId xmlns:a16="http://schemas.microsoft.com/office/drawing/2014/main" id="{00000000-0008-0000-0000-000075040000}"/>
            </a:ext>
          </a:extLst>
        </xdr:cNvPr>
        <xdr:cNvPicPr>
          <a:picLocks noChangeAspect="1" noChangeArrowheads="1"/>
        </xdr:cNvPicPr>
      </xdr:nvPicPr>
      <xdr:blipFill>
        <a:blip xmlns:r="http://schemas.openxmlformats.org/officeDocument/2006/relationships" r:embed="rId11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234</xdr:row>
      <xdr:rowOff>38100</xdr:rowOff>
    </xdr:from>
    <xdr:to>
      <xdr:col>2</xdr:col>
      <xdr:colOff>546060</xdr:colOff>
      <xdr:row>234</xdr:row>
      <xdr:rowOff>330177</xdr:rowOff>
    </xdr:to>
    <xdr:pic>
      <xdr:nvPicPr>
        <xdr:cNvPr id="1142" name="Picture 118">
          <a:extLst>
            <a:ext uri="{FF2B5EF4-FFF2-40B4-BE49-F238E27FC236}">
              <a16:creationId xmlns:a16="http://schemas.microsoft.com/office/drawing/2014/main" id="{00000000-0008-0000-0000-000076040000}"/>
            </a:ext>
          </a:extLst>
        </xdr:cNvPr>
        <xdr:cNvPicPr>
          <a:picLocks noChangeAspect="1" noChangeArrowheads="1"/>
        </xdr:cNvPicPr>
      </xdr:nvPicPr>
      <xdr:blipFill>
        <a:blip xmlns:r="http://schemas.openxmlformats.org/officeDocument/2006/relationships" r:embed="rId118" cstate="print"/>
        <a:srcRect/>
        <a:stretch>
          <a:fillRect/>
        </a:stretch>
      </xdr:blipFill>
      <xdr:spPr bwMode="auto">
        <a:xfrm>
          <a:off x="0" y="0"/>
          <a:ext cx="507960" cy="292077"/>
        </a:xfrm>
        <a:prstGeom prst="rect">
          <a:avLst/>
        </a:prstGeom>
        <a:noFill/>
      </xdr:spPr>
    </xdr:pic>
    <xdr:clientData/>
  </xdr:twoCellAnchor>
  <xdr:twoCellAnchor editAs="oneCell">
    <xdr:from>
      <xdr:col>2</xdr:col>
      <xdr:colOff>38100</xdr:colOff>
      <xdr:row>237</xdr:row>
      <xdr:rowOff>38100</xdr:rowOff>
    </xdr:from>
    <xdr:to>
      <xdr:col>2</xdr:col>
      <xdr:colOff>1181100</xdr:colOff>
      <xdr:row>237</xdr:row>
      <xdr:rowOff>676275</xdr:rowOff>
    </xdr:to>
    <xdr:pic>
      <xdr:nvPicPr>
        <xdr:cNvPr id="1143" name="Picture 119">
          <a:extLst>
            <a:ext uri="{FF2B5EF4-FFF2-40B4-BE49-F238E27FC236}">
              <a16:creationId xmlns:a16="http://schemas.microsoft.com/office/drawing/2014/main" id="{00000000-0008-0000-0000-000077040000}"/>
            </a:ext>
          </a:extLst>
        </xdr:cNvPr>
        <xdr:cNvPicPr>
          <a:picLocks noChangeAspect="1" noChangeArrowheads="1"/>
        </xdr:cNvPicPr>
      </xdr:nvPicPr>
      <xdr:blipFill>
        <a:blip xmlns:r="http://schemas.openxmlformats.org/officeDocument/2006/relationships" r:embed="rId119" cstate="print"/>
        <a:srcRect/>
        <a:stretch>
          <a:fillRect/>
        </a:stretch>
      </xdr:blipFill>
      <xdr:spPr bwMode="auto">
        <a:xfrm>
          <a:off x="0" y="0"/>
          <a:ext cx="1143000" cy="638175"/>
        </a:xfrm>
        <a:prstGeom prst="rect">
          <a:avLst/>
        </a:prstGeom>
        <a:noFill/>
      </xdr:spPr>
    </xdr:pic>
    <xdr:clientData/>
  </xdr:twoCellAnchor>
  <xdr:twoCellAnchor editAs="oneCell">
    <xdr:from>
      <xdr:col>2</xdr:col>
      <xdr:colOff>38100</xdr:colOff>
      <xdr:row>238</xdr:row>
      <xdr:rowOff>38100</xdr:rowOff>
    </xdr:from>
    <xdr:to>
      <xdr:col>2</xdr:col>
      <xdr:colOff>1562100</xdr:colOff>
      <xdr:row>238</xdr:row>
      <xdr:rowOff>292100</xdr:rowOff>
    </xdr:to>
    <xdr:pic>
      <xdr:nvPicPr>
        <xdr:cNvPr id="1144" name="Picture 120">
          <a:extLst>
            <a:ext uri="{FF2B5EF4-FFF2-40B4-BE49-F238E27FC236}">
              <a16:creationId xmlns:a16="http://schemas.microsoft.com/office/drawing/2014/main" id="{00000000-0008-0000-0000-000078040000}"/>
            </a:ext>
          </a:extLst>
        </xdr:cNvPr>
        <xdr:cNvPicPr>
          <a:picLocks noChangeAspect="1" noChangeArrowheads="1"/>
        </xdr:cNvPicPr>
      </xdr:nvPicPr>
      <xdr:blipFill>
        <a:blip xmlns:r="http://schemas.openxmlformats.org/officeDocument/2006/relationships" r:embed="rId120" cstate="print"/>
        <a:srcRect/>
        <a:stretch>
          <a:fillRect/>
        </a:stretch>
      </xdr:blipFill>
      <xdr:spPr bwMode="auto">
        <a:xfrm>
          <a:off x="0" y="0"/>
          <a:ext cx="1524000" cy="254000"/>
        </a:xfrm>
        <a:prstGeom prst="rect">
          <a:avLst/>
        </a:prstGeom>
        <a:noFill/>
      </xdr:spPr>
    </xdr:pic>
    <xdr:clientData/>
  </xdr:twoCellAnchor>
  <xdr:twoCellAnchor editAs="oneCell">
    <xdr:from>
      <xdr:col>2</xdr:col>
      <xdr:colOff>38100</xdr:colOff>
      <xdr:row>240</xdr:row>
      <xdr:rowOff>38100</xdr:rowOff>
    </xdr:from>
    <xdr:to>
      <xdr:col>2</xdr:col>
      <xdr:colOff>769620</xdr:colOff>
      <xdr:row>240</xdr:row>
      <xdr:rowOff>239268</xdr:rowOff>
    </xdr:to>
    <xdr:pic>
      <xdr:nvPicPr>
        <xdr:cNvPr id="1145" name="Picture 121">
          <a:extLst>
            <a:ext uri="{FF2B5EF4-FFF2-40B4-BE49-F238E27FC236}">
              <a16:creationId xmlns:a16="http://schemas.microsoft.com/office/drawing/2014/main" id="{00000000-0008-0000-0000-000079040000}"/>
            </a:ext>
          </a:extLst>
        </xdr:cNvPr>
        <xdr:cNvPicPr>
          <a:picLocks noChangeAspect="1" noChangeArrowheads="1"/>
        </xdr:cNvPicPr>
      </xdr:nvPicPr>
      <xdr:blipFill>
        <a:blip xmlns:r="http://schemas.openxmlformats.org/officeDocument/2006/relationships" r:embed="rId121" cstate="print"/>
        <a:srcRect/>
        <a:stretch>
          <a:fillRect/>
        </a:stretch>
      </xdr:blipFill>
      <xdr:spPr bwMode="auto">
        <a:xfrm>
          <a:off x="0" y="0"/>
          <a:ext cx="731520" cy="201168"/>
        </a:xfrm>
        <a:prstGeom prst="rect">
          <a:avLst/>
        </a:prstGeom>
        <a:noFill/>
      </xdr:spPr>
    </xdr:pic>
    <xdr:clientData/>
  </xdr:twoCellAnchor>
  <xdr:twoCellAnchor editAs="oneCell">
    <xdr:from>
      <xdr:col>2</xdr:col>
      <xdr:colOff>38100</xdr:colOff>
      <xdr:row>242</xdr:row>
      <xdr:rowOff>38100</xdr:rowOff>
    </xdr:from>
    <xdr:to>
      <xdr:col>2</xdr:col>
      <xdr:colOff>403860</xdr:colOff>
      <xdr:row>242</xdr:row>
      <xdr:rowOff>129540</xdr:rowOff>
    </xdr:to>
    <xdr:pic>
      <xdr:nvPicPr>
        <xdr:cNvPr id="1146" name="Picture 122">
          <a:extLst>
            <a:ext uri="{FF2B5EF4-FFF2-40B4-BE49-F238E27FC236}">
              <a16:creationId xmlns:a16="http://schemas.microsoft.com/office/drawing/2014/main" id="{00000000-0008-0000-0000-00007A040000}"/>
            </a:ext>
          </a:extLst>
        </xdr:cNvPr>
        <xdr:cNvPicPr>
          <a:picLocks noChangeAspect="1" noChangeArrowheads="1"/>
        </xdr:cNvPicPr>
      </xdr:nvPicPr>
      <xdr:blipFill>
        <a:blip xmlns:r="http://schemas.openxmlformats.org/officeDocument/2006/relationships" r:embed="rId122" cstate="print"/>
        <a:srcRect/>
        <a:stretch>
          <a:fillRect/>
        </a:stretch>
      </xdr:blipFill>
      <xdr:spPr bwMode="auto">
        <a:xfrm>
          <a:off x="0" y="0"/>
          <a:ext cx="365760" cy="91440"/>
        </a:xfrm>
        <a:prstGeom prst="rect">
          <a:avLst/>
        </a:prstGeom>
        <a:noFill/>
      </xdr:spPr>
    </xdr:pic>
    <xdr:clientData/>
  </xdr:twoCellAnchor>
  <xdr:twoCellAnchor editAs="oneCell">
    <xdr:from>
      <xdr:col>2</xdr:col>
      <xdr:colOff>38100</xdr:colOff>
      <xdr:row>243</xdr:row>
      <xdr:rowOff>38100</xdr:rowOff>
    </xdr:from>
    <xdr:to>
      <xdr:col>2</xdr:col>
      <xdr:colOff>403860</xdr:colOff>
      <xdr:row>243</xdr:row>
      <xdr:rowOff>138684</xdr:rowOff>
    </xdr:to>
    <xdr:pic>
      <xdr:nvPicPr>
        <xdr:cNvPr id="1147" name="Picture 123">
          <a:extLst>
            <a:ext uri="{FF2B5EF4-FFF2-40B4-BE49-F238E27FC236}">
              <a16:creationId xmlns:a16="http://schemas.microsoft.com/office/drawing/2014/main" id="{00000000-0008-0000-0000-00007B040000}"/>
            </a:ext>
          </a:extLst>
        </xdr:cNvPr>
        <xdr:cNvPicPr>
          <a:picLocks noChangeAspect="1" noChangeArrowheads="1"/>
        </xdr:cNvPicPr>
      </xdr:nvPicPr>
      <xdr:blipFill>
        <a:blip xmlns:r="http://schemas.openxmlformats.org/officeDocument/2006/relationships" r:embed="rId123" cstate="print"/>
        <a:srcRect/>
        <a:stretch>
          <a:fillRect/>
        </a:stretch>
      </xdr:blipFill>
      <xdr:spPr bwMode="auto">
        <a:xfrm>
          <a:off x="0" y="0"/>
          <a:ext cx="365760" cy="100584"/>
        </a:xfrm>
        <a:prstGeom prst="rect">
          <a:avLst/>
        </a:prstGeom>
        <a:noFill/>
      </xdr:spPr>
    </xdr:pic>
    <xdr:clientData/>
  </xdr:twoCellAnchor>
  <xdr:twoCellAnchor editAs="oneCell">
    <xdr:from>
      <xdr:col>2</xdr:col>
      <xdr:colOff>38100</xdr:colOff>
      <xdr:row>244</xdr:row>
      <xdr:rowOff>38100</xdr:rowOff>
    </xdr:from>
    <xdr:to>
      <xdr:col>2</xdr:col>
      <xdr:colOff>403860</xdr:colOff>
      <xdr:row>244</xdr:row>
      <xdr:rowOff>236220</xdr:rowOff>
    </xdr:to>
    <xdr:pic>
      <xdr:nvPicPr>
        <xdr:cNvPr id="1148" name="Picture 124">
          <a:extLst>
            <a:ext uri="{FF2B5EF4-FFF2-40B4-BE49-F238E27FC236}">
              <a16:creationId xmlns:a16="http://schemas.microsoft.com/office/drawing/2014/main" id="{00000000-0008-0000-0000-00007C040000}"/>
            </a:ext>
          </a:extLst>
        </xdr:cNvPr>
        <xdr:cNvPicPr>
          <a:picLocks noChangeAspect="1" noChangeArrowheads="1"/>
        </xdr:cNvPicPr>
      </xdr:nvPicPr>
      <xdr:blipFill>
        <a:blip xmlns:r="http://schemas.openxmlformats.org/officeDocument/2006/relationships" r:embed="rId124" cstate="print"/>
        <a:srcRect/>
        <a:stretch>
          <a:fillRect/>
        </a:stretch>
      </xdr:blipFill>
      <xdr:spPr bwMode="auto">
        <a:xfrm>
          <a:off x="0" y="0"/>
          <a:ext cx="365760" cy="198120"/>
        </a:xfrm>
        <a:prstGeom prst="rect">
          <a:avLst/>
        </a:prstGeom>
        <a:noFill/>
      </xdr:spPr>
    </xdr:pic>
    <xdr:clientData/>
  </xdr:twoCellAnchor>
  <xdr:twoCellAnchor editAs="oneCell">
    <xdr:from>
      <xdr:col>2</xdr:col>
      <xdr:colOff>38100</xdr:colOff>
      <xdr:row>245</xdr:row>
      <xdr:rowOff>38100</xdr:rowOff>
    </xdr:from>
    <xdr:to>
      <xdr:col>2</xdr:col>
      <xdr:colOff>556260</xdr:colOff>
      <xdr:row>245</xdr:row>
      <xdr:rowOff>769620</xdr:rowOff>
    </xdr:to>
    <xdr:pic>
      <xdr:nvPicPr>
        <xdr:cNvPr id="1149" name="Picture 125">
          <a:extLst>
            <a:ext uri="{FF2B5EF4-FFF2-40B4-BE49-F238E27FC236}">
              <a16:creationId xmlns:a16="http://schemas.microsoft.com/office/drawing/2014/main" id="{00000000-0008-0000-0000-00007D040000}"/>
            </a:ext>
          </a:extLst>
        </xdr:cNvPr>
        <xdr:cNvPicPr>
          <a:picLocks noChangeAspect="1" noChangeArrowheads="1"/>
        </xdr:cNvPicPr>
      </xdr:nvPicPr>
      <xdr:blipFill>
        <a:blip xmlns:r="http://schemas.openxmlformats.org/officeDocument/2006/relationships" r:embed="rId125" cstate="print"/>
        <a:srcRect/>
        <a:stretch>
          <a:fillRect/>
        </a:stretch>
      </xdr:blipFill>
      <xdr:spPr bwMode="auto">
        <a:xfrm>
          <a:off x="0" y="0"/>
          <a:ext cx="518160" cy="731520"/>
        </a:xfrm>
        <a:prstGeom prst="rect">
          <a:avLst/>
        </a:prstGeom>
        <a:noFill/>
      </xdr:spPr>
    </xdr:pic>
    <xdr:clientData/>
  </xdr:twoCellAnchor>
  <xdr:twoCellAnchor editAs="oneCell">
    <xdr:from>
      <xdr:col>2</xdr:col>
      <xdr:colOff>38100</xdr:colOff>
      <xdr:row>247</xdr:row>
      <xdr:rowOff>38100</xdr:rowOff>
    </xdr:from>
    <xdr:to>
      <xdr:col>2</xdr:col>
      <xdr:colOff>1104900</xdr:colOff>
      <xdr:row>247</xdr:row>
      <xdr:rowOff>1181100</xdr:rowOff>
    </xdr:to>
    <xdr:pic>
      <xdr:nvPicPr>
        <xdr:cNvPr id="1150" name="Picture 126">
          <a:extLst>
            <a:ext uri="{FF2B5EF4-FFF2-40B4-BE49-F238E27FC236}">
              <a16:creationId xmlns:a16="http://schemas.microsoft.com/office/drawing/2014/main" id="{00000000-0008-0000-0000-00007E040000}"/>
            </a:ext>
          </a:extLst>
        </xdr:cNvPr>
        <xdr:cNvPicPr>
          <a:picLocks noChangeAspect="1" noChangeArrowheads="1"/>
        </xdr:cNvPicPr>
      </xdr:nvPicPr>
      <xdr:blipFill>
        <a:blip xmlns:r="http://schemas.openxmlformats.org/officeDocument/2006/relationships" r:embed="rId126" cstate="print"/>
        <a:srcRect/>
        <a:stretch>
          <a:fillRect/>
        </a:stretch>
      </xdr:blipFill>
      <xdr:spPr bwMode="auto">
        <a:xfrm>
          <a:off x="0" y="0"/>
          <a:ext cx="1066800" cy="1143000"/>
        </a:xfrm>
        <a:prstGeom prst="rect">
          <a:avLst/>
        </a:prstGeom>
        <a:noFill/>
      </xdr:spPr>
    </xdr:pic>
    <xdr:clientData/>
  </xdr:twoCellAnchor>
  <xdr:twoCellAnchor editAs="oneCell">
    <xdr:from>
      <xdr:col>2</xdr:col>
      <xdr:colOff>38100</xdr:colOff>
      <xdr:row>248</xdr:row>
      <xdr:rowOff>38100</xdr:rowOff>
    </xdr:from>
    <xdr:to>
      <xdr:col>2</xdr:col>
      <xdr:colOff>1181100</xdr:colOff>
      <xdr:row>248</xdr:row>
      <xdr:rowOff>638175</xdr:rowOff>
    </xdr:to>
    <xdr:pic>
      <xdr:nvPicPr>
        <xdr:cNvPr id="1151" name="Picture 127">
          <a:extLst>
            <a:ext uri="{FF2B5EF4-FFF2-40B4-BE49-F238E27FC236}">
              <a16:creationId xmlns:a16="http://schemas.microsoft.com/office/drawing/2014/main" id="{00000000-0008-0000-0000-00007F040000}"/>
            </a:ext>
          </a:extLst>
        </xdr:cNvPr>
        <xdr:cNvPicPr>
          <a:picLocks noChangeAspect="1" noChangeArrowheads="1"/>
        </xdr:cNvPicPr>
      </xdr:nvPicPr>
      <xdr:blipFill>
        <a:blip xmlns:r="http://schemas.openxmlformats.org/officeDocument/2006/relationships" r:embed="rId127" cstate="print"/>
        <a:srcRect/>
        <a:stretch>
          <a:fillRect/>
        </a:stretch>
      </xdr:blipFill>
      <xdr:spPr bwMode="auto">
        <a:xfrm>
          <a:off x="0" y="0"/>
          <a:ext cx="1143000" cy="600075"/>
        </a:xfrm>
        <a:prstGeom prst="rect">
          <a:avLst/>
        </a:prstGeom>
        <a:noFill/>
      </xdr:spPr>
    </xdr:pic>
    <xdr:clientData/>
  </xdr:twoCellAnchor>
  <xdr:twoCellAnchor editAs="oneCell">
    <xdr:from>
      <xdr:col>2</xdr:col>
      <xdr:colOff>38100</xdr:colOff>
      <xdr:row>249</xdr:row>
      <xdr:rowOff>38100</xdr:rowOff>
    </xdr:from>
    <xdr:to>
      <xdr:col>2</xdr:col>
      <xdr:colOff>923925</xdr:colOff>
      <xdr:row>249</xdr:row>
      <xdr:rowOff>1181100</xdr:rowOff>
    </xdr:to>
    <xdr:pic>
      <xdr:nvPicPr>
        <xdr:cNvPr id="1152" name="Picture 128">
          <a:extLst>
            <a:ext uri="{FF2B5EF4-FFF2-40B4-BE49-F238E27FC236}">
              <a16:creationId xmlns:a16="http://schemas.microsoft.com/office/drawing/2014/main" id="{00000000-0008-0000-0000-000080040000}"/>
            </a:ext>
          </a:extLst>
        </xdr:cNvPr>
        <xdr:cNvPicPr>
          <a:picLocks noChangeAspect="1" noChangeArrowheads="1"/>
        </xdr:cNvPicPr>
      </xdr:nvPicPr>
      <xdr:blipFill>
        <a:blip xmlns:r="http://schemas.openxmlformats.org/officeDocument/2006/relationships" r:embed="rId128" cstate="print"/>
        <a:srcRect/>
        <a:stretch>
          <a:fillRect/>
        </a:stretch>
      </xdr:blipFill>
      <xdr:spPr bwMode="auto">
        <a:xfrm>
          <a:off x="0" y="0"/>
          <a:ext cx="885825" cy="1143000"/>
        </a:xfrm>
        <a:prstGeom prst="rect">
          <a:avLst/>
        </a:prstGeom>
        <a:noFill/>
      </xdr:spPr>
    </xdr:pic>
    <xdr:clientData/>
  </xdr:twoCellAnchor>
  <xdr:twoCellAnchor editAs="oneCell">
    <xdr:from>
      <xdr:col>2</xdr:col>
      <xdr:colOff>38100</xdr:colOff>
      <xdr:row>254</xdr:row>
      <xdr:rowOff>38100</xdr:rowOff>
    </xdr:from>
    <xdr:to>
      <xdr:col>2</xdr:col>
      <xdr:colOff>1181100</xdr:colOff>
      <xdr:row>254</xdr:row>
      <xdr:rowOff>1123950</xdr:rowOff>
    </xdr:to>
    <xdr:pic>
      <xdr:nvPicPr>
        <xdr:cNvPr id="1153" name="Picture 129">
          <a:extLst>
            <a:ext uri="{FF2B5EF4-FFF2-40B4-BE49-F238E27FC236}">
              <a16:creationId xmlns:a16="http://schemas.microsoft.com/office/drawing/2014/main" id="{00000000-0008-0000-0000-000081040000}"/>
            </a:ext>
          </a:extLst>
        </xdr:cNvPr>
        <xdr:cNvPicPr>
          <a:picLocks noChangeAspect="1" noChangeArrowheads="1"/>
        </xdr:cNvPicPr>
      </xdr:nvPicPr>
      <xdr:blipFill>
        <a:blip xmlns:r="http://schemas.openxmlformats.org/officeDocument/2006/relationships" r:embed="rId129" cstate="print"/>
        <a:srcRect/>
        <a:stretch>
          <a:fillRect/>
        </a:stretch>
      </xdr:blipFill>
      <xdr:spPr bwMode="auto">
        <a:xfrm>
          <a:off x="0" y="0"/>
          <a:ext cx="1143000" cy="1085850"/>
        </a:xfrm>
        <a:prstGeom prst="rect">
          <a:avLst/>
        </a:prstGeom>
        <a:noFill/>
      </xdr:spPr>
    </xdr:pic>
    <xdr:clientData/>
  </xdr:twoCellAnchor>
  <xdr:twoCellAnchor editAs="oneCell">
    <xdr:from>
      <xdr:col>2</xdr:col>
      <xdr:colOff>38100</xdr:colOff>
      <xdr:row>255</xdr:row>
      <xdr:rowOff>38100</xdr:rowOff>
    </xdr:from>
    <xdr:to>
      <xdr:col>2</xdr:col>
      <xdr:colOff>1038225</xdr:colOff>
      <xdr:row>255</xdr:row>
      <xdr:rowOff>1181100</xdr:rowOff>
    </xdr:to>
    <xdr:pic>
      <xdr:nvPicPr>
        <xdr:cNvPr id="1154" name="Picture 130">
          <a:extLst>
            <a:ext uri="{FF2B5EF4-FFF2-40B4-BE49-F238E27FC236}">
              <a16:creationId xmlns:a16="http://schemas.microsoft.com/office/drawing/2014/main" id="{00000000-0008-0000-0000-000082040000}"/>
            </a:ext>
          </a:extLst>
        </xdr:cNvPr>
        <xdr:cNvPicPr>
          <a:picLocks noChangeAspect="1" noChangeArrowheads="1"/>
        </xdr:cNvPicPr>
      </xdr:nvPicPr>
      <xdr:blipFill>
        <a:blip xmlns:r="http://schemas.openxmlformats.org/officeDocument/2006/relationships" r:embed="rId130" cstate="print"/>
        <a:srcRect/>
        <a:stretch>
          <a:fillRect/>
        </a:stretch>
      </xdr:blipFill>
      <xdr:spPr bwMode="auto">
        <a:xfrm>
          <a:off x="0" y="0"/>
          <a:ext cx="1000125" cy="1143000"/>
        </a:xfrm>
        <a:prstGeom prst="rect">
          <a:avLst/>
        </a:prstGeom>
        <a:noFill/>
      </xdr:spPr>
    </xdr:pic>
    <xdr:clientData/>
  </xdr:twoCellAnchor>
  <xdr:twoCellAnchor editAs="oneCell">
    <xdr:from>
      <xdr:col>2</xdr:col>
      <xdr:colOff>38100</xdr:colOff>
      <xdr:row>256</xdr:row>
      <xdr:rowOff>38100</xdr:rowOff>
    </xdr:from>
    <xdr:to>
      <xdr:col>2</xdr:col>
      <xdr:colOff>1181100</xdr:colOff>
      <xdr:row>256</xdr:row>
      <xdr:rowOff>1066800</xdr:rowOff>
    </xdr:to>
    <xdr:pic>
      <xdr:nvPicPr>
        <xdr:cNvPr id="1155" name="Picture 131">
          <a:extLst>
            <a:ext uri="{FF2B5EF4-FFF2-40B4-BE49-F238E27FC236}">
              <a16:creationId xmlns:a16="http://schemas.microsoft.com/office/drawing/2014/main" id="{00000000-0008-0000-0000-000083040000}"/>
            </a:ext>
          </a:extLst>
        </xdr:cNvPr>
        <xdr:cNvPicPr>
          <a:picLocks noChangeAspect="1" noChangeArrowheads="1"/>
        </xdr:cNvPicPr>
      </xdr:nvPicPr>
      <xdr:blipFill>
        <a:blip xmlns:r="http://schemas.openxmlformats.org/officeDocument/2006/relationships" r:embed="rId131" cstate="print"/>
        <a:srcRect/>
        <a:stretch>
          <a:fillRect/>
        </a:stretch>
      </xdr:blipFill>
      <xdr:spPr bwMode="auto">
        <a:xfrm>
          <a:off x="0" y="0"/>
          <a:ext cx="1143000" cy="1028700"/>
        </a:xfrm>
        <a:prstGeom prst="rect">
          <a:avLst/>
        </a:prstGeom>
        <a:noFill/>
      </xdr:spPr>
    </xdr:pic>
    <xdr:clientData/>
  </xdr:twoCellAnchor>
  <xdr:twoCellAnchor editAs="oneCell">
    <xdr:from>
      <xdr:col>2</xdr:col>
      <xdr:colOff>38100</xdr:colOff>
      <xdr:row>258</xdr:row>
      <xdr:rowOff>38100</xdr:rowOff>
    </xdr:from>
    <xdr:to>
      <xdr:col>2</xdr:col>
      <xdr:colOff>1181100</xdr:colOff>
      <xdr:row>258</xdr:row>
      <xdr:rowOff>581025</xdr:rowOff>
    </xdr:to>
    <xdr:pic>
      <xdr:nvPicPr>
        <xdr:cNvPr id="1156" name="Picture 132">
          <a:extLst>
            <a:ext uri="{FF2B5EF4-FFF2-40B4-BE49-F238E27FC236}">
              <a16:creationId xmlns:a16="http://schemas.microsoft.com/office/drawing/2014/main" id="{00000000-0008-0000-0000-000084040000}"/>
            </a:ext>
          </a:extLst>
        </xdr:cNvPr>
        <xdr:cNvPicPr>
          <a:picLocks noChangeAspect="1" noChangeArrowheads="1"/>
        </xdr:cNvPicPr>
      </xdr:nvPicPr>
      <xdr:blipFill>
        <a:blip xmlns:r="http://schemas.openxmlformats.org/officeDocument/2006/relationships" r:embed="rId132" cstate="print"/>
        <a:srcRect/>
        <a:stretch>
          <a:fillRect/>
        </a:stretch>
      </xdr:blipFill>
      <xdr:spPr bwMode="auto">
        <a:xfrm>
          <a:off x="0" y="0"/>
          <a:ext cx="1143000" cy="542925"/>
        </a:xfrm>
        <a:prstGeom prst="rect">
          <a:avLst/>
        </a:prstGeom>
        <a:noFill/>
      </xdr:spPr>
    </xdr:pic>
    <xdr:clientData/>
  </xdr:twoCellAnchor>
  <xdr:twoCellAnchor editAs="oneCell">
    <xdr:from>
      <xdr:col>2</xdr:col>
      <xdr:colOff>38100</xdr:colOff>
      <xdr:row>261</xdr:row>
      <xdr:rowOff>38100</xdr:rowOff>
    </xdr:from>
    <xdr:to>
      <xdr:col>2</xdr:col>
      <xdr:colOff>1135380</xdr:colOff>
      <xdr:row>261</xdr:row>
      <xdr:rowOff>1135380</xdr:rowOff>
    </xdr:to>
    <xdr:pic>
      <xdr:nvPicPr>
        <xdr:cNvPr id="1157" name="Picture 133">
          <a:extLst>
            <a:ext uri="{FF2B5EF4-FFF2-40B4-BE49-F238E27FC236}">
              <a16:creationId xmlns:a16="http://schemas.microsoft.com/office/drawing/2014/main" id="{00000000-0008-0000-0000-000085040000}"/>
            </a:ext>
          </a:extLst>
        </xdr:cNvPr>
        <xdr:cNvPicPr>
          <a:picLocks noChangeAspect="1" noChangeArrowheads="1"/>
        </xdr:cNvPicPr>
      </xdr:nvPicPr>
      <xdr:blipFill>
        <a:blip xmlns:r="http://schemas.openxmlformats.org/officeDocument/2006/relationships" r:embed="rId133" cstate="print"/>
        <a:srcRect/>
        <a:stretch>
          <a:fillRect/>
        </a:stretch>
      </xdr:blipFill>
      <xdr:spPr bwMode="auto">
        <a:xfrm>
          <a:off x="0" y="0"/>
          <a:ext cx="1097280" cy="1097280"/>
        </a:xfrm>
        <a:prstGeom prst="rect">
          <a:avLst/>
        </a:prstGeom>
        <a:noFill/>
      </xdr:spPr>
    </xdr:pic>
    <xdr:clientData/>
  </xdr:twoCellAnchor>
  <xdr:twoCellAnchor editAs="oneCell">
    <xdr:from>
      <xdr:col>2</xdr:col>
      <xdr:colOff>38100</xdr:colOff>
      <xdr:row>262</xdr:row>
      <xdr:rowOff>38100</xdr:rowOff>
    </xdr:from>
    <xdr:to>
      <xdr:col>2</xdr:col>
      <xdr:colOff>1181100</xdr:colOff>
      <xdr:row>262</xdr:row>
      <xdr:rowOff>952500</xdr:rowOff>
    </xdr:to>
    <xdr:pic>
      <xdr:nvPicPr>
        <xdr:cNvPr id="1158" name="Picture 134">
          <a:extLst>
            <a:ext uri="{FF2B5EF4-FFF2-40B4-BE49-F238E27FC236}">
              <a16:creationId xmlns:a16="http://schemas.microsoft.com/office/drawing/2014/main" id="{00000000-0008-0000-0000-000086040000}"/>
            </a:ext>
          </a:extLst>
        </xdr:cNvPr>
        <xdr:cNvPicPr>
          <a:picLocks noChangeAspect="1" noChangeArrowheads="1"/>
        </xdr:cNvPicPr>
      </xdr:nvPicPr>
      <xdr:blipFill>
        <a:blip xmlns:r="http://schemas.openxmlformats.org/officeDocument/2006/relationships" r:embed="rId134" cstate="print"/>
        <a:srcRect/>
        <a:stretch>
          <a:fillRect/>
        </a:stretch>
      </xdr:blipFill>
      <xdr:spPr bwMode="auto">
        <a:xfrm>
          <a:off x="0" y="0"/>
          <a:ext cx="1143000" cy="914400"/>
        </a:xfrm>
        <a:prstGeom prst="rect">
          <a:avLst/>
        </a:prstGeom>
        <a:noFill/>
      </xdr:spPr>
    </xdr:pic>
    <xdr:clientData/>
  </xdr:twoCellAnchor>
  <xdr:twoCellAnchor editAs="oneCell">
    <xdr:from>
      <xdr:col>2</xdr:col>
      <xdr:colOff>38100</xdr:colOff>
      <xdr:row>263</xdr:row>
      <xdr:rowOff>38100</xdr:rowOff>
    </xdr:from>
    <xdr:to>
      <xdr:col>2</xdr:col>
      <xdr:colOff>1181100</xdr:colOff>
      <xdr:row>263</xdr:row>
      <xdr:rowOff>1181100</xdr:rowOff>
    </xdr:to>
    <xdr:pic>
      <xdr:nvPicPr>
        <xdr:cNvPr id="1159" name="Picture 135">
          <a:extLst>
            <a:ext uri="{FF2B5EF4-FFF2-40B4-BE49-F238E27FC236}">
              <a16:creationId xmlns:a16="http://schemas.microsoft.com/office/drawing/2014/main" id="{00000000-0008-0000-0000-000087040000}"/>
            </a:ext>
          </a:extLst>
        </xdr:cNvPr>
        <xdr:cNvPicPr>
          <a:picLocks noChangeAspect="1" noChangeArrowheads="1"/>
        </xdr:cNvPicPr>
      </xdr:nvPicPr>
      <xdr:blipFill>
        <a:blip xmlns:r="http://schemas.openxmlformats.org/officeDocument/2006/relationships" r:embed="rId135"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264</xdr:row>
      <xdr:rowOff>38100</xdr:rowOff>
    </xdr:from>
    <xdr:to>
      <xdr:col>2</xdr:col>
      <xdr:colOff>1181100</xdr:colOff>
      <xdr:row>264</xdr:row>
      <xdr:rowOff>352425</xdr:rowOff>
    </xdr:to>
    <xdr:pic>
      <xdr:nvPicPr>
        <xdr:cNvPr id="1160" name="Picture 136">
          <a:extLst>
            <a:ext uri="{FF2B5EF4-FFF2-40B4-BE49-F238E27FC236}">
              <a16:creationId xmlns:a16="http://schemas.microsoft.com/office/drawing/2014/main" id="{00000000-0008-0000-0000-000088040000}"/>
            </a:ext>
          </a:extLst>
        </xdr:cNvPr>
        <xdr:cNvPicPr>
          <a:picLocks noChangeAspect="1" noChangeArrowheads="1"/>
        </xdr:cNvPicPr>
      </xdr:nvPicPr>
      <xdr:blipFill>
        <a:blip xmlns:r="http://schemas.openxmlformats.org/officeDocument/2006/relationships" r:embed="rId136" cstate="print"/>
        <a:srcRect/>
        <a:stretch>
          <a:fillRect/>
        </a:stretch>
      </xdr:blipFill>
      <xdr:spPr bwMode="auto">
        <a:xfrm>
          <a:off x="0" y="0"/>
          <a:ext cx="1143000" cy="314325"/>
        </a:xfrm>
        <a:prstGeom prst="rect">
          <a:avLst/>
        </a:prstGeom>
        <a:noFill/>
      </xdr:spPr>
    </xdr:pic>
    <xdr:clientData/>
  </xdr:twoCellAnchor>
  <xdr:twoCellAnchor editAs="oneCell">
    <xdr:from>
      <xdr:col>2</xdr:col>
      <xdr:colOff>38100</xdr:colOff>
      <xdr:row>266</xdr:row>
      <xdr:rowOff>38100</xdr:rowOff>
    </xdr:from>
    <xdr:to>
      <xdr:col>2</xdr:col>
      <xdr:colOff>3086100</xdr:colOff>
      <xdr:row>266</xdr:row>
      <xdr:rowOff>3086100</xdr:rowOff>
    </xdr:to>
    <xdr:pic>
      <xdr:nvPicPr>
        <xdr:cNvPr id="1161" name="Picture 137">
          <a:extLst>
            <a:ext uri="{FF2B5EF4-FFF2-40B4-BE49-F238E27FC236}">
              <a16:creationId xmlns:a16="http://schemas.microsoft.com/office/drawing/2014/main" id="{00000000-0008-0000-0000-000089040000}"/>
            </a:ext>
          </a:extLst>
        </xdr:cNvPr>
        <xdr:cNvPicPr>
          <a:picLocks noChangeAspect="1" noChangeArrowheads="1"/>
        </xdr:cNvPicPr>
      </xdr:nvPicPr>
      <xdr:blipFill>
        <a:blip xmlns:r="http://schemas.openxmlformats.org/officeDocument/2006/relationships" r:embed="rId137" cstate="print"/>
        <a:srcRect/>
        <a:stretch>
          <a:fillRect/>
        </a:stretch>
      </xdr:blipFill>
      <xdr:spPr bwMode="auto">
        <a:xfrm>
          <a:off x="0" y="0"/>
          <a:ext cx="3048000" cy="3048000"/>
        </a:xfrm>
        <a:prstGeom prst="rect">
          <a:avLst/>
        </a:prstGeom>
        <a:noFill/>
      </xdr:spPr>
    </xdr:pic>
    <xdr:clientData/>
  </xdr:twoCellAnchor>
  <xdr:twoCellAnchor editAs="oneCell">
    <xdr:from>
      <xdr:col>2</xdr:col>
      <xdr:colOff>38100</xdr:colOff>
      <xdr:row>270</xdr:row>
      <xdr:rowOff>38100</xdr:rowOff>
    </xdr:from>
    <xdr:to>
      <xdr:col>2</xdr:col>
      <xdr:colOff>419100</xdr:colOff>
      <xdr:row>270</xdr:row>
      <xdr:rowOff>336550</xdr:rowOff>
    </xdr:to>
    <xdr:pic>
      <xdr:nvPicPr>
        <xdr:cNvPr id="1162" name="Picture 138">
          <a:extLst>
            <a:ext uri="{FF2B5EF4-FFF2-40B4-BE49-F238E27FC236}">
              <a16:creationId xmlns:a16="http://schemas.microsoft.com/office/drawing/2014/main" id="{00000000-0008-0000-0000-00008A040000}"/>
            </a:ext>
          </a:extLst>
        </xdr:cNvPr>
        <xdr:cNvPicPr>
          <a:picLocks noChangeAspect="1" noChangeArrowheads="1"/>
        </xdr:cNvPicPr>
      </xdr:nvPicPr>
      <xdr:blipFill>
        <a:blip xmlns:r="http://schemas.openxmlformats.org/officeDocument/2006/relationships" r:embed="rId138" cstate="print"/>
        <a:srcRect/>
        <a:stretch>
          <a:fillRect/>
        </a:stretch>
      </xdr:blipFill>
      <xdr:spPr bwMode="auto">
        <a:xfrm>
          <a:off x="0" y="0"/>
          <a:ext cx="381000" cy="298450"/>
        </a:xfrm>
        <a:prstGeom prst="rect">
          <a:avLst/>
        </a:prstGeom>
        <a:noFill/>
      </xdr:spPr>
    </xdr:pic>
    <xdr:clientData/>
  </xdr:twoCellAnchor>
  <xdr:twoCellAnchor editAs="oneCell">
    <xdr:from>
      <xdr:col>2</xdr:col>
      <xdr:colOff>38100</xdr:colOff>
      <xdr:row>271</xdr:row>
      <xdr:rowOff>38100</xdr:rowOff>
    </xdr:from>
    <xdr:to>
      <xdr:col>2</xdr:col>
      <xdr:colOff>1181100</xdr:colOff>
      <xdr:row>271</xdr:row>
      <xdr:rowOff>923925</xdr:rowOff>
    </xdr:to>
    <xdr:pic>
      <xdr:nvPicPr>
        <xdr:cNvPr id="1163" name="Picture 139">
          <a:extLst>
            <a:ext uri="{FF2B5EF4-FFF2-40B4-BE49-F238E27FC236}">
              <a16:creationId xmlns:a16="http://schemas.microsoft.com/office/drawing/2014/main" id="{00000000-0008-0000-0000-00008B040000}"/>
            </a:ext>
          </a:extLst>
        </xdr:cNvPr>
        <xdr:cNvPicPr>
          <a:picLocks noChangeAspect="1" noChangeArrowheads="1"/>
        </xdr:cNvPicPr>
      </xdr:nvPicPr>
      <xdr:blipFill>
        <a:blip xmlns:r="http://schemas.openxmlformats.org/officeDocument/2006/relationships" r:embed="rId139" cstate="print"/>
        <a:srcRect/>
        <a:stretch>
          <a:fillRect/>
        </a:stretch>
      </xdr:blipFill>
      <xdr:spPr bwMode="auto">
        <a:xfrm>
          <a:off x="0" y="0"/>
          <a:ext cx="1143000" cy="885825"/>
        </a:xfrm>
        <a:prstGeom prst="rect">
          <a:avLst/>
        </a:prstGeom>
        <a:noFill/>
      </xdr:spPr>
    </xdr:pic>
    <xdr:clientData/>
  </xdr:twoCellAnchor>
  <xdr:twoCellAnchor editAs="oneCell">
    <xdr:from>
      <xdr:col>2</xdr:col>
      <xdr:colOff>38100</xdr:colOff>
      <xdr:row>273</xdr:row>
      <xdr:rowOff>38100</xdr:rowOff>
    </xdr:from>
    <xdr:to>
      <xdr:col>2</xdr:col>
      <xdr:colOff>404220</xdr:colOff>
      <xdr:row>273</xdr:row>
      <xdr:rowOff>404220</xdr:rowOff>
    </xdr:to>
    <xdr:pic>
      <xdr:nvPicPr>
        <xdr:cNvPr id="1164" name="Picture 140">
          <a:extLst>
            <a:ext uri="{FF2B5EF4-FFF2-40B4-BE49-F238E27FC236}">
              <a16:creationId xmlns:a16="http://schemas.microsoft.com/office/drawing/2014/main" id="{00000000-0008-0000-0000-00008C040000}"/>
            </a:ext>
          </a:extLst>
        </xdr:cNvPr>
        <xdr:cNvPicPr>
          <a:picLocks noChangeAspect="1" noChangeArrowheads="1"/>
        </xdr:cNvPicPr>
      </xdr:nvPicPr>
      <xdr:blipFill>
        <a:blip xmlns:r="http://schemas.openxmlformats.org/officeDocument/2006/relationships" r:embed="rId140" cstate="print"/>
        <a:srcRect/>
        <a:stretch>
          <a:fillRect/>
        </a:stretch>
      </xdr:blipFill>
      <xdr:spPr bwMode="auto">
        <a:xfrm>
          <a:off x="0" y="0"/>
          <a:ext cx="366120" cy="366120"/>
        </a:xfrm>
        <a:prstGeom prst="rect">
          <a:avLst/>
        </a:prstGeom>
        <a:noFill/>
      </xdr:spPr>
    </xdr:pic>
    <xdr:clientData/>
  </xdr:twoCellAnchor>
  <xdr:twoCellAnchor editAs="oneCell">
    <xdr:from>
      <xdr:col>2</xdr:col>
      <xdr:colOff>38100</xdr:colOff>
      <xdr:row>274</xdr:row>
      <xdr:rowOff>38100</xdr:rowOff>
    </xdr:from>
    <xdr:to>
      <xdr:col>2</xdr:col>
      <xdr:colOff>1181100</xdr:colOff>
      <xdr:row>274</xdr:row>
      <xdr:rowOff>1133475</xdr:rowOff>
    </xdr:to>
    <xdr:pic>
      <xdr:nvPicPr>
        <xdr:cNvPr id="1165" name="Picture 141">
          <a:extLst>
            <a:ext uri="{FF2B5EF4-FFF2-40B4-BE49-F238E27FC236}">
              <a16:creationId xmlns:a16="http://schemas.microsoft.com/office/drawing/2014/main" id="{00000000-0008-0000-0000-00008D040000}"/>
            </a:ext>
          </a:extLst>
        </xdr:cNvPr>
        <xdr:cNvPicPr>
          <a:picLocks noChangeAspect="1" noChangeArrowheads="1"/>
        </xdr:cNvPicPr>
      </xdr:nvPicPr>
      <xdr:blipFill>
        <a:blip xmlns:r="http://schemas.openxmlformats.org/officeDocument/2006/relationships" r:embed="rId141" cstate="print"/>
        <a:srcRect/>
        <a:stretch>
          <a:fillRect/>
        </a:stretch>
      </xdr:blipFill>
      <xdr:spPr bwMode="auto">
        <a:xfrm>
          <a:off x="0" y="0"/>
          <a:ext cx="1143000" cy="1095375"/>
        </a:xfrm>
        <a:prstGeom prst="rect">
          <a:avLst/>
        </a:prstGeom>
        <a:noFill/>
      </xdr:spPr>
    </xdr:pic>
    <xdr:clientData/>
  </xdr:twoCellAnchor>
  <xdr:twoCellAnchor editAs="oneCell">
    <xdr:from>
      <xdr:col>2</xdr:col>
      <xdr:colOff>38100</xdr:colOff>
      <xdr:row>276</xdr:row>
      <xdr:rowOff>38100</xdr:rowOff>
    </xdr:from>
    <xdr:to>
      <xdr:col>2</xdr:col>
      <xdr:colOff>1181100</xdr:colOff>
      <xdr:row>276</xdr:row>
      <xdr:rowOff>581025</xdr:rowOff>
    </xdr:to>
    <xdr:pic>
      <xdr:nvPicPr>
        <xdr:cNvPr id="1166" name="Picture 142">
          <a:extLst>
            <a:ext uri="{FF2B5EF4-FFF2-40B4-BE49-F238E27FC236}">
              <a16:creationId xmlns:a16="http://schemas.microsoft.com/office/drawing/2014/main" id="{00000000-0008-0000-0000-00008E040000}"/>
            </a:ext>
          </a:extLst>
        </xdr:cNvPr>
        <xdr:cNvPicPr>
          <a:picLocks noChangeAspect="1" noChangeArrowheads="1"/>
        </xdr:cNvPicPr>
      </xdr:nvPicPr>
      <xdr:blipFill>
        <a:blip xmlns:r="http://schemas.openxmlformats.org/officeDocument/2006/relationships" r:embed="rId142" cstate="print"/>
        <a:srcRect/>
        <a:stretch>
          <a:fillRect/>
        </a:stretch>
      </xdr:blipFill>
      <xdr:spPr bwMode="auto">
        <a:xfrm>
          <a:off x="0" y="0"/>
          <a:ext cx="1143000" cy="542925"/>
        </a:xfrm>
        <a:prstGeom prst="rect">
          <a:avLst/>
        </a:prstGeom>
        <a:noFill/>
      </xdr:spPr>
    </xdr:pic>
    <xdr:clientData/>
  </xdr:twoCellAnchor>
  <xdr:twoCellAnchor editAs="oneCell">
    <xdr:from>
      <xdr:col>2</xdr:col>
      <xdr:colOff>38100</xdr:colOff>
      <xdr:row>279</xdr:row>
      <xdr:rowOff>38100</xdr:rowOff>
    </xdr:from>
    <xdr:to>
      <xdr:col>2</xdr:col>
      <xdr:colOff>1181220</xdr:colOff>
      <xdr:row>279</xdr:row>
      <xdr:rowOff>352458</xdr:rowOff>
    </xdr:to>
    <xdr:pic>
      <xdr:nvPicPr>
        <xdr:cNvPr id="1167" name="Picture 143">
          <a:extLst>
            <a:ext uri="{FF2B5EF4-FFF2-40B4-BE49-F238E27FC236}">
              <a16:creationId xmlns:a16="http://schemas.microsoft.com/office/drawing/2014/main" id="{00000000-0008-0000-0000-00008F040000}"/>
            </a:ext>
          </a:extLst>
        </xdr:cNvPr>
        <xdr:cNvPicPr>
          <a:picLocks noChangeAspect="1" noChangeArrowheads="1"/>
        </xdr:cNvPicPr>
      </xdr:nvPicPr>
      <xdr:blipFill>
        <a:blip xmlns:r="http://schemas.openxmlformats.org/officeDocument/2006/relationships" r:embed="rId143" cstate="print"/>
        <a:srcRect/>
        <a:stretch>
          <a:fillRect/>
        </a:stretch>
      </xdr:blipFill>
      <xdr:spPr bwMode="auto">
        <a:xfrm>
          <a:off x="0" y="0"/>
          <a:ext cx="1143120" cy="314358"/>
        </a:xfrm>
        <a:prstGeom prst="rect">
          <a:avLst/>
        </a:prstGeom>
        <a:noFill/>
      </xdr:spPr>
    </xdr:pic>
    <xdr:clientData/>
  </xdr:twoCellAnchor>
  <xdr:twoCellAnchor editAs="oneCell">
    <xdr:from>
      <xdr:col>2</xdr:col>
      <xdr:colOff>38100</xdr:colOff>
      <xdr:row>284</xdr:row>
      <xdr:rowOff>38100</xdr:rowOff>
    </xdr:from>
    <xdr:to>
      <xdr:col>2</xdr:col>
      <xdr:colOff>605028</xdr:colOff>
      <xdr:row>284</xdr:row>
      <xdr:rowOff>769620</xdr:rowOff>
    </xdr:to>
    <xdr:pic>
      <xdr:nvPicPr>
        <xdr:cNvPr id="1168" name="Picture 144">
          <a:extLst>
            <a:ext uri="{FF2B5EF4-FFF2-40B4-BE49-F238E27FC236}">
              <a16:creationId xmlns:a16="http://schemas.microsoft.com/office/drawing/2014/main" id="{00000000-0008-0000-0000-000090040000}"/>
            </a:ext>
          </a:extLst>
        </xdr:cNvPr>
        <xdr:cNvPicPr>
          <a:picLocks noChangeAspect="1" noChangeArrowheads="1"/>
        </xdr:cNvPicPr>
      </xdr:nvPicPr>
      <xdr:blipFill>
        <a:blip xmlns:r="http://schemas.openxmlformats.org/officeDocument/2006/relationships" r:embed="rId144"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286</xdr:row>
      <xdr:rowOff>38100</xdr:rowOff>
    </xdr:from>
    <xdr:to>
      <xdr:col>2</xdr:col>
      <xdr:colOff>819150</xdr:colOff>
      <xdr:row>286</xdr:row>
      <xdr:rowOff>1181100</xdr:rowOff>
    </xdr:to>
    <xdr:pic>
      <xdr:nvPicPr>
        <xdr:cNvPr id="1169" name="Picture 145">
          <a:extLst>
            <a:ext uri="{FF2B5EF4-FFF2-40B4-BE49-F238E27FC236}">
              <a16:creationId xmlns:a16="http://schemas.microsoft.com/office/drawing/2014/main" id="{00000000-0008-0000-0000-000091040000}"/>
            </a:ext>
          </a:extLst>
        </xdr:cNvPr>
        <xdr:cNvPicPr>
          <a:picLocks noChangeAspect="1" noChangeArrowheads="1"/>
        </xdr:cNvPicPr>
      </xdr:nvPicPr>
      <xdr:blipFill>
        <a:blip xmlns:r="http://schemas.openxmlformats.org/officeDocument/2006/relationships" r:embed="rId145" cstate="print"/>
        <a:srcRect/>
        <a:stretch>
          <a:fillRect/>
        </a:stretch>
      </xdr:blipFill>
      <xdr:spPr bwMode="auto">
        <a:xfrm>
          <a:off x="0" y="0"/>
          <a:ext cx="781050" cy="1143000"/>
        </a:xfrm>
        <a:prstGeom prst="rect">
          <a:avLst/>
        </a:prstGeom>
        <a:noFill/>
      </xdr:spPr>
    </xdr:pic>
    <xdr:clientData/>
  </xdr:twoCellAnchor>
  <xdr:twoCellAnchor editAs="oneCell">
    <xdr:from>
      <xdr:col>2</xdr:col>
      <xdr:colOff>38100</xdr:colOff>
      <xdr:row>288</xdr:row>
      <xdr:rowOff>38100</xdr:rowOff>
    </xdr:from>
    <xdr:to>
      <xdr:col>2</xdr:col>
      <xdr:colOff>586740</xdr:colOff>
      <xdr:row>288</xdr:row>
      <xdr:rowOff>586740</xdr:rowOff>
    </xdr:to>
    <xdr:pic>
      <xdr:nvPicPr>
        <xdr:cNvPr id="1170" name="Picture 146">
          <a:extLst>
            <a:ext uri="{FF2B5EF4-FFF2-40B4-BE49-F238E27FC236}">
              <a16:creationId xmlns:a16="http://schemas.microsoft.com/office/drawing/2014/main" id="{00000000-0008-0000-0000-000092040000}"/>
            </a:ext>
          </a:extLst>
        </xdr:cNvPr>
        <xdr:cNvPicPr>
          <a:picLocks noChangeAspect="1" noChangeArrowheads="1"/>
        </xdr:cNvPicPr>
      </xdr:nvPicPr>
      <xdr:blipFill>
        <a:blip xmlns:r="http://schemas.openxmlformats.org/officeDocument/2006/relationships" r:embed="rId146" cstate="print"/>
        <a:srcRect/>
        <a:stretch>
          <a:fillRect/>
        </a:stretch>
      </xdr:blipFill>
      <xdr:spPr bwMode="auto">
        <a:xfrm>
          <a:off x="0" y="0"/>
          <a:ext cx="548640" cy="548640"/>
        </a:xfrm>
        <a:prstGeom prst="rect">
          <a:avLst/>
        </a:prstGeom>
        <a:noFill/>
      </xdr:spPr>
    </xdr:pic>
    <xdr:clientData/>
  </xdr:twoCellAnchor>
  <xdr:twoCellAnchor editAs="oneCell">
    <xdr:from>
      <xdr:col>2</xdr:col>
      <xdr:colOff>38100</xdr:colOff>
      <xdr:row>289</xdr:row>
      <xdr:rowOff>38100</xdr:rowOff>
    </xdr:from>
    <xdr:to>
      <xdr:col>2</xdr:col>
      <xdr:colOff>1181100</xdr:colOff>
      <xdr:row>289</xdr:row>
      <xdr:rowOff>962025</xdr:rowOff>
    </xdr:to>
    <xdr:pic>
      <xdr:nvPicPr>
        <xdr:cNvPr id="1171" name="Picture 147">
          <a:extLst>
            <a:ext uri="{FF2B5EF4-FFF2-40B4-BE49-F238E27FC236}">
              <a16:creationId xmlns:a16="http://schemas.microsoft.com/office/drawing/2014/main" id="{00000000-0008-0000-0000-000093040000}"/>
            </a:ext>
          </a:extLst>
        </xdr:cNvPr>
        <xdr:cNvPicPr>
          <a:picLocks noChangeAspect="1" noChangeArrowheads="1"/>
        </xdr:cNvPicPr>
      </xdr:nvPicPr>
      <xdr:blipFill>
        <a:blip xmlns:r="http://schemas.openxmlformats.org/officeDocument/2006/relationships" r:embed="rId147" cstate="print"/>
        <a:srcRect/>
        <a:stretch>
          <a:fillRect/>
        </a:stretch>
      </xdr:blipFill>
      <xdr:spPr bwMode="auto">
        <a:xfrm>
          <a:off x="0" y="0"/>
          <a:ext cx="1143000" cy="923925"/>
        </a:xfrm>
        <a:prstGeom prst="rect">
          <a:avLst/>
        </a:prstGeom>
        <a:noFill/>
      </xdr:spPr>
    </xdr:pic>
    <xdr:clientData/>
  </xdr:twoCellAnchor>
  <xdr:twoCellAnchor editAs="oneCell">
    <xdr:from>
      <xdr:col>2</xdr:col>
      <xdr:colOff>38100</xdr:colOff>
      <xdr:row>290</xdr:row>
      <xdr:rowOff>38100</xdr:rowOff>
    </xdr:from>
    <xdr:to>
      <xdr:col>2</xdr:col>
      <xdr:colOff>769620</xdr:colOff>
      <xdr:row>290</xdr:row>
      <xdr:rowOff>769620</xdr:rowOff>
    </xdr:to>
    <xdr:pic>
      <xdr:nvPicPr>
        <xdr:cNvPr id="1172" name="Picture 148">
          <a:extLst>
            <a:ext uri="{FF2B5EF4-FFF2-40B4-BE49-F238E27FC236}">
              <a16:creationId xmlns:a16="http://schemas.microsoft.com/office/drawing/2014/main" id="{00000000-0008-0000-0000-000094040000}"/>
            </a:ext>
          </a:extLst>
        </xdr:cNvPr>
        <xdr:cNvPicPr>
          <a:picLocks noChangeAspect="1" noChangeArrowheads="1"/>
        </xdr:cNvPicPr>
      </xdr:nvPicPr>
      <xdr:blipFill>
        <a:blip xmlns:r="http://schemas.openxmlformats.org/officeDocument/2006/relationships" r:embed="rId148"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292</xdr:row>
      <xdr:rowOff>38100</xdr:rowOff>
    </xdr:from>
    <xdr:to>
      <xdr:col>2</xdr:col>
      <xdr:colOff>1562100</xdr:colOff>
      <xdr:row>292</xdr:row>
      <xdr:rowOff>469900</xdr:rowOff>
    </xdr:to>
    <xdr:pic>
      <xdr:nvPicPr>
        <xdr:cNvPr id="1173" name="Picture 149">
          <a:extLst>
            <a:ext uri="{FF2B5EF4-FFF2-40B4-BE49-F238E27FC236}">
              <a16:creationId xmlns:a16="http://schemas.microsoft.com/office/drawing/2014/main" id="{00000000-0008-0000-0000-000095040000}"/>
            </a:ext>
          </a:extLst>
        </xdr:cNvPr>
        <xdr:cNvPicPr>
          <a:picLocks noChangeAspect="1" noChangeArrowheads="1"/>
        </xdr:cNvPicPr>
      </xdr:nvPicPr>
      <xdr:blipFill>
        <a:blip xmlns:r="http://schemas.openxmlformats.org/officeDocument/2006/relationships" r:embed="rId149" cstate="print"/>
        <a:srcRect/>
        <a:stretch>
          <a:fillRect/>
        </a:stretch>
      </xdr:blipFill>
      <xdr:spPr bwMode="auto">
        <a:xfrm>
          <a:off x="0" y="0"/>
          <a:ext cx="1524000" cy="431800"/>
        </a:xfrm>
        <a:prstGeom prst="rect">
          <a:avLst/>
        </a:prstGeom>
        <a:noFill/>
      </xdr:spPr>
    </xdr:pic>
    <xdr:clientData/>
  </xdr:twoCellAnchor>
  <xdr:twoCellAnchor editAs="oneCell">
    <xdr:from>
      <xdr:col>2</xdr:col>
      <xdr:colOff>38100</xdr:colOff>
      <xdr:row>293</xdr:row>
      <xdr:rowOff>38100</xdr:rowOff>
    </xdr:from>
    <xdr:to>
      <xdr:col>2</xdr:col>
      <xdr:colOff>1181100</xdr:colOff>
      <xdr:row>293</xdr:row>
      <xdr:rowOff>200025</xdr:rowOff>
    </xdr:to>
    <xdr:pic>
      <xdr:nvPicPr>
        <xdr:cNvPr id="1174" name="Picture 150">
          <a:extLst>
            <a:ext uri="{FF2B5EF4-FFF2-40B4-BE49-F238E27FC236}">
              <a16:creationId xmlns:a16="http://schemas.microsoft.com/office/drawing/2014/main" id="{00000000-0008-0000-0000-000096040000}"/>
            </a:ext>
          </a:extLst>
        </xdr:cNvPr>
        <xdr:cNvPicPr>
          <a:picLocks noChangeAspect="1" noChangeArrowheads="1"/>
        </xdr:cNvPicPr>
      </xdr:nvPicPr>
      <xdr:blipFill>
        <a:blip xmlns:r="http://schemas.openxmlformats.org/officeDocument/2006/relationships" r:embed="rId150" cstate="print"/>
        <a:srcRect/>
        <a:stretch>
          <a:fillRect/>
        </a:stretch>
      </xdr:blipFill>
      <xdr:spPr bwMode="auto">
        <a:xfrm>
          <a:off x="0" y="0"/>
          <a:ext cx="1143000" cy="161925"/>
        </a:xfrm>
        <a:prstGeom prst="rect">
          <a:avLst/>
        </a:prstGeom>
        <a:noFill/>
      </xdr:spPr>
    </xdr:pic>
    <xdr:clientData/>
  </xdr:twoCellAnchor>
  <xdr:twoCellAnchor editAs="oneCell">
    <xdr:from>
      <xdr:col>2</xdr:col>
      <xdr:colOff>38100</xdr:colOff>
      <xdr:row>294</xdr:row>
      <xdr:rowOff>38100</xdr:rowOff>
    </xdr:from>
    <xdr:to>
      <xdr:col>2</xdr:col>
      <xdr:colOff>1095375</xdr:colOff>
      <xdr:row>294</xdr:row>
      <xdr:rowOff>1047750</xdr:rowOff>
    </xdr:to>
    <xdr:pic>
      <xdr:nvPicPr>
        <xdr:cNvPr id="1175" name="Picture 151">
          <a:extLst>
            <a:ext uri="{FF2B5EF4-FFF2-40B4-BE49-F238E27FC236}">
              <a16:creationId xmlns:a16="http://schemas.microsoft.com/office/drawing/2014/main" id="{00000000-0008-0000-0000-000097040000}"/>
            </a:ext>
          </a:extLst>
        </xdr:cNvPr>
        <xdr:cNvPicPr>
          <a:picLocks noChangeAspect="1" noChangeArrowheads="1"/>
        </xdr:cNvPicPr>
      </xdr:nvPicPr>
      <xdr:blipFill>
        <a:blip xmlns:r="http://schemas.openxmlformats.org/officeDocument/2006/relationships" r:embed="rId151" cstate="print"/>
        <a:srcRect/>
        <a:stretch>
          <a:fillRect/>
        </a:stretch>
      </xdr:blipFill>
      <xdr:spPr bwMode="auto">
        <a:xfrm>
          <a:off x="0" y="0"/>
          <a:ext cx="1057275" cy="1009650"/>
        </a:xfrm>
        <a:prstGeom prst="rect">
          <a:avLst/>
        </a:prstGeom>
        <a:noFill/>
      </xdr:spPr>
    </xdr:pic>
    <xdr:clientData/>
  </xdr:twoCellAnchor>
  <xdr:twoCellAnchor editAs="oneCell">
    <xdr:from>
      <xdr:col>2</xdr:col>
      <xdr:colOff>38100</xdr:colOff>
      <xdr:row>298</xdr:row>
      <xdr:rowOff>38100</xdr:rowOff>
    </xdr:from>
    <xdr:to>
      <xdr:col>2</xdr:col>
      <xdr:colOff>403860</xdr:colOff>
      <xdr:row>298</xdr:row>
      <xdr:rowOff>278892</xdr:rowOff>
    </xdr:to>
    <xdr:pic>
      <xdr:nvPicPr>
        <xdr:cNvPr id="1176" name="Picture 152">
          <a:extLst>
            <a:ext uri="{FF2B5EF4-FFF2-40B4-BE49-F238E27FC236}">
              <a16:creationId xmlns:a16="http://schemas.microsoft.com/office/drawing/2014/main" id="{00000000-0008-0000-0000-000098040000}"/>
            </a:ext>
          </a:extLst>
        </xdr:cNvPr>
        <xdr:cNvPicPr>
          <a:picLocks noChangeAspect="1" noChangeArrowheads="1"/>
        </xdr:cNvPicPr>
      </xdr:nvPicPr>
      <xdr:blipFill>
        <a:blip xmlns:r="http://schemas.openxmlformats.org/officeDocument/2006/relationships" r:embed="rId152" cstate="print"/>
        <a:srcRect/>
        <a:stretch>
          <a:fillRect/>
        </a:stretch>
      </xdr:blipFill>
      <xdr:spPr bwMode="auto">
        <a:xfrm>
          <a:off x="0" y="0"/>
          <a:ext cx="365760" cy="240792"/>
        </a:xfrm>
        <a:prstGeom prst="rect">
          <a:avLst/>
        </a:prstGeom>
        <a:noFill/>
      </xdr:spPr>
    </xdr:pic>
    <xdr:clientData/>
  </xdr:twoCellAnchor>
  <xdr:twoCellAnchor editAs="oneCell">
    <xdr:from>
      <xdr:col>2</xdr:col>
      <xdr:colOff>38100</xdr:colOff>
      <xdr:row>308</xdr:row>
      <xdr:rowOff>38100</xdr:rowOff>
    </xdr:from>
    <xdr:to>
      <xdr:col>2</xdr:col>
      <xdr:colOff>952500</xdr:colOff>
      <xdr:row>308</xdr:row>
      <xdr:rowOff>952500</xdr:rowOff>
    </xdr:to>
    <xdr:pic>
      <xdr:nvPicPr>
        <xdr:cNvPr id="1177" name="Picture 153">
          <a:extLst>
            <a:ext uri="{FF2B5EF4-FFF2-40B4-BE49-F238E27FC236}">
              <a16:creationId xmlns:a16="http://schemas.microsoft.com/office/drawing/2014/main" id="{00000000-0008-0000-0000-000099040000}"/>
            </a:ext>
          </a:extLst>
        </xdr:cNvPr>
        <xdr:cNvPicPr>
          <a:picLocks noChangeAspect="1" noChangeArrowheads="1"/>
        </xdr:cNvPicPr>
      </xdr:nvPicPr>
      <xdr:blipFill>
        <a:blip xmlns:r="http://schemas.openxmlformats.org/officeDocument/2006/relationships" r:embed="rId153" cstate="print"/>
        <a:srcRect/>
        <a:stretch>
          <a:fillRect/>
        </a:stretch>
      </xdr:blipFill>
      <xdr:spPr bwMode="auto">
        <a:xfrm>
          <a:off x="0" y="0"/>
          <a:ext cx="914400" cy="914400"/>
        </a:xfrm>
        <a:prstGeom prst="rect">
          <a:avLst/>
        </a:prstGeom>
        <a:noFill/>
      </xdr:spPr>
    </xdr:pic>
    <xdr:clientData/>
  </xdr:twoCellAnchor>
  <xdr:twoCellAnchor editAs="oneCell">
    <xdr:from>
      <xdr:col>2</xdr:col>
      <xdr:colOff>38100</xdr:colOff>
      <xdr:row>309</xdr:row>
      <xdr:rowOff>38100</xdr:rowOff>
    </xdr:from>
    <xdr:to>
      <xdr:col>2</xdr:col>
      <xdr:colOff>769620</xdr:colOff>
      <xdr:row>309</xdr:row>
      <xdr:rowOff>678180</xdr:rowOff>
    </xdr:to>
    <xdr:pic>
      <xdr:nvPicPr>
        <xdr:cNvPr id="1178" name="Picture 154">
          <a:extLst>
            <a:ext uri="{FF2B5EF4-FFF2-40B4-BE49-F238E27FC236}">
              <a16:creationId xmlns:a16="http://schemas.microsoft.com/office/drawing/2014/main" id="{00000000-0008-0000-0000-00009A040000}"/>
            </a:ext>
          </a:extLst>
        </xdr:cNvPr>
        <xdr:cNvPicPr>
          <a:picLocks noChangeAspect="1" noChangeArrowheads="1"/>
        </xdr:cNvPicPr>
      </xdr:nvPicPr>
      <xdr:blipFill>
        <a:blip xmlns:r="http://schemas.openxmlformats.org/officeDocument/2006/relationships" r:embed="rId154" cstate="print"/>
        <a:srcRect/>
        <a:stretch>
          <a:fillRect/>
        </a:stretch>
      </xdr:blipFill>
      <xdr:spPr bwMode="auto">
        <a:xfrm>
          <a:off x="0" y="0"/>
          <a:ext cx="731520" cy="640080"/>
        </a:xfrm>
        <a:prstGeom prst="rect">
          <a:avLst/>
        </a:prstGeom>
        <a:noFill/>
      </xdr:spPr>
    </xdr:pic>
    <xdr:clientData/>
  </xdr:twoCellAnchor>
  <xdr:twoCellAnchor editAs="oneCell">
    <xdr:from>
      <xdr:col>2</xdr:col>
      <xdr:colOff>38100</xdr:colOff>
      <xdr:row>310</xdr:row>
      <xdr:rowOff>38100</xdr:rowOff>
    </xdr:from>
    <xdr:to>
      <xdr:col>2</xdr:col>
      <xdr:colOff>403860</xdr:colOff>
      <xdr:row>310</xdr:row>
      <xdr:rowOff>178308</xdr:rowOff>
    </xdr:to>
    <xdr:pic>
      <xdr:nvPicPr>
        <xdr:cNvPr id="1179" name="Picture 155">
          <a:extLst>
            <a:ext uri="{FF2B5EF4-FFF2-40B4-BE49-F238E27FC236}">
              <a16:creationId xmlns:a16="http://schemas.microsoft.com/office/drawing/2014/main" id="{00000000-0008-0000-0000-00009B040000}"/>
            </a:ext>
          </a:extLst>
        </xdr:cNvPr>
        <xdr:cNvPicPr>
          <a:picLocks noChangeAspect="1" noChangeArrowheads="1"/>
        </xdr:cNvPicPr>
      </xdr:nvPicPr>
      <xdr:blipFill>
        <a:blip xmlns:r="http://schemas.openxmlformats.org/officeDocument/2006/relationships" r:embed="rId155" cstate="print"/>
        <a:srcRect/>
        <a:stretch>
          <a:fillRect/>
        </a:stretch>
      </xdr:blipFill>
      <xdr:spPr bwMode="auto">
        <a:xfrm>
          <a:off x="0" y="0"/>
          <a:ext cx="365760" cy="140208"/>
        </a:xfrm>
        <a:prstGeom prst="rect">
          <a:avLst/>
        </a:prstGeom>
        <a:noFill/>
      </xdr:spPr>
    </xdr:pic>
    <xdr:clientData/>
  </xdr:twoCellAnchor>
  <xdr:twoCellAnchor editAs="oneCell">
    <xdr:from>
      <xdr:col>2</xdr:col>
      <xdr:colOff>38100</xdr:colOff>
      <xdr:row>311</xdr:row>
      <xdr:rowOff>38100</xdr:rowOff>
    </xdr:from>
    <xdr:to>
      <xdr:col>2</xdr:col>
      <xdr:colOff>1181100</xdr:colOff>
      <xdr:row>311</xdr:row>
      <xdr:rowOff>1181100</xdr:rowOff>
    </xdr:to>
    <xdr:pic>
      <xdr:nvPicPr>
        <xdr:cNvPr id="1180" name="Picture 156">
          <a:extLst>
            <a:ext uri="{FF2B5EF4-FFF2-40B4-BE49-F238E27FC236}">
              <a16:creationId xmlns:a16="http://schemas.microsoft.com/office/drawing/2014/main" id="{00000000-0008-0000-0000-00009C040000}"/>
            </a:ext>
          </a:extLst>
        </xdr:cNvPr>
        <xdr:cNvPicPr>
          <a:picLocks noChangeAspect="1" noChangeArrowheads="1"/>
        </xdr:cNvPicPr>
      </xdr:nvPicPr>
      <xdr:blipFill>
        <a:blip xmlns:r="http://schemas.openxmlformats.org/officeDocument/2006/relationships" r:embed="rId156"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322</xdr:row>
      <xdr:rowOff>38100</xdr:rowOff>
    </xdr:from>
    <xdr:to>
      <xdr:col>2</xdr:col>
      <xdr:colOff>1181100</xdr:colOff>
      <xdr:row>322</xdr:row>
      <xdr:rowOff>1181100</xdr:rowOff>
    </xdr:to>
    <xdr:pic>
      <xdr:nvPicPr>
        <xdr:cNvPr id="1181" name="Picture 157">
          <a:extLst>
            <a:ext uri="{FF2B5EF4-FFF2-40B4-BE49-F238E27FC236}">
              <a16:creationId xmlns:a16="http://schemas.microsoft.com/office/drawing/2014/main" id="{00000000-0008-0000-0000-00009D040000}"/>
            </a:ext>
          </a:extLst>
        </xdr:cNvPr>
        <xdr:cNvPicPr>
          <a:picLocks noChangeAspect="1" noChangeArrowheads="1"/>
        </xdr:cNvPicPr>
      </xdr:nvPicPr>
      <xdr:blipFill>
        <a:blip xmlns:r="http://schemas.openxmlformats.org/officeDocument/2006/relationships" r:embed="rId15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326</xdr:row>
      <xdr:rowOff>38100</xdr:rowOff>
    </xdr:from>
    <xdr:to>
      <xdr:col>2</xdr:col>
      <xdr:colOff>1181100</xdr:colOff>
      <xdr:row>326</xdr:row>
      <xdr:rowOff>238125</xdr:rowOff>
    </xdr:to>
    <xdr:pic>
      <xdr:nvPicPr>
        <xdr:cNvPr id="1182" name="Picture 158">
          <a:extLst>
            <a:ext uri="{FF2B5EF4-FFF2-40B4-BE49-F238E27FC236}">
              <a16:creationId xmlns:a16="http://schemas.microsoft.com/office/drawing/2014/main" id="{00000000-0008-0000-0000-00009E040000}"/>
            </a:ext>
          </a:extLst>
        </xdr:cNvPr>
        <xdr:cNvPicPr>
          <a:picLocks noChangeAspect="1" noChangeArrowheads="1"/>
        </xdr:cNvPicPr>
      </xdr:nvPicPr>
      <xdr:blipFill>
        <a:blip xmlns:r="http://schemas.openxmlformats.org/officeDocument/2006/relationships" r:embed="rId158" cstate="print"/>
        <a:srcRect/>
        <a:stretch>
          <a:fillRect/>
        </a:stretch>
      </xdr:blipFill>
      <xdr:spPr bwMode="auto">
        <a:xfrm>
          <a:off x="0" y="0"/>
          <a:ext cx="1143000" cy="200025"/>
        </a:xfrm>
        <a:prstGeom prst="rect">
          <a:avLst/>
        </a:prstGeom>
        <a:noFill/>
      </xdr:spPr>
    </xdr:pic>
    <xdr:clientData/>
  </xdr:twoCellAnchor>
  <xdr:twoCellAnchor editAs="oneCell">
    <xdr:from>
      <xdr:col>2</xdr:col>
      <xdr:colOff>38100</xdr:colOff>
      <xdr:row>327</xdr:row>
      <xdr:rowOff>38100</xdr:rowOff>
    </xdr:from>
    <xdr:to>
      <xdr:col>2</xdr:col>
      <xdr:colOff>1181100</xdr:colOff>
      <xdr:row>327</xdr:row>
      <xdr:rowOff>304800</xdr:rowOff>
    </xdr:to>
    <xdr:pic>
      <xdr:nvPicPr>
        <xdr:cNvPr id="1183" name="Picture 159">
          <a:extLst>
            <a:ext uri="{FF2B5EF4-FFF2-40B4-BE49-F238E27FC236}">
              <a16:creationId xmlns:a16="http://schemas.microsoft.com/office/drawing/2014/main" id="{00000000-0008-0000-0000-00009F040000}"/>
            </a:ext>
          </a:extLst>
        </xdr:cNvPr>
        <xdr:cNvPicPr>
          <a:picLocks noChangeAspect="1" noChangeArrowheads="1"/>
        </xdr:cNvPicPr>
      </xdr:nvPicPr>
      <xdr:blipFill>
        <a:blip xmlns:r="http://schemas.openxmlformats.org/officeDocument/2006/relationships" r:embed="rId159" cstate="print"/>
        <a:srcRect/>
        <a:stretch>
          <a:fillRect/>
        </a:stretch>
      </xdr:blipFill>
      <xdr:spPr bwMode="auto">
        <a:xfrm>
          <a:off x="0" y="0"/>
          <a:ext cx="1143000" cy="266700"/>
        </a:xfrm>
        <a:prstGeom prst="rect">
          <a:avLst/>
        </a:prstGeom>
        <a:noFill/>
      </xdr:spPr>
    </xdr:pic>
    <xdr:clientData/>
  </xdr:twoCellAnchor>
  <xdr:twoCellAnchor editAs="oneCell">
    <xdr:from>
      <xdr:col>2</xdr:col>
      <xdr:colOff>38100</xdr:colOff>
      <xdr:row>328</xdr:row>
      <xdr:rowOff>38100</xdr:rowOff>
    </xdr:from>
    <xdr:to>
      <xdr:col>2</xdr:col>
      <xdr:colOff>1181100</xdr:colOff>
      <xdr:row>328</xdr:row>
      <xdr:rowOff>314325</xdr:rowOff>
    </xdr:to>
    <xdr:pic>
      <xdr:nvPicPr>
        <xdr:cNvPr id="1184" name="Picture 160">
          <a:extLst>
            <a:ext uri="{FF2B5EF4-FFF2-40B4-BE49-F238E27FC236}">
              <a16:creationId xmlns:a16="http://schemas.microsoft.com/office/drawing/2014/main" id="{00000000-0008-0000-0000-0000A0040000}"/>
            </a:ext>
          </a:extLst>
        </xdr:cNvPr>
        <xdr:cNvPicPr>
          <a:picLocks noChangeAspect="1" noChangeArrowheads="1"/>
        </xdr:cNvPicPr>
      </xdr:nvPicPr>
      <xdr:blipFill>
        <a:blip xmlns:r="http://schemas.openxmlformats.org/officeDocument/2006/relationships" r:embed="rId160" cstate="print"/>
        <a:srcRect/>
        <a:stretch>
          <a:fillRect/>
        </a:stretch>
      </xdr:blipFill>
      <xdr:spPr bwMode="auto">
        <a:xfrm>
          <a:off x="0" y="0"/>
          <a:ext cx="1143000" cy="276225"/>
        </a:xfrm>
        <a:prstGeom prst="rect">
          <a:avLst/>
        </a:prstGeom>
        <a:noFill/>
      </xdr:spPr>
    </xdr:pic>
    <xdr:clientData/>
  </xdr:twoCellAnchor>
  <xdr:twoCellAnchor editAs="oneCell">
    <xdr:from>
      <xdr:col>2</xdr:col>
      <xdr:colOff>38100</xdr:colOff>
      <xdr:row>329</xdr:row>
      <xdr:rowOff>38100</xdr:rowOff>
    </xdr:from>
    <xdr:to>
      <xdr:col>2</xdr:col>
      <xdr:colOff>1181100</xdr:colOff>
      <xdr:row>329</xdr:row>
      <xdr:rowOff>257175</xdr:rowOff>
    </xdr:to>
    <xdr:pic>
      <xdr:nvPicPr>
        <xdr:cNvPr id="1185" name="Picture 161">
          <a:extLst>
            <a:ext uri="{FF2B5EF4-FFF2-40B4-BE49-F238E27FC236}">
              <a16:creationId xmlns:a16="http://schemas.microsoft.com/office/drawing/2014/main" id="{00000000-0008-0000-0000-0000A1040000}"/>
            </a:ext>
          </a:extLst>
        </xdr:cNvPr>
        <xdr:cNvPicPr>
          <a:picLocks noChangeAspect="1" noChangeArrowheads="1"/>
        </xdr:cNvPicPr>
      </xdr:nvPicPr>
      <xdr:blipFill>
        <a:blip xmlns:r="http://schemas.openxmlformats.org/officeDocument/2006/relationships" r:embed="rId161" cstate="print"/>
        <a:srcRect/>
        <a:stretch>
          <a:fillRect/>
        </a:stretch>
      </xdr:blipFill>
      <xdr:spPr bwMode="auto">
        <a:xfrm>
          <a:off x="0" y="0"/>
          <a:ext cx="1143000" cy="219075"/>
        </a:xfrm>
        <a:prstGeom prst="rect">
          <a:avLst/>
        </a:prstGeom>
        <a:noFill/>
      </xdr:spPr>
    </xdr:pic>
    <xdr:clientData/>
  </xdr:twoCellAnchor>
  <xdr:twoCellAnchor editAs="oneCell">
    <xdr:from>
      <xdr:col>2</xdr:col>
      <xdr:colOff>38100</xdr:colOff>
      <xdr:row>333</xdr:row>
      <xdr:rowOff>38100</xdr:rowOff>
    </xdr:from>
    <xdr:to>
      <xdr:col>2</xdr:col>
      <xdr:colOff>1181100</xdr:colOff>
      <xdr:row>333</xdr:row>
      <xdr:rowOff>1181100</xdr:rowOff>
    </xdr:to>
    <xdr:pic>
      <xdr:nvPicPr>
        <xdr:cNvPr id="1186" name="Picture 162">
          <a:extLst>
            <a:ext uri="{FF2B5EF4-FFF2-40B4-BE49-F238E27FC236}">
              <a16:creationId xmlns:a16="http://schemas.microsoft.com/office/drawing/2014/main" id="{00000000-0008-0000-0000-0000A2040000}"/>
            </a:ext>
          </a:extLst>
        </xdr:cNvPr>
        <xdr:cNvPicPr>
          <a:picLocks noChangeAspect="1" noChangeArrowheads="1"/>
        </xdr:cNvPicPr>
      </xdr:nvPicPr>
      <xdr:blipFill>
        <a:blip xmlns:r="http://schemas.openxmlformats.org/officeDocument/2006/relationships" r:embed="rId16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334</xdr:row>
      <xdr:rowOff>38100</xdr:rowOff>
    </xdr:from>
    <xdr:to>
      <xdr:col>2</xdr:col>
      <xdr:colOff>1181100</xdr:colOff>
      <xdr:row>334</xdr:row>
      <xdr:rowOff>247650</xdr:rowOff>
    </xdr:to>
    <xdr:pic>
      <xdr:nvPicPr>
        <xdr:cNvPr id="1187" name="Picture 163">
          <a:extLst>
            <a:ext uri="{FF2B5EF4-FFF2-40B4-BE49-F238E27FC236}">
              <a16:creationId xmlns:a16="http://schemas.microsoft.com/office/drawing/2014/main" id="{00000000-0008-0000-0000-0000A3040000}"/>
            </a:ext>
          </a:extLst>
        </xdr:cNvPr>
        <xdr:cNvPicPr>
          <a:picLocks noChangeAspect="1" noChangeArrowheads="1"/>
        </xdr:cNvPicPr>
      </xdr:nvPicPr>
      <xdr:blipFill>
        <a:blip xmlns:r="http://schemas.openxmlformats.org/officeDocument/2006/relationships" r:embed="rId163" cstate="print"/>
        <a:srcRect/>
        <a:stretch>
          <a:fillRect/>
        </a:stretch>
      </xdr:blipFill>
      <xdr:spPr bwMode="auto">
        <a:xfrm>
          <a:off x="0" y="0"/>
          <a:ext cx="1143000" cy="209550"/>
        </a:xfrm>
        <a:prstGeom prst="rect">
          <a:avLst/>
        </a:prstGeom>
        <a:noFill/>
      </xdr:spPr>
    </xdr:pic>
    <xdr:clientData/>
  </xdr:twoCellAnchor>
  <xdr:twoCellAnchor editAs="oneCell">
    <xdr:from>
      <xdr:col>2</xdr:col>
      <xdr:colOff>38100</xdr:colOff>
      <xdr:row>338</xdr:row>
      <xdr:rowOff>38100</xdr:rowOff>
    </xdr:from>
    <xdr:to>
      <xdr:col>2</xdr:col>
      <xdr:colOff>1181100</xdr:colOff>
      <xdr:row>338</xdr:row>
      <xdr:rowOff>476250</xdr:rowOff>
    </xdr:to>
    <xdr:pic>
      <xdr:nvPicPr>
        <xdr:cNvPr id="1188" name="Picture 164">
          <a:extLst>
            <a:ext uri="{FF2B5EF4-FFF2-40B4-BE49-F238E27FC236}">
              <a16:creationId xmlns:a16="http://schemas.microsoft.com/office/drawing/2014/main" id="{00000000-0008-0000-0000-0000A4040000}"/>
            </a:ext>
          </a:extLst>
        </xdr:cNvPr>
        <xdr:cNvPicPr>
          <a:picLocks noChangeAspect="1" noChangeArrowheads="1"/>
        </xdr:cNvPicPr>
      </xdr:nvPicPr>
      <xdr:blipFill>
        <a:blip xmlns:r="http://schemas.openxmlformats.org/officeDocument/2006/relationships" r:embed="rId164" cstate="print"/>
        <a:srcRect/>
        <a:stretch>
          <a:fillRect/>
        </a:stretch>
      </xdr:blipFill>
      <xdr:spPr bwMode="auto">
        <a:xfrm>
          <a:off x="0" y="0"/>
          <a:ext cx="1143000" cy="438150"/>
        </a:xfrm>
        <a:prstGeom prst="rect">
          <a:avLst/>
        </a:prstGeom>
        <a:noFill/>
      </xdr:spPr>
    </xdr:pic>
    <xdr:clientData/>
  </xdr:twoCellAnchor>
  <xdr:twoCellAnchor editAs="oneCell">
    <xdr:from>
      <xdr:col>2</xdr:col>
      <xdr:colOff>38100</xdr:colOff>
      <xdr:row>340</xdr:row>
      <xdr:rowOff>38100</xdr:rowOff>
    </xdr:from>
    <xdr:to>
      <xdr:col>2</xdr:col>
      <xdr:colOff>1181100</xdr:colOff>
      <xdr:row>340</xdr:row>
      <xdr:rowOff>457200</xdr:rowOff>
    </xdr:to>
    <xdr:pic>
      <xdr:nvPicPr>
        <xdr:cNvPr id="1189" name="Picture 165">
          <a:extLst>
            <a:ext uri="{FF2B5EF4-FFF2-40B4-BE49-F238E27FC236}">
              <a16:creationId xmlns:a16="http://schemas.microsoft.com/office/drawing/2014/main" id="{00000000-0008-0000-0000-0000A5040000}"/>
            </a:ext>
          </a:extLst>
        </xdr:cNvPr>
        <xdr:cNvPicPr>
          <a:picLocks noChangeAspect="1" noChangeArrowheads="1"/>
        </xdr:cNvPicPr>
      </xdr:nvPicPr>
      <xdr:blipFill>
        <a:blip xmlns:r="http://schemas.openxmlformats.org/officeDocument/2006/relationships" r:embed="rId165" cstate="print"/>
        <a:srcRect/>
        <a:stretch>
          <a:fillRect/>
        </a:stretch>
      </xdr:blipFill>
      <xdr:spPr bwMode="auto">
        <a:xfrm>
          <a:off x="0" y="0"/>
          <a:ext cx="1143000" cy="419100"/>
        </a:xfrm>
        <a:prstGeom prst="rect">
          <a:avLst/>
        </a:prstGeom>
        <a:noFill/>
      </xdr:spPr>
    </xdr:pic>
    <xdr:clientData/>
  </xdr:twoCellAnchor>
  <xdr:twoCellAnchor editAs="oneCell">
    <xdr:from>
      <xdr:col>2</xdr:col>
      <xdr:colOff>38100</xdr:colOff>
      <xdr:row>343</xdr:row>
      <xdr:rowOff>38100</xdr:rowOff>
    </xdr:from>
    <xdr:to>
      <xdr:col>2</xdr:col>
      <xdr:colOff>452220</xdr:colOff>
      <xdr:row>343</xdr:row>
      <xdr:rowOff>452220</xdr:rowOff>
    </xdr:to>
    <xdr:pic>
      <xdr:nvPicPr>
        <xdr:cNvPr id="1190" name="Picture 166">
          <a:extLst>
            <a:ext uri="{FF2B5EF4-FFF2-40B4-BE49-F238E27FC236}">
              <a16:creationId xmlns:a16="http://schemas.microsoft.com/office/drawing/2014/main" id="{00000000-0008-0000-0000-0000A6040000}"/>
            </a:ext>
          </a:extLst>
        </xdr:cNvPr>
        <xdr:cNvPicPr>
          <a:picLocks noChangeAspect="1" noChangeArrowheads="1"/>
        </xdr:cNvPicPr>
      </xdr:nvPicPr>
      <xdr:blipFill>
        <a:blip xmlns:r="http://schemas.openxmlformats.org/officeDocument/2006/relationships" r:embed="rId166" cstate="print"/>
        <a:srcRect/>
        <a:stretch>
          <a:fillRect/>
        </a:stretch>
      </xdr:blipFill>
      <xdr:spPr bwMode="auto">
        <a:xfrm>
          <a:off x="0" y="0"/>
          <a:ext cx="414120" cy="414120"/>
        </a:xfrm>
        <a:prstGeom prst="rect">
          <a:avLst/>
        </a:prstGeom>
        <a:noFill/>
      </xdr:spPr>
    </xdr:pic>
    <xdr:clientData/>
  </xdr:twoCellAnchor>
  <xdr:twoCellAnchor editAs="oneCell">
    <xdr:from>
      <xdr:col>2</xdr:col>
      <xdr:colOff>38100</xdr:colOff>
      <xdr:row>344</xdr:row>
      <xdr:rowOff>38100</xdr:rowOff>
    </xdr:from>
    <xdr:to>
      <xdr:col>2</xdr:col>
      <xdr:colOff>1181100</xdr:colOff>
      <xdr:row>344</xdr:row>
      <xdr:rowOff>1181100</xdr:rowOff>
    </xdr:to>
    <xdr:pic>
      <xdr:nvPicPr>
        <xdr:cNvPr id="1191" name="Picture 167">
          <a:extLst>
            <a:ext uri="{FF2B5EF4-FFF2-40B4-BE49-F238E27FC236}">
              <a16:creationId xmlns:a16="http://schemas.microsoft.com/office/drawing/2014/main" id="{00000000-0008-0000-0000-0000A7040000}"/>
            </a:ext>
          </a:extLst>
        </xdr:cNvPr>
        <xdr:cNvPicPr>
          <a:picLocks noChangeAspect="1" noChangeArrowheads="1"/>
        </xdr:cNvPicPr>
      </xdr:nvPicPr>
      <xdr:blipFill>
        <a:blip xmlns:r="http://schemas.openxmlformats.org/officeDocument/2006/relationships" r:embed="rId16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345</xdr:row>
      <xdr:rowOff>38100</xdr:rowOff>
    </xdr:from>
    <xdr:to>
      <xdr:col>2</xdr:col>
      <xdr:colOff>586740</xdr:colOff>
      <xdr:row>345</xdr:row>
      <xdr:rowOff>586740</xdr:rowOff>
    </xdr:to>
    <xdr:pic>
      <xdr:nvPicPr>
        <xdr:cNvPr id="1192" name="Picture 168">
          <a:extLst>
            <a:ext uri="{FF2B5EF4-FFF2-40B4-BE49-F238E27FC236}">
              <a16:creationId xmlns:a16="http://schemas.microsoft.com/office/drawing/2014/main" id="{00000000-0008-0000-0000-0000A8040000}"/>
            </a:ext>
          </a:extLst>
        </xdr:cNvPr>
        <xdr:cNvPicPr>
          <a:picLocks noChangeAspect="1" noChangeArrowheads="1"/>
        </xdr:cNvPicPr>
      </xdr:nvPicPr>
      <xdr:blipFill>
        <a:blip xmlns:r="http://schemas.openxmlformats.org/officeDocument/2006/relationships" r:embed="rId168" cstate="print"/>
        <a:srcRect/>
        <a:stretch>
          <a:fillRect/>
        </a:stretch>
      </xdr:blipFill>
      <xdr:spPr bwMode="auto">
        <a:xfrm>
          <a:off x="0" y="0"/>
          <a:ext cx="548640" cy="548640"/>
        </a:xfrm>
        <a:prstGeom prst="rect">
          <a:avLst/>
        </a:prstGeom>
        <a:noFill/>
      </xdr:spPr>
    </xdr:pic>
    <xdr:clientData/>
  </xdr:twoCellAnchor>
  <xdr:twoCellAnchor editAs="oneCell">
    <xdr:from>
      <xdr:col>2</xdr:col>
      <xdr:colOff>38100</xdr:colOff>
      <xdr:row>346</xdr:row>
      <xdr:rowOff>38100</xdr:rowOff>
    </xdr:from>
    <xdr:to>
      <xdr:col>2</xdr:col>
      <xdr:colOff>769620</xdr:colOff>
      <xdr:row>346</xdr:row>
      <xdr:rowOff>769620</xdr:rowOff>
    </xdr:to>
    <xdr:pic>
      <xdr:nvPicPr>
        <xdr:cNvPr id="1193" name="Picture 169">
          <a:extLst>
            <a:ext uri="{FF2B5EF4-FFF2-40B4-BE49-F238E27FC236}">
              <a16:creationId xmlns:a16="http://schemas.microsoft.com/office/drawing/2014/main" id="{00000000-0008-0000-0000-0000A9040000}"/>
            </a:ext>
          </a:extLst>
        </xdr:cNvPr>
        <xdr:cNvPicPr>
          <a:picLocks noChangeAspect="1" noChangeArrowheads="1"/>
        </xdr:cNvPicPr>
      </xdr:nvPicPr>
      <xdr:blipFill>
        <a:blip xmlns:r="http://schemas.openxmlformats.org/officeDocument/2006/relationships" r:embed="rId169"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347</xdr:row>
      <xdr:rowOff>38100</xdr:rowOff>
    </xdr:from>
    <xdr:to>
      <xdr:col>2</xdr:col>
      <xdr:colOff>586740</xdr:colOff>
      <xdr:row>347</xdr:row>
      <xdr:rowOff>586740</xdr:rowOff>
    </xdr:to>
    <xdr:pic>
      <xdr:nvPicPr>
        <xdr:cNvPr id="1194" name="Picture 170">
          <a:extLst>
            <a:ext uri="{FF2B5EF4-FFF2-40B4-BE49-F238E27FC236}">
              <a16:creationId xmlns:a16="http://schemas.microsoft.com/office/drawing/2014/main" id="{00000000-0008-0000-0000-0000AA040000}"/>
            </a:ext>
          </a:extLst>
        </xdr:cNvPr>
        <xdr:cNvPicPr>
          <a:picLocks noChangeAspect="1" noChangeArrowheads="1"/>
        </xdr:cNvPicPr>
      </xdr:nvPicPr>
      <xdr:blipFill>
        <a:blip xmlns:r="http://schemas.openxmlformats.org/officeDocument/2006/relationships" r:embed="rId170" cstate="print"/>
        <a:srcRect/>
        <a:stretch>
          <a:fillRect/>
        </a:stretch>
      </xdr:blipFill>
      <xdr:spPr bwMode="auto">
        <a:xfrm>
          <a:off x="0" y="0"/>
          <a:ext cx="548640" cy="548640"/>
        </a:xfrm>
        <a:prstGeom prst="rect">
          <a:avLst/>
        </a:prstGeom>
        <a:noFill/>
      </xdr:spPr>
    </xdr:pic>
    <xdr:clientData/>
  </xdr:twoCellAnchor>
  <xdr:twoCellAnchor editAs="oneCell">
    <xdr:from>
      <xdr:col>2</xdr:col>
      <xdr:colOff>38100</xdr:colOff>
      <xdr:row>349</xdr:row>
      <xdr:rowOff>38100</xdr:rowOff>
    </xdr:from>
    <xdr:to>
      <xdr:col>2</xdr:col>
      <xdr:colOff>1181100</xdr:colOff>
      <xdr:row>349</xdr:row>
      <xdr:rowOff>1181100</xdr:rowOff>
    </xdr:to>
    <xdr:pic>
      <xdr:nvPicPr>
        <xdr:cNvPr id="1195" name="Picture 171">
          <a:extLst>
            <a:ext uri="{FF2B5EF4-FFF2-40B4-BE49-F238E27FC236}">
              <a16:creationId xmlns:a16="http://schemas.microsoft.com/office/drawing/2014/main" id="{00000000-0008-0000-0000-0000AB040000}"/>
            </a:ext>
          </a:extLst>
        </xdr:cNvPr>
        <xdr:cNvPicPr>
          <a:picLocks noChangeAspect="1" noChangeArrowheads="1"/>
        </xdr:cNvPicPr>
      </xdr:nvPicPr>
      <xdr:blipFill>
        <a:blip xmlns:r="http://schemas.openxmlformats.org/officeDocument/2006/relationships" r:embed="rId17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351</xdr:row>
      <xdr:rowOff>38100</xdr:rowOff>
    </xdr:from>
    <xdr:to>
      <xdr:col>2</xdr:col>
      <xdr:colOff>714375</xdr:colOff>
      <xdr:row>351</xdr:row>
      <xdr:rowOff>1181100</xdr:rowOff>
    </xdr:to>
    <xdr:pic>
      <xdr:nvPicPr>
        <xdr:cNvPr id="1196" name="Picture 172">
          <a:extLst>
            <a:ext uri="{FF2B5EF4-FFF2-40B4-BE49-F238E27FC236}">
              <a16:creationId xmlns:a16="http://schemas.microsoft.com/office/drawing/2014/main" id="{00000000-0008-0000-0000-0000AC040000}"/>
            </a:ext>
          </a:extLst>
        </xdr:cNvPr>
        <xdr:cNvPicPr>
          <a:picLocks noChangeAspect="1" noChangeArrowheads="1"/>
        </xdr:cNvPicPr>
      </xdr:nvPicPr>
      <xdr:blipFill>
        <a:blip xmlns:r="http://schemas.openxmlformats.org/officeDocument/2006/relationships" r:embed="rId172" cstate="print"/>
        <a:srcRect/>
        <a:stretch>
          <a:fillRect/>
        </a:stretch>
      </xdr:blipFill>
      <xdr:spPr bwMode="auto">
        <a:xfrm>
          <a:off x="0" y="0"/>
          <a:ext cx="676275" cy="1143000"/>
        </a:xfrm>
        <a:prstGeom prst="rect">
          <a:avLst/>
        </a:prstGeom>
        <a:noFill/>
      </xdr:spPr>
    </xdr:pic>
    <xdr:clientData/>
  </xdr:twoCellAnchor>
  <xdr:twoCellAnchor editAs="oneCell">
    <xdr:from>
      <xdr:col>2</xdr:col>
      <xdr:colOff>38100</xdr:colOff>
      <xdr:row>352</xdr:row>
      <xdr:rowOff>38100</xdr:rowOff>
    </xdr:from>
    <xdr:to>
      <xdr:col>2</xdr:col>
      <xdr:colOff>1181100</xdr:colOff>
      <xdr:row>352</xdr:row>
      <xdr:rowOff>1181100</xdr:rowOff>
    </xdr:to>
    <xdr:pic>
      <xdr:nvPicPr>
        <xdr:cNvPr id="1197" name="Picture 173">
          <a:extLst>
            <a:ext uri="{FF2B5EF4-FFF2-40B4-BE49-F238E27FC236}">
              <a16:creationId xmlns:a16="http://schemas.microsoft.com/office/drawing/2014/main" id="{00000000-0008-0000-0000-0000AD040000}"/>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353</xdr:row>
      <xdr:rowOff>38100</xdr:rowOff>
    </xdr:from>
    <xdr:to>
      <xdr:col>2</xdr:col>
      <xdr:colOff>752475</xdr:colOff>
      <xdr:row>353</xdr:row>
      <xdr:rowOff>1181100</xdr:rowOff>
    </xdr:to>
    <xdr:pic>
      <xdr:nvPicPr>
        <xdr:cNvPr id="1198" name="Picture 174">
          <a:extLst>
            <a:ext uri="{FF2B5EF4-FFF2-40B4-BE49-F238E27FC236}">
              <a16:creationId xmlns:a16="http://schemas.microsoft.com/office/drawing/2014/main" id="{00000000-0008-0000-0000-0000AE040000}"/>
            </a:ext>
          </a:extLst>
        </xdr:cNvPr>
        <xdr:cNvPicPr>
          <a:picLocks noChangeAspect="1" noChangeArrowheads="1"/>
        </xdr:cNvPicPr>
      </xdr:nvPicPr>
      <xdr:blipFill>
        <a:blip xmlns:r="http://schemas.openxmlformats.org/officeDocument/2006/relationships" r:embed="rId174" cstate="print"/>
        <a:srcRect/>
        <a:stretch>
          <a:fillRect/>
        </a:stretch>
      </xdr:blipFill>
      <xdr:spPr bwMode="auto">
        <a:xfrm>
          <a:off x="0" y="0"/>
          <a:ext cx="714375" cy="1143000"/>
        </a:xfrm>
        <a:prstGeom prst="rect">
          <a:avLst/>
        </a:prstGeom>
        <a:noFill/>
      </xdr:spPr>
    </xdr:pic>
    <xdr:clientData/>
  </xdr:twoCellAnchor>
  <xdr:twoCellAnchor editAs="oneCell">
    <xdr:from>
      <xdr:col>2</xdr:col>
      <xdr:colOff>38100</xdr:colOff>
      <xdr:row>354</xdr:row>
      <xdr:rowOff>38100</xdr:rowOff>
    </xdr:from>
    <xdr:to>
      <xdr:col>2</xdr:col>
      <xdr:colOff>1181100</xdr:colOff>
      <xdr:row>354</xdr:row>
      <xdr:rowOff>419100</xdr:rowOff>
    </xdr:to>
    <xdr:pic>
      <xdr:nvPicPr>
        <xdr:cNvPr id="1199" name="Picture 175">
          <a:extLst>
            <a:ext uri="{FF2B5EF4-FFF2-40B4-BE49-F238E27FC236}">
              <a16:creationId xmlns:a16="http://schemas.microsoft.com/office/drawing/2014/main" id="{00000000-0008-0000-0000-0000AF040000}"/>
            </a:ext>
          </a:extLst>
        </xdr:cNvPr>
        <xdr:cNvPicPr>
          <a:picLocks noChangeAspect="1" noChangeArrowheads="1"/>
        </xdr:cNvPicPr>
      </xdr:nvPicPr>
      <xdr:blipFill>
        <a:blip xmlns:r="http://schemas.openxmlformats.org/officeDocument/2006/relationships" r:embed="rId175" cstate="print"/>
        <a:srcRect/>
        <a:stretch>
          <a:fillRect/>
        </a:stretch>
      </xdr:blipFill>
      <xdr:spPr bwMode="auto">
        <a:xfrm>
          <a:off x="0" y="0"/>
          <a:ext cx="1143000" cy="381000"/>
        </a:xfrm>
        <a:prstGeom prst="rect">
          <a:avLst/>
        </a:prstGeom>
        <a:noFill/>
      </xdr:spPr>
    </xdr:pic>
    <xdr:clientData/>
  </xdr:twoCellAnchor>
  <xdr:twoCellAnchor editAs="oneCell">
    <xdr:from>
      <xdr:col>2</xdr:col>
      <xdr:colOff>38100</xdr:colOff>
      <xdr:row>355</xdr:row>
      <xdr:rowOff>38100</xdr:rowOff>
    </xdr:from>
    <xdr:to>
      <xdr:col>2</xdr:col>
      <xdr:colOff>109766100</xdr:colOff>
      <xdr:row>355</xdr:row>
      <xdr:rowOff>96964500</xdr:rowOff>
    </xdr:to>
    <xdr:pic>
      <xdr:nvPicPr>
        <xdr:cNvPr id="1200" name="Picture 176">
          <a:extLst>
            <a:ext uri="{FF2B5EF4-FFF2-40B4-BE49-F238E27FC236}">
              <a16:creationId xmlns:a16="http://schemas.microsoft.com/office/drawing/2014/main" id="{00000000-0008-0000-0000-0000B0040000}"/>
            </a:ext>
          </a:extLst>
        </xdr:cNvPr>
        <xdr:cNvPicPr>
          <a:picLocks noChangeAspect="1" noChangeArrowheads="1"/>
        </xdr:cNvPicPr>
      </xdr:nvPicPr>
      <xdr:blipFill>
        <a:blip xmlns:r="http://schemas.openxmlformats.org/officeDocument/2006/relationships" r:embed="rId176" cstate="print"/>
        <a:srcRect/>
        <a:stretch>
          <a:fillRect/>
        </a:stretch>
      </xdr:blipFill>
      <xdr:spPr bwMode="auto">
        <a:xfrm>
          <a:off x="0" y="0"/>
          <a:ext cx="109728000" cy="96926400"/>
        </a:xfrm>
        <a:prstGeom prst="rect">
          <a:avLst/>
        </a:prstGeom>
        <a:noFill/>
      </xdr:spPr>
    </xdr:pic>
    <xdr:clientData/>
  </xdr:twoCellAnchor>
  <xdr:twoCellAnchor editAs="oneCell">
    <xdr:from>
      <xdr:col>2</xdr:col>
      <xdr:colOff>38100</xdr:colOff>
      <xdr:row>361</xdr:row>
      <xdr:rowOff>38100</xdr:rowOff>
    </xdr:from>
    <xdr:to>
      <xdr:col>2</xdr:col>
      <xdr:colOff>866775</xdr:colOff>
      <xdr:row>361</xdr:row>
      <xdr:rowOff>1181100</xdr:rowOff>
    </xdr:to>
    <xdr:pic>
      <xdr:nvPicPr>
        <xdr:cNvPr id="1201" name="Picture 177">
          <a:extLst>
            <a:ext uri="{FF2B5EF4-FFF2-40B4-BE49-F238E27FC236}">
              <a16:creationId xmlns:a16="http://schemas.microsoft.com/office/drawing/2014/main" id="{00000000-0008-0000-0000-0000B1040000}"/>
            </a:ext>
          </a:extLst>
        </xdr:cNvPr>
        <xdr:cNvPicPr>
          <a:picLocks noChangeAspect="1" noChangeArrowheads="1"/>
        </xdr:cNvPicPr>
      </xdr:nvPicPr>
      <xdr:blipFill>
        <a:blip xmlns:r="http://schemas.openxmlformats.org/officeDocument/2006/relationships" r:embed="rId177" cstate="print"/>
        <a:srcRect/>
        <a:stretch>
          <a:fillRect/>
        </a:stretch>
      </xdr:blipFill>
      <xdr:spPr bwMode="auto">
        <a:xfrm>
          <a:off x="0" y="0"/>
          <a:ext cx="828675" cy="1143000"/>
        </a:xfrm>
        <a:prstGeom prst="rect">
          <a:avLst/>
        </a:prstGeom>
        <a:noFill/>
      </xdr:spPr>
    </xdr:pic>
    <xdr:clientData/>
  </xdr:twoCellAnchor>
  <xdr:twoCellAnchor editAs="oneCell">
    <xdr:from>
      <xdr:col>2</xdr:col>
      <xdr:colOff>38100</xdr:colOff>
      <xdr:row>368</xdr:row>
      <xdr:rowOff>38100</xdr:rowOff>
    </xdr:from>
    <xdr:to>
      <xdr:col>2</xdr:col>
      <xdr:colOff>1181100</xdr:colOff>
      <xdr:row>368</xdr:row>
      <xdr:rowOff>1076325</xdr:rowOff>
    </xdr:to>
    <xdr:pic>
      <xdr:nvPicPr>
        <xdr:cNvPr id="1202" name="Picture 178">
          <a:extLst>
            <a:ext uri="{FF2B5EF4-FFF2-40B4-BE49-F238E27FC236}">
              <a16:creationId xmlns:a16="http://schemas.microsoft.com/office/drawing/2014/main" id="{00000000-0008-0000-0000-0000B2040000}"/>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0" y="0"/>
          <a:ext cx="1143000" cy="1038225"/>
        </a:xfrm>
        <a:prstGeom prst="rect">
          <a:avLst/>
        </a:prstGeom>
        <a:noFill/>
      </xdr:spPr>
    </xdr:pic>
    <xdr:clientData/>
  </xdr:twoCellAnchor>
  <xdr:twoCellAnchor editAs="oneCell">
    <xdr:from>
      <xdr:col>2</xdr:col>
      <xdr:colOff>38100</xdr:colOff>
      <xdr:row>369</xdr:row>
      <xdr:rowOff>38100</xdr:rowOff>
    </xdr:from>
    <xdr:to>
      <xdr:col>2</xdr:col>
      <xdr:colOff>1181100</xdr:colOff>
      <xdr:row>369</xdr:row>
      <xdr:rowOff>762000</xdr:rowOff>
    </xdr:to>
    <xdr:pic>
      <xdr:nvPicPr>
        <xdr:cNvPr id="1203" name="Picture 179">
          <a:extLst>
            <a:ext uri="{FF2B5EF4-FFF2-40B4-BE49-F238E27FC236}">
              <a16:creationId xmlns:a16="http://schemas.microsoft.com/office/drawing/2014/main" id="{00000000-0008-0000-0000-0000B3040000}"/>
            </a:ext>
          </a:extLst>
        </xdr:cNvPr>
        <xdr:cNvPicPr>
          <a:picLocks noChangeAspect="1" noChangeArrowheads="1"/>
        </xdr:cNvPicPr>
      </xdr:nvPicPr>
      <xdr:blipFill>
        <a:blip xmlns:r="http://schemas.openxmlformats.org/officeDocument/2006/relationships" r:embed="rId179" cstate="print"/>
        <a:srcRect/>
        <a:stretch>
          <a:fillRect/>
        </a:stretch>
      </xdr:blipFill>
      <xdr:spPr bwMode="auto">
        <a:xfrm>
          <a:off x="0" y="0"/>
          <a:ext cx="1143000" cy="723900"/>
        </a:xfrm>
        <a:prstGeom prst="rect">
          <a:avLst/>
        </a:prstGeom>
        <a:noFill/>
      </xdr:spPr>
    </xdr:pic>
    <xdr:clientData/>
  </xdr:twoCellAnchor>
  <xdr:twoCellAnchor editAs="oneCell">
    <xdr:from>
      <xdr:col>2</xdr:col>
      <xdr:colOff>38100</xdr:colOff>
      <xdr:row>370</xdr:row>
      <xdr:rowOff>38100</xdr:rowOff>
    </xdr:from>
    <xdr:to>
      <xdr:col>2</xdr:col>
      <xdr:colOff>1181100</xdr:colOff>
      <xdr:row>370</xdr:row>
      <xdr:rowOff>1181100</xdr:rowOff>
    </xdr:to>
    <xdr:pic>
      <xdr:nvPicPr>
        <xdr:cNvPr id="1204" name="Picture 180">
          <a:extLst>
            <a:ext uri="{FF2B5EF4-FFF2-40B4-BE49-F238E27FC236}">
              <a16:creationId xmlns:a16="http://schemas.microsoft.com/office/drawing/2014/main" id="{00000000-0008-0000-0000-0000B4040000}"/>
            </a:ext>
          </a:extLst>
        </xdr:cNvPr>
        <xdr:cNvPicPr>
          <a:picLocks noChangeAspect="1" noChangeArrowheads="1"/>
        </xdr:cNvPicPr>
      </xdr:nvPicPr>
      <xdr:blipFill>
        <a:blip xmlns:r="http://schemas.openxmlformats.org/officeDocument/2006/relationships" r:embed="rId18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371</xdr:row>
      <xdr:rowOff>38100</xdr:rowOff>
    </xdr:from>
    <xdr:to>
      <xdr:col>2</xdr:col>
      <xdr:colOff>1181100</xdr:colOff>
      <xdr:row>371</xdr:row>
      <xdr:rowOff>1181100</xdr:rowOff>
    </xdr:to>
    <xdr:pic>
      <xdr:nvPicPr>
        <xdr:cNvPr id="1205" name="Picture 181">
          <a:extLst>
            <a:ext uri="{FF2B5EF4-FFF2-40B4-BE49-F238E27FC236}">
              <a16:creationId xmlns:a16="http://schemas.microsoft.com/office/drawing/2014/main" id="{00000000-0008-0000-0000-0000B5040000}"/>
            </a:ext>
          </a:extLst>
        </xdr:cNvPr>
        <xdr:cNvPicPr>
          <a:picLocks noChangeAspect="1" noChangeArrowheads="1"/>
        </xdr:cNvPicPr>
      </xdr:nvPicPr>
      <xdr:blipFill>
        <a:blip xmlns:r="http://schemas.openxmlformats.org/officeDocument/2006/relationships" r:embed="rId18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372</xdr:row>
      <xdr:rowOff>38100</xdr:rowOff>
    </xdr:from>
    <xdr:to>
      <xdr:col>2</xdr:col>
      <xdr:colOff>769620</xdr:colOff>
      <xdr:row>372</xdr:row>
      <xdr:rowOff>556260</xdr:rowOff>
    </xdr:to>
    <xdr:pic>
      <xdr:nvPicPr>
        <xdr:cNvPr id="1206" name="Picture 182">
          <a:extLst>
            <a:ext uri="{FF2B5EF4-FFF2-40B4-BE49-F238E27FC236}">
              <a16:creationId xmlns:a16="http://schemas.microsoft.com/office/drawing/2014/main" id="{00000000-0008-0000-0000-0000B6040000}"/>
            </a:ext>
          </a:extLst>
        </xdr:cNvPr>
        <xdr:cNvPicPr>
          <a:picLocks noChangeAspect="1" noChangeArrowheads="1"/>
        </xdr:cNvPicPr>
      </xdr:nvPicPr>
      <xdr:blipFill>
        <a:blip xmlns:r="http://schemas.openxmlformats.org/officeDocument/2006/relationships" r:embed="rId182" cstate="print"/>
        <a:srcRect/>
        <a:stretch>
          <a:fillRect/>
        </a:stretch>
      </xdr:blipFill>
      <xdr:spPr bwMode="auto">
        <a:xfrm>
          <a:off x="0" y="0"/>
          <a:ext cx="731520" cy="518160"/>
        </a:xfrm>
        <a:prstGeom prst="rect">
          <a:avLst/>
        </a:prstGeom>
        <a:noFill/>
      </xdr:spPr>
    </xdr:pic>
    <xdr:clientData/>
  </xdr:twoCellAnchor>
  <xdr:twoCellAnchor editAs="oneCell">
    <xdr:from>
      <xdr:col>2</xdr:col>
      <xdr:colOff>38100</xdr:colOff>
      <xdr:row>373</xdr:row>
      <xdr:rowOff>38100</xdr:rowOff>
    </xdr:from>
    <xdr:to>
      <xdr:col>2</xdr:col>
      <xdr:colOff>403860</xdr:colOff>
      <xdr:row>373</xdr:row>
      <xdr:rowOff>156972</xdr:rowOff>
    </xdr:to>
    <xdr:pic>
      <xdr:nvPicPr>
        <xdr:cNvPr id="1207" name="Picture 183">
          <a:extLst>
            <a:ext uri="{FF2B5EF4-FFF2-40B4-BE49-F238E27FC236}">
              <a16:creationId xmlns:a16="http://schemas.microsoft.com/office/drawing/2014/main" id="{00000000-0008-0000-0000-0000B7040000}"/>
            </a:ext>
          </a:extLst>
        </xdr:cNvPr>
        <xdr:cNvPicPr>
          <a:picLocks noChangeAspect="1" noChangeArrowheads="1"/>
        </xdr:cNvPicPr>
      </xdr:nvPicPr>
      <xdr:blipFill>
        <a:blip xmlns:r="http://schemas.openxmlformats.org/officeDocument/2006/relationships" r:embed="rId183" cstate="print"/>
        <a:srcRect/>
        <a:stretch>
          <a:fillRect/>
        </a:stretch>
      </xdr:blipFill>
      <xdr:spPr bwMode="auto">
        <a:xfrm>
          <a:off x="0" y="0"/>
          <a:ext cx="365760" cy="118872"/>
        </a:xfrm>
        <a:prstGeom prst="rect">
          <a:avLst/>
        </a:prstGeom>
        <a:noFill/>
      </xdr:spPr>
    </xdr:pic>
    <xdr:clientData/>
  </xdr:twoCellAnchor>
  <xdr:twoCellAnchor editAs="oneCell">
    <xdr:from>
      <xdr:col>2</xdr:col>
      <xdr:colOff>38100</xdr:colOff>
      <xdr:row>375</xdr:row>
      <xdr:rowOff>38100</xdr:rowOff>
    </xdr:from>
    <xdr:to>
      <xdr:col>2</xdr:col>
      <xdr:colOff>1181100</xdr:colOff>
      <xdr:row>375</xdr:row>
      <xdr:rowOff>762000</xdr:rowOff>
    </xdr:to>
    <xdr:pic>
      <xdr:nvPicPr>
        <xdr:cNvPr id="1208" name="Picture 184">
          <a:extLst>
            <a:ext uri="{FF2B5EF4-FFF2-40B4-BE49-F238E27FC236}">
              <a16:creationId xmlns:a16="http://schemas.microsoft.com/office/drawing/2014/main" id="{00000000-0008-0000-0000-0000B8040000}"/>
            </a:ext>
          </a:extLst>
        </xdr:cNvPr>
        <xdr:cNvPicPr>
          <a:picLocks noChangeAspect="1" noChangeArrowheads="1"/>
        </xdr:cNvPicPr>
      </xdr:nvPicPr>
      <xdr:blipFill>
        <a:blip xmlns:r="http://schemas.openxmlformats.org/officeDocument/2006/relationships" r:embed="rId184" cstate="print"/>
        <a:srcRect/>
        <a:stretch>
          <a:fillRect/>
        </a:stretch>
      </xdr:blipFill>
      <xdr:spPr bwMode="auto">
        <a:xfrm>
          <a:off x="0" y="0"/>
          <a:ext cx="1143000" cy="723900"/>
        </a:xfrm>
        <a:prstGeom prst="rect">
          <a:avLst/>
        </a:prstGeom>
        <a:noFill/>
      </xdr:spPr>
    </xdr:pic>
    <xdr:clientData/>
  </xdr:twoCellAnchor>
  <xdr:twoCellAnchor editAs="oneCell">
    <xdr:from>
      <xdr:col>2</xdr:col>
      <xdr:colOff>38100</xdr:colOff>
      <xdr:row>376</xdr:row>
      <xdr:rowOff>38100</xdr:rowOff>
    </xdr:from>
    <xdr:to>
      <xdr:col>2</xdr:col>
      <xdr:colOff>1181100</xdr:colOff>
      <xdr:row>376</xdr:row>
      <xdr:rowOff>1181100</xdr:rowOff>
    </xdr:to>
    <xdr:pic>
      <xdr:nvPicPr>
        <xdr:cNvPr id="1209" name="Picture 185">
          <a:extLst>
            <a:ext uri="{FF2B5EF4-FFF2-40B4-BE49-F238E27FC236}">
              <a16:creationId xmlns:a16="http://schemas.microsoft.com/office/drawing/2014/main" id="{00000000-0008-0000-0000-0000B9040000}"/>
            </a:ext>
          </a:extLst>
        </xdr:cNvPr>
        <xdr:cNvPicPr>
          <a:picLocks noChangeAspect="1" noChangeArrowheads="1"/>
        </xdr:cNvPicPr>
      </xdr:nvPicPr>
      <xdr:blipFill>
        <a:blip xmlns:r="http://schemas.openxmlformats.org/officeDocument/2006/relationships" r:embed="rId185"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378</xdr:row>
      <xdr:rowOff>38100</xdr:rowOff>
    </xdr:from>
    <xdr:to>
      <xdr:col>2</xdr:col>
      <xdr:colOff>822960</xdr:colOff>
      <xdr:row>378</xdr:row>
      <xdr:rowOff>952500</xdr:rowOff>
    </xdr:to>
    <xdr:pic>
      <xdr:nvPicPr>
        <xdr:cNvPr id="1210" name="Picture 186">
          <a:extLst>
            <a:ext uri="{FF2B5EF4-FFF2-40B4-BE49-F238E27FC236}">
              <a16:creationId xmlns:a16="http://schemas.microsoft.com/office/drawing/2014/main" id="{00000000-0008-0000-0000-0000BA040000}"/>
            </a:ext>
          </a:extLst>
        </xdr:cNvPr>
        <xdr:cNvPicPr>
          <a:picLocks noChangeAspect="1" noChangeArrowheads="1"/>
        </xdr:cNvPicPr>
      </xdr:nvPicPr>
      <xdr:blipFill>
        <a:blip xmlns:r="http://schemas.openxmlformats.org/officeDocument/2006/relationships" r:embed="rId186" cstate="print"/>
        <a:srcRect/>
        <a:stretch>
          <a:fillRect/>
        </a:stretch>
      </xdr:blipFill>
      <xdr:spPr bwMode="auto">
        <a:xfrm>
          <a:off x="0" y="0"/>
          <a:ext cx="784860" cy="914400"/>
        </a:xfrm>
        <a:prstGeom prst="rect">
          <a:avLst/>
        </a:prstGeom>
        <a:noFill/>
      </xdr:spPr>
    </xdr:pic>
    <xdr:clientData/>
  </xdr:twoCellAnchor>
  <xdr:twoCellAnchor editAs="oneCell">
    <xdr:from>
      <xdr:col>2</xdr:col>
      <xdr:colOff>38100</xdr:colOff>
      <xdr:row>380</xdr:row>
      <xdr:rowOff>38100</xdr:rowOff>
    </xdr:from>
    <xdr:to>
      <xdr:col>2</xdr:col>
      <xdr:colOff>403860</xdr:colOff>
      <xdr:row>380</xdr:row>
      <xdr:rowOff>178308</xdr:rowOff>
    </xdr:to>
    <xdr:pic>
      <xdr:nvPicPr>
        <xdr:cNvPr id="1211" name="Picture 187">
          <a:extLst>
            <a:ext uri="{FF2B5EF4-FFF2-40B4-BE49-F238E27FC236}">
              <a16:creationId xmlns:a16="http://schemas.microsoft.com/office/drawing/2014/main" id="{00000000-0008-0000-0000-0000BB040000}"/>
            </a:ext>
          </a:extLst>
        </xdr:cNvPr>
        <xdr:cNvPicPr>
          <a:picLocks noChangeAspect="1" noChangeArrowheads="1"/>
        </xdr:cNvPicPr>
      </xdr:nvPicPr>
      <xdr:blipFill>
        <a:blip xmlns:r="http://schemas.openxmlformats.org/officeDocument/2006/relationships" r:embed="rId187" cstate="print"/>
        <a:srcRect/>
        <a:stretch>
          <a:fillRect/>
        </a:stretch>
      </xdr:blipFill>
      <xdr:spPr bwMode="auto">
        <a:xfrm>
          <a:off x="0" y="0"/>
          <a:ext cx="365760" cy="140208"/>
        </a:xfrm>
        <a:prstGeom prst="rect">
          <a:avLst/>
        </a:prstGeom>
        <a:noFill/>
      </xdr:spPr>
    </xdr:pic>
    <xdr:clientData/>
  </xdr:twoCellAnchor>
  <xdr:twoCellAnchor editAs="oneCell">
    <xdr:from>
      <xdr:col>2</xdr:col>
      <xdr:colOff>38100</xdr:colOff>
      <xdr:row>381</xdr:row>
      <xdr:rowOff>38100</xdr:rowOff>
    </xdr:from>
    <xdr:to>
      <xdr:col>2</xdr:col>
      <xdr:colOff>403860</xdr:colOff>
      <xdr:row>381</xdr:row>
      <xdr:rowOff>169164</xdr:rowOff>
    </xdr:to>
    <xdr:pic>
      <xdr:nvPicPr>
        <xdr:cNvPr id="1212" name="Picture 188">
          <a:extLst>
            <a:ext uri="{FF2B5EF4-FFF2-40B4-BE49-F238E27FC236}">
              <a16:creationId xmlns:a16="http://schemas.microsoft.com/office/drawing/2014/main" id="{00000000-0008-0000-0000-0000BC040000}"/>
            </a:ext>
          </a:extLst>
        </xdr:cNvPr>
        <xdr:cNvPicPr>
          <a:picLocks noChangeAspect="1" noChangeArrowheads="1"/>
        </xdr:cNvPicPr>
      </xdr:nvPicPr>
      <xdr:blipFill>
        <a:blip xmlns:r="http://schemas.openxmlformats.org/officeDocument/2006/relationships" r:embed="rId188" cstate="print"/>
        <a:srcRect/>
        <a:stretch>
          <a:fillRect/>
        </a:stretch>
      </xdr:blipFill>
      <xdr:spPr bwMode="auto">
        <a:xfrm>
          <a:off x="0" y="0"/>
          <a:ext cx="365760" cy="131064"/>
        </a:xfrm>
        <a:prstGeom prst="rect">
          <a:avLst/>
        </a:prstGeom>
        <a:noFill/>
      </xdr:spPr>
    </xdr:pic>
    <xdr:clientData/>
  </xdr:twoCellAnchor>
  <xdr:twoCellAnchor editAs="oneCell">
    <xdr:from>
      <xdr:col>2</xdr:col>
      <xdr:colOff>38100</xdr:colOff>
      <xdr:row>385</xdr:row>
      <xdr:rowOff>38100</xdr:rowOff>
    </xdr:from>
    <xdr:to>
      <xdr:col>2</xdr:col>
      <xdr:colOff>556260</xdr:colOff>
      <xdr:row>385</xdr:row>
      <xdr:rowOff>769620</xdr:rowOff>
    </xdr:to>
    <xdr:pic>
      <xdr:nvPicPr>
        <xdr:cNvPr id="1213" name="Picture 189">
          <a:extLst>
            <a:ext uri="{FF2B5EF4-FFF2-40B4-BE49-F238E27FC236}">
              <a16:creationId xmlns:a16="http://schemas.microsoft.com/office/drawing/2014/main" id="{00000000-0008-0000-0000-0000BD040000}"/>
            </a:ext>
          </a:extLst>
        </xdr:cNvPr>
        <xdr:cNvPicPr>
          <a:picLocks noChangeAspect="1" noChangeArrowheads="1"/>
        </xdr:cNvPicPr>
      </xdr:nvPicPr>
      <xdr:blipFill>
        <a:blip xmlns:r="http://schemas.openxmlformats.org/officeDocument/2006/relationships" r:embed="rId189" cstate="print"/>
        <a:srcRect/>
        <a:stretch>
          <a:fillRect/>
        </a:stretch>
      </xdr:blipFill>
      <xdr:spPr bwMode="auto">
        <a:xfrm>
          <a:off x="0" y="0"/>
          <a:ext cx="518160" cy="731520"/>
        </a:xfrm>
        <a:prstGeom prst="rect">
          <a:avLst/>
        </a:prstGeom>
        <a:noFill/>
      </xdr:spPr>
    </xdr:pic>
    <xdr:clientData/>
  </xdr:twoCellAnchor>
  <xdr:twoCellAnchor editAs="oneCell">
    <xdr:from>
      <xdr:col>2</xdr:col>
      <xdr:colOff>38100</xdr:colOff>
      <xdr:row>390</xdr:row>
      <xdr:rowOff>38100</xdr:rowOff>
    </xdr:from>
    <xdr:to>
      <xdr:col>2</xdr:col>
      <xdr:colOff>1181100</xdr:colOff>
      <xdr:row>390</xdr:row>
      <xdr:rowOff>1181100</xdr:rowOff>
    </xdr:to>
    <xdr:pic>
      <xdr:nvPicPr>
        <xdr:cNvPr id="1214" name="Picture 190">
          <a:extLst>
            <a:ext uri="{FF2B5EF4-FFF2-40B4-BE49-F238E27FC236}">
              <a16:creationId xmlns:a16="http://schemas.microsoft.com/office/drawing/2014/main" id="{00000000-0008-0000-0000-0000BE040000}"/>
            </a:ext>
          </a:extLst>
        </xdr:cNvPr>
        <xdr:cNvPicPr>
          <a:picLocks noChangeAspect="1" noChangeArrowheads="1"/>
        </xdr:cNvPicPr>
      </xdr:nvPicPr>
      <xdr:blipFill>
        <a:blip xmlns:r="http://schemas.openxmlformats.org/officeDocument/2006/relationships" r:embed="rId19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392</xdr:row>
      <xdr:rowOff>38100</xdr:rowOff>
    </xdr:from>
    <xdr:to>
      <xdr:col>2</xdr:col>
      <xdr:colOff>769620</xdr:colOff>
      <xdr:row>392</xdr:row>
      <xdr:rowOff>769620</xdr:rowOff>
    </xdr:to>
    <xdr:pic>
      <xdr:nvPicPr>
        <xdr:cNvPr id="1215" name="Picture 191">
          <a:extLst>
            <a:ext uri="{FF2B5EF4-FFF2-40B4-BE49-F238E27FC236}">
              <a16:creationId xmlns:a16="http://schemas.microsoft.com/office/drawing/2014/main" id="{00000000-0008-0000-0000-0000BF040000}"/>
            </a:ext>
          </a:extLst>
        </xdr:cNvPr>
        <xdr:cNvPicPr>
          <a:picLocks noChangeAspect="1" noChangeArrowheads="1"/>
        </xdr:cNvPicPr>
      </xdr:nvPicPr>
      <xdr:blipFill>
        <a:blip xmlns:r="http://schemas.openxmlformats.org/officeDocument/2006/relationships" r:embed="rId191"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393</xdr:row>
      <xdr:rowOff>38100</xdr:rowOff>
    </xdr:from>
    <xdr:to>
      <xdr:col>2</xdr:col>
      <xdr:colOff>800100</xdr:colOff>
      <xdr:row>393</xdr:row>
      <xdr:rowOff>800100</xdr:rowOff>
    </xdr:to>
    <xdr:pic>
      <xdr:nvPicPr>
        <xdr:cNvPr id="1216" name="Picture 192">
          <a:extLst>
            <a:ext uri="{FF2B5EF4-FFF2-40B4-BE49-F238E27FC236}">
              <a16:creationId xmlns:a16="http://schemas.microsoft.com/office/drawing/2014/main" id="{00000000-0008-0000-0000-0000C0040000}"/>
            </a:ext>
          </a:extLst>
        </xdr:cNvPr>
        <xdr:cNvPicPr>
          <a:picLocks noChangeAspect="1" noChangeArrowheads="1"/>
        </xdr:cNvPicPr>
      </xdr:nvPicPr>
      <xdr:blipFill>
        <a:blip xmlns:r="http://schemas.openxmlformats.org/officeDocument/2006/relationships" r:embed="rId192" cstate="print"/>
        <a:srcRect/>
        <a:stretch>
          <a:fillRect/>
        </a:stretch>
      </xdr:blipFill>
      <xdr:spPr bwMode="auto">
        <a:xfrm>
          <a:off x="0" y="0"/>
          <a:ext cx="762000" cy="762000"/>
        </a:xfrm>
        <a:prstGeom prst="rect">
          <a:avLst/>
        </a:prstGeom>
        <a:noFill/>
      </xdr:spPr>
    </xdr:pic>
    <xdr:clientData/>
  </xdr:twoCellAnchor>
  <xdr:twoCellAnchor editAs="oneCell">
    <xdr:from>
      <xdr:col>2</xdr:col>
      <xdr:colOff>38100</xdr:colOff>
      <xdr:row>404</xdr:row>
      <xdr:rowOff>38100</xdr:rowOff>
    </xdr:from>
    <xdr:to>
      <xdr:col>2</xdr:col>
      <xdr:colOff>1181100</xdr:colOff>
      <xdr:row>404</xdr:row>
      <xdr:rowOff>600075</xdr:rowOff>
    </xdr:to>
    <xdr:pic>
      <xdr:nvPicPr>
        <xdr:cNvPr id="1217" name="Picture 193">
          <a:extLst>
            <a:ext uri="{FF2B5EF4-FFF2-40B4-BE49-F238E27FC236}">
              <a16:creationId xmlns:a16="http://schemas.microsoft.com/office/drawing/2014/main" id="{00000000-0008-0000-0000-0000C1040000}"/>
            </a:ext>
          </a:extLst>
        </xdr:cNvPr>
        <xdr:cNvPicPr>
          <a:picLocks noChangeAspect="1" noChangeArrowheads="1"/>
        </xdr:cNvPicPr>
      </xdr:nvPicPr>
      <xdr:blipFill>
        <a:blip xmlns:r="http://schemas.openxmlformats.org/officeDocument/2006/relationships" r:embed="rId193" cstate="print"/>
        <a:srcRect/>
        <a:stretch>
          <a:fillRect/>
        </a:stretch>
      </xdr:blipFill>
      <xdr:spPr bwMode="auto">
        <a:xfrm>
          <a:off x="0" y="0"/>
          <a:ext cx="1143000" cy="561975"/>
        </a:xfrm>
        <a:prstGeom prst="rect">
          <a:avLst/>
        </a:prstGeom>
        <a:noFill/>
      </xdr:spPr>
    </xdr:pic>
    <xdr:clientData/>
  </xdr:twoCellAnchor>
  <xdr:twoCellAnchor editAs="oneCell">
    <xdr:from>
      <xdr:col>2</xdr:col>
      <xdr:colOff>38100</xdr:colOff>
      <xdr:row>406</xdr:row>
      <xdr:rowOff>38100</xdr:rowOff>
    </xdr:from>
    <xdr:to>
      <xdr:col>2</xdr:col>
      <xdr:colOff>586740</xdr:colOff>
      <xdr:row>406</xdr:row>
      <xdr:rowOff>586740</xdr:rowOff>
    </xdr:to>
    <xdr:pic>
      <xdr:nvPicPr>
        <xdr:cNvPr id="1218" name="Picture 194">
          <a:extLst>
            <a:ext uri="{FF2B5EF4-FFF2-40B4-BE49-F238E27FC236}">
              <a16:creationId xmlns:a16="http://schemas.microsoft.com/office/drawing/2014/main" id="{00000000-0008-0000-0000-0000C2040000}"/>
            </a:ext>
          </a:extLst>
        </xdr:cNvPr>
        <xdr:cNvPicPr>
          <a:picLocks noChangeAspect="1" noChangeArrowheads="1"/>
        </xdr:cNvPicPr>
      </xdr:nvPicPr>
      <xdr:blipFill>
        <a:blip xmlns:r="http://schemas.openxmlformats.org/officeDocument/2006/relationships" r:embed="rId194" cstate="print"/>
        <a:srcRect/>
        <a:stretch>
          <a:fillRect/>
        </a:stretch>
      </xdr:blipFill>
      <xdr:spPr bwMode="auto">
        <a:xfrm>
          <a:off x="0" y="0"/>
          <a:ext cx="548640" cy="548640"/>
        </a:xfrm>
        <a:prstGeom prst="rect">
          <a:avLst/>
        </a:prstGeom>
        <a:noFill/>
      </xdr:spPr>
    </xdr:pic>
    <xdr:clientData/>
  </xdr:twoCellAnchor>
  <xdr:twoCellAnchor editAs="oneCell">
    <xdr:from>
      <xdr:col>2</xdr:col>
      <xdr:colOff>38100</xdr:colOff>
      <xdr:row>412</xdr:row>
      <xdr:rowOff>38100</xdr:rowOff>
    </xdr:from>
    <xdr:to>
      <xdr:col>2</xdr:col>
      <xdr:colOff>1181100</xdr:colOff>
      <xdr:row>412</xdr:row>
      <xdr:rowOff>914400</xdr:rowOff>
    </xdr:to>
    <xdr:pic>
      <xdr:nvPicPr>
        <xdr:cNvPr id="1219" name="Picture 195">
          <a:extLst>
            <a:ext uri="{FF2B5EF4-FFF2-40B4-BE49-F238E27FC236}">
              <a16:creationId xmlns:a16="http://schemas.microsoft.com/office/drawing/2014/main" id="{00000000-0008-0000-0000-0000C3040000}"/>
            </a:ext>
          </a:extLst>
        </xdr:cNvPr>
        <xdr:cNvPicPr>
          <a:picLocks noChangeAspect="1" noChangeArrowheads="1"/>
        </xdr:cNvPicPr>
      </xdr:nvPicPr>
      <xdr:blipFill>
        <a:blip xmlns:r="http://schemas.openxmlformats.org/officeDocument/2006/relationships" r:embed="rId195" cstate="print"/>
        <a:srcRect/>
        <a:stretch>
          <a:fillRect/>
        </a:stretch>
      </xdr:blipFill>
      <xdr:spPr bwMode="auto">
        <a:xfrm>
          <a:off x="0" y="0"/>
          <a:ext cx="1143000" cy="876300"/>
        </a:xfrm>
        <a:prstGeom prst="rect">
          <a:avLst/>
        </a:prstGeom>
        <a:noFill/>
      </xdr:spPr>
    </xdr:pic>
    <xdr:clientData/>
  </xdr:twoCellAnchor>
  <xdr:twoCellAnchor editAs="oneCell">
    <xdr:from>
      <xdr:col>2</xdr:col>
      <xdr:colOff>38100</xdr:colOff>
      <xdr:row>413</xdr:row>
      <xdr:rowOff>38100</xdr:rowOff>
    </xdr:from>
    <xdr:to>
      <xdr:col>2</xdr:col>
      <xdr:colOff>1181100</xdr:colOff>
      <xdr:row>413</xdr:row>
      <xdr:rowOff>304800</xdr:rowOff>
    </xdr:to>
    <xdr:pic>
      <xdr:nvPicPr>
        <xdr:cNvPr id="1220" name="Picture 196">
          <a:extLst>
            <a:ext uri="{FF2B5EF4-FFF2-40B4-BE49-F238E27FC236}">
              <a16:creationId xmlns:a16="http://schemas.microsoft.com/office/drawing/2014/main" id="{00000000-0008-0000-0000-0000C4040000}"/>
            </a:ext>
          </a:extLst>
        </xdr:cNvPr>
        <xdr:cNvPicPr>
          <a:picLocks noChangeAspect="1" noChangeArrowheads="1"/>
        </xdr:cNvPicPr>
      </xdr:nvPicPr>
      <xdr:blipFill>
        <a:blip xmlns:r="http://schemas.openxmlformats.org/officeDocument/2006/relationships" r:embed="rId196" cstate="print"/>
        <a:srcRect/>
        <a:stretch>
          <a:fillRect/>
        </a:stretch>
      </xdr:blipFill>
      <xdr:spPr bwMode="auto">
        <a:xfrm>
          <a:off x="0" y="0"/>
          <a:ext cx="1143000" cy="266700"/>
        </a:xfrm>
        <a:prstGeom prst="rect">
          <a:avLst/>
        </a:prstGeom>
        <a:noFill/>
      </xdr:spPr>
    </xdr:pic>
    <xdr:clientData/>
  </xdr:twoCellAnchor>
  <xdr:twoCellAnchor editAs="oneCell">
    <xdr:from>
      <xdr:col>2</xdr:col>
      <xdr:colOff>38100</xdr:colOff>
      <xdr:row>415</xdr:row>
      <xdr:rowOff>38100</xdr:rowOff>
    </xdr:from>
    <xdr:to>
      <xdr:col>2</xdr:col>
      <xdr:colOff>1181100</xdr:colOff>
      <xdr:row>415</xdr:row>
      <xdr:rowOff>771525</xdr:rowOff>
    </xdr:to>
    <xdr:pic>
      <xdr:nvPicPr>
        <xdr:cNvPr id="1221" name="Picture 197">
          <a:extLst>
            <a:ext uri="{FF2B5EF4-FFF2-40B4-BE49-F238E27FC236}">
              <a16:creationId xmlns:a16="http://schemas.microsoft.com/office/drawing/2014/main" id="{00000000-0008-0000-0000-0000C5040000}"/>
            </a:ext>
          </a:extLst>
        </xdr:cNvPr>
        <xdr:cNvPicPr>
          <a:picLocks noChangeAspect="1" noChangeArrowheads="1"/>
        </xdr:cNvPicPr>
      </xdr:nvPicPr>
      <xdr:blipFill>
        <a:blip xmlns:r="http://schemas.openxmlformats.org/officeDocument/2006/relationships" r:embed="rId197" cstate="print"/>
        <a:srcRect/>
        <a:stretch>
          <a:fillRect/>
        </a:stretch>
      </xdr:blipFill>
      <xdr:spPr bwMode="auto">
        <a:xfrm>
          <a:off x="0" y="0"/>
          <a:ext cx="1143000" cy="733425"/>
        </a:xfrm>
        <a:prstGeom prst="rect">
          <a:avLst/>
        </a:prstGeom>
        <a:noFill/>
      </xdr:spPr>
    </xdr:pic>
    <xdr:clientData/>
  </xdr:twoCellAnchor>
  <xdr:twoCellAnchor editAs="oneCell">
    <xdr:from>
      <xdr:col>2</xdr:col>
      <xdr:colOff>38100</xdr:colOff>
      <xdr:row>416</xdr:row>
      <xdr:rowOff>38100</xdr:rowOff>
    </xdr:from>
    <xdr:to>
      <xdr:col>2</xdr:col>
      <xdr:colOff>1181100</xdr:colOff>
      <xdr:row>416</xdr:row>
      <xdr:rowOff>876300</xdr:rowOff>
    </xdr:to>
    <xdr:pic>
      <xdr:nvPicPr>
        <xdr:cNvPr id="1222" name="Picture 198">
          <a:extLst>
            <a:ext uri="{FF2B5EF4-FFF2-40B4-BE49-F238E27FC236}">
              <a16:creationId xmlns:a16="http://schemas.microsoft.com/office/drawing/2014/main" id="{00000000-0008-0000-0000-0000C6040000}"/>
            </a:ext>
          </a:extLst>
        </xdr:cNvPr>
        <xdr:cNvPicPr>
          <a:picLocks noChangeAspect="1" noChangeArrowheads="1"/>
        </xdr:cNvPicPr>
      </xdr:nvPicPr>
      <xdr:blipFill>
        <a:blip xmlns:r="http://schemas.openxmlformats.org/officeDocument/2006/relationships" r:embed="rId198" cstate="print"/>
        <a:srcRect/>
        <a:stretch>
          <a:fillRect/>
        </a:stretch>
      </xdr:blipFill>
      <xdr:spPr bwMode="auto">
        <a:xfrm>
          <a:off x="0" y="0"/>
          <a:ext cx="1143000" cy="838200"/>
        </a:xfrm>
        <a:prstGeom prst="rect">
          <a:avLst/>
        </a:prstGeom>
        <a:noFill/>
      </xdr:spPr>
    </xdr:pic>
    <xdr:clientData/>
  </xdr:twoCellAnchor>
  <xdr:twoCellAnchor editAs="oneCell">
    <xdr:from>
      <xdr:col>2</xdr:col>
      <xdr:colOff>38100</xdr:colOff>
      <xdr:row>417</xdr:row>
      <xdr:rowOff>38100</xdr:rowOff>
    </xdr:from>
    <xdr:to>
      <xdr:col>2</xdr:col>
      <xdr:colOff>1181100</xdr:colOff>
      <xdr:row>417</xdr:row>
      <xdr:rowOff>990600</xdr:rowOff>
    </xdr:to>
    <xdr:pic>
      <xdr:nvPicPr>
        <xdr:cNvPr id="1223" name="Picture 199">
          <a:extLst>
            <a:ext uri="{FF2B5EF4-FFF2-40B4-BE49-F238E27FC236}">
              <a16:creationId xmlns:a16="http://schemas.microsoft.com/office/drawing/2014/main" id="{00000000-0008-0000-0000-0000C7040000}"/>
            </a:ext>
          </a:extLst>
        </xdr:cNvPr>
        <xdr:cNvPicPr>
          <a:picLocks noChangeAspect="1" noChangeArrowheads="1"/>
        </xdr:cNvPicPr>
      </xdr:nvPicPr>
      <xdr:blipFill>
        <a:blip xmlns:r="http://schemas.openxmlformats.org/officeDocument/2006/relationships" r:embed="rId199" cstate="print"/>
        <a:srcRect/>
        <a:stretch>
          <a:fillRect/>
        </a:stretch>
      </xdr:blipFill>
      <xdr:spPr bwMode="auto">
        <a:xfrm>
          <a:off x="0" y="0"/>
          <a:ext cx="1143000" cy="952500"/>
        </a:xfrm>
        <a:prstGeom prst="rect">
          <a:avLst/>
        </a:prstGeom>
        <a:noFill/>
      </xdr:spPr>
    </xdr:pic>
    <xdr:clientData/>
  </xdr:twoCellAnchor>
  <xdr:twoCellAnchor editAs="oneCell">
    <xdr:from>
      <xdr:col>2</xdr:col>
      <xdr:colOff>38100</xdr:colOff>
      <xdr:row>418</xdr:row>
      <xdr:rowOff>38100</xdr:rowOff>
    </xdr:from>
    <xdr:to>
      <xdr:col>2</xdr:col>
      <xdr:colOff>769620</xdr:colOff>
      <xdr:row>418</xdr:row>
      <xdr:rowOff>544068</xdr:rowOff>
    </xdr:to>
    <xdr:pic>
      <xdr:nvPicPr>
        <xdr:cNvPr id="1224" name="Picture 200">
          <a:extLst>
            <a:ext uri="{FF2B5EF4-FFF2-40B4-BE49-F238E27FC236}">
              <a16:creationId xmlns:a16="http://schemas.microsoft.com/office/drawing/2014/main" id="{00000000-0008-0000-0000-0000C8040000}"/>
            </a:ext>
          </a:extLst>
        </xdr:cNvPr>
        <xdr:cNvPicPr>
          <a:picLocks noChangeAspect="1" noChangeArrowheads="1"/>
        </xdr:cNvPicPr>
      </xdr:nvPicPr>
      <xdr:blipFill>
        <a:blip xmlns:r="http://schemas.openxmlformats.org/officeDocument/2006/relationships" r:embed="rId200" cstate="print"/>
        <a:srcRect/>
        <a:stretch>
          <a:fillRect/>
        </a:stretch>
      </xdr:blipFill>
      <xdr:spPr bwMode="auto">
        <a:xfrm>
          <a:off x="0" y="0"/>
          <a:ext cx="731520" cy="505968"/>
        </a:xfrm>
        <a:prstGeom prst="rect">
          <a:avLst/>
        </a:prstGeom>
        <a:noFill/>
      </xdr:spPr>
    </xdr:pic>
    <xdr:clientData/>
  </xdr:twoCellAnchor>
  <xdr:twoCellAnchor editAs="oneCell">
    <xdr:from>
      <xdr:col>2</xdr:col>
      <xdr:colOff>38100</xdr:colOff>
      <xdr:row>420</xdr:row>
      <xdr:rowOff>38100</xdr:rowOff>
    </xdr:from>
    <xdr:to>
      <xdr:col>2</xdr:col>
      <xdr:colOff>1181100</xdr:colOff>
      <xdr:row>420</xdr:row>
      <xdr:rowOff>438150</xdr:rowOff>
    </xdr:to>
    <xdr:pic>
      <xdr:nvPicPr>
        <xdr:cNvPr id="1225" name="Picture 201">
          <a:extLst>
            <a:ext uri="{FF2B5EF4-FFF2-40B4-BE49-F238E27FC236}">
              <a16:creationId xmlns:a16="http://schemas.microsoft.com/office/drawing/2014/main" id="{00000000-0008-0000-0000-0000C9040000}"/>
            </a:ext>
          </a:extLst>
        </xdr:cNvPr>
        <xdr:cNvPicPr>
          <a:picLocks noChangeAspect="1" noChangeArrowheads="1"/>
        </xdr:cNvPicPr>
      </xdr:nvPicPr>
      <xdr:blipFill>
        <a:blip xmlns:r="http://schemas.openxmlformats.org/officeDocument/2006/relationships" r:embed="rId201" cstate="print"/>
        <a:srcRect/>
        <a:stretch>
          <a:fillRect/>
        </a:stretch>
      </xdr:blipFill>
      <xdr:spPr bwMode="auto">
        <a:xfrm>
          <a:off x="0" y="0"/>
          <a:ext cx="1143000" cy="400050"/>
        </a:xfrm>
        <a:prstGeom prst="rect">
          <a:avLst/>
        </a:prstGeom>
        <a:noFill/>
      </xdr:spPr>
    </xdr:pic>
    <xdr:clientData/>
  </xdr:twoCellAnchor>
  <xdr:twoCellAnchor editAs="oneCell">
    <xdr:from>
      <xdr:col>2</xdr:col>
      <xdr:colOff>38100</xdr:colOff>
      <xdr:row>421</xdr:row>
      <xdr:rowOff>38100</xdr:rowOff>
    </xdr:from>
    <xdr:to>
      <xdr:col>2</xdr:col>
      <xdr:colOff>571500</xdr:colOff>
      <xdr:row>421</xdr:row>
      <xdr:rowOff>1181100</xdr:rowOff>
    </xdr:to>
    <xdr:pic>
      <xdr:nvPicPr>
        <xdr:cNvPr id="1226" name="Picture 202">
          <a:extLst>
            <a:ext uri="{FF2B5EF4-FFF2-40B4-BE49-F238E27FC236}">
              <a16:creationId xmlns:a16="http://schemas.microsoft.com/office/drawing/2014/main" id="{00000000-0008-0000-0000-0000CA040000}"/>
            </a:ext>
          </a:extLst>
        </xdr:cNvPr>
        <xdr:cNvPicPr>
          <a:picLocks noChangeAspect="1" noChangeArrowheads="1"/>
        </xdr:cNvPicPr>
      </xdr:nvPicPr>
      <xdr:blipFill>
        <a:blip xmlns:r="http://schemas.openxmlformats.org/officeDocument/2006/relationships" r:embed="rId202" cstate="print"/>
        <a:srcRect/>
        <a:stretch>
          <a:fillRect/>
        </a:stretch>
      </xdr:blipFill>
      <xdr:spPr bwMode="auto">
        <a:xfrm>
          <a:off x="0" y="0"/>
          <a:ext cx="533400" cy="1143000"/>
        </a:xfrm>
        <a:prstGeom prst="rect">
          <a:avLst/>
        </a:prstGeom>
        <a:noFill/>
      </xdr:spPr>
    </xdr:pic>
    <xdr:clientData/>
  </xdr:twoCellAnchor>
  <xdr:twoCellAnchor editAs="oneCell">
    <xdr:from>
      <xdr:col>2</xdr:col>
      <xdr:colOff>38100</xdr:colOff>
      <xdr:row>422</xdr:row>
      <xdr:rowOff>38100</xdr:rowOff>
    </xdr:from>
    <xdr:to>
      <xdr:col>2</xdr:col>
      <xdr:colOff>403860</xdr:colOff>
      <xdr:row>422</xdr:row>
      <xdr:rowOff>263652</xdr:rowOff>
    </xdr:to>
    <xdr:pic>
      <xdr:nvPicPr>
        <xdr:cNvPr id="1227" name="Picture 203">
          <a:extLst>
            <a:ext uri="{FF2B5EF4-FFF2-40B4-BE49-F238E27FC236}">
              <a16:creationId xmlns:a16="http://schemas.microsoft.com/office/drawing/2014/main" id="{00000000-0008-0000-0000-0000CB040000}"/>
            </a:ext>
          </a:extLst>
        </xdr:cNvPr>
        <xdr:cNvPicPr>
          <a:picLocks noChangeAspect="1" noChangeArrowheads="1"/>
        </xdr:cNvPicPr>
      </xdr:nvPicPr>
      <xdr:blipFill>
        <a:blip xmlns:r="http://schemas.openxmlformats.org/officeDocument/2006/relationships" r:embed="rId203" cstate="print"/>
        <a:srcRect/>
        <a:stretch>
          <a:fillRect/>
        </a:stretch>
      </xdr:blipFill>
      <xdr:spPr bwMode="auto">
        <a:xfrm>
          <a:off x="0" y="0"/>
          <a:ext cx="365760" cy="225552"/>
        </a:xfrm>
        <a:prstGeom prst="rect">
          <a:avLst/>
        </a:prstGeom>
        <a:noFill/>
      </xdr:spPr>
    </xdr:pic>
    <xdr:clientData/>
  </xdr:twoCellAnchor>
  <xdr:twoCellAnchor editAs="oneCell">
    <xdr:from>
      <xdr:col>2</xdr:col>
      <xdr:colOff>38100</xdr:colOff>
      <xdr:row>427</xdr:row>
      <xdr:rowOff>38100</xdr:rowOff>
    </xdr:from>
    <xdr:to>
      <xdr:col>2</xdr:col>
      <xdr:colOff>1181100</xdr:colOff>
      <xdr:row>427</xdr:row>
      <xdr:rowOff>1181100</xdr:rowOff>
    </xdr:to>
    <xdr:pic>
      <xdr:nvPicPr>
        <xdr:cNvPr id="1228" name="Picture 204">
          <a:extLst>
            <a:ext uri="{FF2B5EF4-FFF2-40B4-BE49-F238E27FC236}">
              <a16:creationId xmlns:a16="http://schemas.microsoft.com/office/drawing/2014/main" id="{00000000-0008-0000-0000-0000CC040000}"/>
            </a:ext>
          </a:extLst>
        </xdr:cNvPr>
        <xdr:cNvPicPr>
          <a:picLocks noChangeAspect="1" noChangeArrowheads="1"/>
        </xdr:cNvPicPr>
      </xdr:nvPicPr>
      <xdr:blipFill>
        <a:blip xmlns:r="http://schemas.openxmlformats.org/officeDocument/2006/relationships" r:embed="rId204"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428</xdr:row>
      <xdr:rowOff>38100</xdr:rowOff>
    </xdr:from>
    <xdr:to>
      <xdr:col>2</xdr:col>
      <xdr:colOff>1181100</xdr:colOff>
      <xdr:row>428</xdr:row>
      <xdr:rowOff>419100</xdr:rowOff>
    </xdr:to>
    <xdr:pic>
      <xdr:nvPicPr>
        <xdr:cNvPr id="1229" name="Picture 205">
          <a:extLst>
            <a:ext uri="{FF2B5EF4-FFF2-40B4-BE49-F238E27FC236}">
              <a16:creationId xmlns:a16="http://schemas.microsoft.com/office/drawing/2014/main" id="{00000000-0008-0000-0000-0000CD040000}"/>
            </a:ext>
          </a:extLst>
        </xdr:cNvPr>
        <xdr:cNvPicPr>
          <a:picLocks noChangeAspect="1" noChangeArrowheads="1"/>
        </xdr:cNvPicPr>
      </xdr:nvPicPr>
      <xdr:blipFill>
        <a:blip xmlns:r="http://schemas.openxmlformats.org/officeDocument/2006/relationships" r:embed="rId205" cstate="print"/>
        <a:srcRect/>
        <a:stretch>
          <a:fillRect/>
        </a:stretch>
      </xdr:blipFill>
      <xdr:spPr bwMode="auto">
        <a:xfrm>
          <a:off x="0" y="0"/>
          <a:ext cx="1143000" cy="381000"/>
        </a:xfrm>
        <a:prstGeom prst="rect">
          <a:avLst/>
        </a:prstGeom>
        <a:noFill/>
      </xdr:spPr>
    </xdr:pic>
    <xdr:clientData/>
  </xdr:twoCellAnchor>
  <xdr:twoCellAnchor editAs="oneCell">
    <xdr:from>
      <xdr:col>2</xdr:col>
      <xdr:colOff>38100</xdr:colOff>
      <xdr:row>429</xdr:row>
      <xdr:rowOff>38100</xdr:rowOff>
    </xdr:from>
    <xdr:to>
      <xdr:col>2</xdr:col>
      <xdr:colOff>1181100</xdr:colOff>
      <xdr:row>429</xdr:row>
      <xdr:rowOff>495300</xdr:rowOff>
    </xdr:to>
    <xdr:pic>
      <xdr:nvPicPr>
        <xdr:cNvPr id="1230" name="Picture 206">
          <a:extLst>
            <a:ext uri="{FF2B5EF4-FFF2-40B4-BE49-F238E27FC236}">
              <a16:creationId xmlns:a16="http://schemas.microsoft.com/office/drawing/2014/main" id="{00000000-0008-0000-0000-0000CE040000}"/>
            </a:ext>
          </a:extLst>
        </xdr:cNvPr>
        <xdr:cNvPicPr>
          <a:picLocks noChangeAspect="1" noChangeArrowheads="1"/>
        </xdr:cNvPicPr>
      </xdr:nvPicPr>
      <xdr:blipFill>
        <a:blip xmlns:r="http://schemas.openxmlformats.org/officeDocument/2006/relationships" r:embed="rId206" cstate="print"/>
        <a:srcRect/>
        <a:stretch>
          <a:fillRect/>
        </a:stretch>
      </xdr:blipFill>
      <xdr:spPr bwMode="auto">
        <a:xfrm>
          <a:off x="0" y="0"/>
          <a:ext cx="1143000" cy="457200"/>
        </a:xfrm>
        <a:prstGeom prst="rect">
          <a:avLst/>
        </a:prstGeom>
        <a:noFill/>
      </xdr:spPr>
    </xdr:pic>
    <xdr:clientData/>
  </xdr:twoCellAnchor>
  <xdr:twoCellAnchor editAs="oneCell">
    <xdr:from>
      <xdr:col>2</xdr:col>
      <xdr:colOff>38100</xdr:colOff>
      <xdr:row>430</xdr:row>
      <xdr:rowOff>38100</xdr:rowOff>
    </xdr:from>
    <xdr:to>
      <xdr:col>2</xdr:col>
      <xdr:colOff>1181100</xdr:colOff>
      <xdr:row>430</xdr:row>
      <xdr:rowOff>466725</xdr:rowOff>
    </xdr:to>
    <xdr:pic>
      <xdr:nvPicPr>
        <xdr:cNvPr id="1231" name="Picture 207">
          <a:extLst>
            <a:ext uri="{FF2B5EF4-FFF2-40B4-BE49-F238E27FC236}">
              <a16:creationId xmlns:a16="http://schemas.microsoft.com/office/drawing/2014/main" id="{00000000-0008-0000-0000-0000CF040000}"/>
            </a:ext>
          </a:extLst>
        </xdr:cNvPr>
        <xdr:cNvPicPr>
          <a:picLocks noChangeAspect="1" noChangeArrowheads="1"/>
        </xdr:cNvPicPr>
      </xdr:nvPicPr>
      <xdr:blipFill>
        <a:blip xmlns:r="http://schemas.openxmlformats.org/officeDocument/2006/relationships" r:embed="rId207" cstate="print"/>
        <a:srcRect/>
        <a:stretch>
          <a:fillRect/>
        </a:stretch>
      </xdr:blipFill>
      <xdr:spPr bwMode="auto">
        <a:xfrm>
          <a:off x="0" y="0"/>
          <a:ext cx="1143000" cy="428625"/>
        </a:xfrm>
        <a:prstGeom prst="rect">
          <a:avLst/>
        </a:prstGeom>
        <a:noFill/>
      </xdr:spPr>
    </xdr:pic>
    <xdr:clientData/>
  </xdr:twoCellAnchor>
  <xdr:twoCellAnchor editAs="oneCell">
    <xdr:from>
      <xdr:col>2</xdr:col>
      <xdr:colOff>38100</xdr:colOff>
      <xdr:row>432</xdr:row>
      <xdr:rowOff>38100</xdr:rowOff>
    </xdr:from>
    <xdr:to>
      <xdr:col>2</xdr:col>
      <xdr:colOff>971550</xdr:colOff>
      <xdr:row>432</xdr:row>
      <xdr:rowOff>1181100</xdr:rowOff>
    </xdr:to>
    <xdr:pic>
      <xdr:nvPicPr>
        <xdr:cNvPr id="1232" name="Picture 208">
          <a:extLst>
            <a:ext uri="{FF2B5EF4-FFF2-40B4-BE49-F238E27FC236}">
              <a16:creationId xmlns:a16="http://schemas.microsoft.com/office/drawing/2014/main" id="{00000000-0008-0000-0000-0000D0040000}"/>
            </a:ext>
          </a:extLst>
        </xdr:cNvPr>
        <xdr:cNvPicPr>
          <a:picLocks noChangeAspect="1" noChangeArrowheads="1"/>
        </xdr:cNvPicPr>
      </xdr:nvPicPr>
      <xdr:blipFill>
        <a:blip xmlns:r="http://schemas.openxmlformats.org/officeDocument/2006/relationships" r:embed="rId208" cstate="print"/>
        <a:srcRect/>
        <a:stretch>
          <a:fillRect/>
        </a:stretch>
      </xdr:blipFill>
      <xdr:spPr bwMode="auto">
        <a:xfrm>
          <a:off x="0" y="0"/>
          <a:ext cx="933450" cy="1143000"/>
        </a:xfrm>
        <a:prstGeom prst="rect">
          <a:avLst/>
        </a:prstGeom>
        <a:noFill/>
      </xdr:spPr>
    </xdr:pic>
    <xdr:clientData/>
  </xdr:twoCellAnchor>
  <xdr:twoCellAnchor editAs="oneCell">
    <xdr:from>
      <xdr:col>2</xdr:col>
      <xdr:colOff>38100</xdr:colOff>
      <xdr:row>433</xdr:row>
      <xdr:rowOff>38100</xdr:rowOff>
    </xdr:from>
    <xdr:to>
      <xdr:col>2</xdr:col>
      <xdr:colOff>1181100</xdr:colOff>
      <xdr:row>433</xdr:row>
      <xdr:rowOff>1181100</xdr:rowOff>
    </xdr:to>
    <xdr:pic>
      <xdr:nvPicPr>
        <xdr:cNvPr id="1233" name="Picture 209">
          <a:extLst>
            <a:ext uri="{FF2B5EF4-FFF2-40B4-BE49-F238E27FC236}">
              <a16:creationId xmlns:a16="http://schemas.microsoft.com/office/drawing/2014/main" id="{00000000-0008-0000-0000-0000D1040000}"/>
            </a:ext>
          </a:extLst>
        </xdr:cNvPr>
        <xdr:cNvPicPr>
          <a:picLocks noChangeAspect="1" noChangeArrowheads="1"/>
        </xdr:cNvPicPr>
      </xdr:nvPicPr>
      <xdr:blipFill>
        <a:blip xmlns:r="http://schemas.openxmlformats.org/officeDocument/2006/relationships" r:embed="rId209"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435</xdr:row>
      <xdr:rowOff>38100</xdr:rowOff>
    </xdr:from>
    <xdr:to>
      <xdr:col>2</xdr:col>
      <xdr:colOff>403860</xdr:colOff>
      <xdr:row>435</xdr:row>
      <xdr:rowOff>196596</xdr:rowOff>
    </xdr:to>
    <xdr:pic>
      <xdr:nvPicPr>
        <xdr:cNvPr id="1234" name="Picture 210">
          <a:extLst>
            <a:ext uri="{FF2B5EF4-FFF2-40B4-BE49-F238E27FC236}">
              <a16:creationId xmlns:a16="http://schemas.microsoft.com/office/drawing/2014/main" id="{00000000-0008-0000-0000-0000D2040000}"/>
            </a:ext>
          </a:extLst>
        </xdr:cNvPr>
        <xdr:cNvPicPr>
          <a:picLocks noChangeAspect="1" noChangeArrowheads="1"/>
        </xdr:cNvPicPr>
      </xdr:nvPicPr>
      <xdr:blipFill>
        <a:blip xmlns:r="http://schemas.openxmlformats.org/officeDocument/2006/relationships" r:embed="rId210" cstate="print"/>
        <a:srcRect/>
        <a:stretch>
          <a:fillRect/>
        </a:stretch>
      </xdr:blipFill>
      <xdr:spPr bwMode="auto">
        <a:xfrm>
          <a:off x="0" y="0"/>
          <a:ext cx="365760" cy="158496"/>
        </a:xfrm>
        <a:prstGeom prst="rect">
          <a:avLst/>
        </a:prstGeom>
        <a:noFill/>
      </xdr:spPr>
    </xdr:pic>
    <xdr:clientData/>
  </xdr:twoCellAnchor>
  <xdr:twoCellAnchor editAs="oneCell">
    <xdr:from>
      <xdr:col>2</xdr:col>
      <xdr:colOff>38100</xdr:colOff>
      <xdr:row>437</xdr:row>
      <xdr:rowOff>38100</xdr:rowOff>
    </xdr:from>
    <xdr:to>
      <xdr:col>2</xdr:col>
      <xdr:colOff>1181100</xdr:colOff>
      <xdr:row>437</xdr:row>
      <xdr:rowOff>895350</xdr:rowOff>
    </xdr:to>
    <xdr:pic>
      <xdr:nvPicPr>
        <xdr:cNvPr id="1235" name="Picture 211">
          <a:extLst>
            <a:ext uri="{FF2B5EF4-FFF2-40B4-BE49-F238E27FC236}">
              <a16:creationId xmlns:a16="http://schemas.microsoft.com/office/drawing/2014/main" id="{00000000-0008-0000-0000-0000D3040000}"/>
            </a:ext>
          </a:extLst>
        </xdr:cNvPr>
        <xdr:cNvPicPr>
          <a:picLocks noChangeAspect="1" noChangeArrowheads="1"/>
        </xdr:cNvPicPr>
      </xdr:nvPicPr>
      <xdr:blipFill>
        <a:blip xmlns:r="http://schemas.openxmlformats.org/officeDocument/2006/relationships" r:embed="rId211" cstate="print"/>
        <a:srcRect/>
        <a:stretch>
          <a:fillRect/>
        </a:stretch>
      </xdr:blipFill>
      <xdr:spPr bwMode="auto">
        <a:xfrm>
          <a:off x="0" y="0"/>
          <a:ext cx="1143000" cy="857250"/>
        </a:xfrm>
        <a:prstGeom prst="rect">
          <a:avLst/>
        </a:prstGeom>
        <a:noFill/>
      </xdr:spPr>
    </xdr:pic>
    <xdr:clientData/>
  </xdr:twoCellAnchor>
  <xdr:twoCellAnchor editAs="oneCell">
    <xdr:from>
      <xdr:col>2</xdr:col>
      <xdr:colOff>38100</xdr:colOff>
      <xdr:row>439</xdr:row>
      <xdr:rowOff>38100</xdr:rowOff>
    </xdr:from>
    <xdr:to>
      <xdr:col>2</xdr:col>
      <xdr:colOff>1181100</xdr:colOff>
      <xdr:row>439</xdr:row>
      <xdr:rowOff>838200</xdr:rowOff>
    </xdr:to>
    <xdr:pic>
      <xdr:nvPicPr>
        <xdr:cNvPr id="1236" name="Picture 212">
          <a:extLst>
            <a:ext uri="{FF2B5EF4-FFF2-40B4-BE49-F238E27FC236}">
              <a16:creationId xmlns:a16="http://schemas.microsoft.com/office/drawing/2014/main" id="{00000000-0008-0000-0000-0000D4040000}"/>
            </a:ext>
          </a:extLst>
        </xdr:cNvPr>
        <xdr:cNvPicPr>
          <a:picLocks noChangeAspect="1" noChangeArrowheads="1"/>
        </xdr:cNvPicPr>
      </xdr:nvPicPr>
      <xdr:blipFill>
        <a:blip xmlns:r="http://schemas.openxmlformats.org/officeDocument/2006/relationships" r:embed="rId212" cstate="print"/>
        <a:srcRect/>
        <a:stretch>
          <a:fillRect/>
        </a:stretch>
      </xdr:blipFill>
      <xdr:spPr bwMode="auto">
        <a:xfrm>
          <a:off x="0" y="0"/>
          <a:ext cx="1143000" cy="800100"/>
        </a:xfrm>
        <a:prstGeom prst="rect">
          <a:avLst/>
        </a:prstGeom>
        <a:noFill/>
      </xdr:spPr>
    </xdr:pic>
    <xdr:clientData/>
  </xdr:twoCellAnchor>
  <xdr:twoCellAnchor editAs="oneCell">
    <xdr:from>
      <xdr:col>2</xdr:col>
      <xdr:colOff>38100</xdr:colOff>
      <xdr:row>446</xdr:row>
      <xdr:rowOff>38100</xdr:rowOff>
    </xdr:from>
    <xdr:to>
      <xdr:col>2</xdr:col>
      <xdr:colOff>1181100</xdr:colOff>
      <xdr:row>446</xdr:row>
      <xdr:rowOff>666750</xdr:rowOff>
    </xdr:to>
    <xdr:pic>
      <xdr:nvPicPr>
        <xdr:cNvPr id="1237" name="Picture 213">
          <a:extLst>
            <a:ext uri="{FF2B5EF4-FFF2-40B4-BE49-F238E27FC236}">
              <a16:creationId xmlns:a16="http://schemas.microsoft.com/office/drawing/2014/main" id="{00000000-0008-0000-0000-0000D5040000}"/>
            </a:ext>
          </a:extLst>
        </xdr:cNvPr>
        <xdr:cNvPicPr>
          <a:picLocks noChangeAspect="1" noChangeArrowheads="1"/>
        </xdr:cNvPicPr>
      </xdr:nvPicPr>
      <xdr:blipFill>
        <a:blip xmlns:r="http://schemas.openxmlformats.org/officeDocument/2006/relationships" r:embed="rId213" cstate="print"/>
        <a:srcRect/>
        <a:stretch>
          <a:fillRect/>
        </a:stretch>
      </xdr:blipFill>
      <xdr:spPr bwMode="auto">
        <a:xfrm>
          <a:off x="0" y="0"/>
          <a:ext cx="1143000" cy="628650"/>
        </a:xfrm>
        <a:prstGeom prst="rect">
          <a:avLst/>
        </a:prstGeom>
        <a:noFill/>
      </xdr:spPr>
    </xdr:pic>
    <xdr:clientData/>
  </xdr:twoCellAnchor>
  <xdr:twoCellAnchor editAs="oneCell">
    <xdr:from>
      <xdr:col>2</xdr:col>
      <xdr:colOff>38100</xdr:colOff>
      <xdr:row>452</xdr:row>
      <xdr:rowOff>38100</xdr:rowOff>
    </xdr:from>
    <xdr:to>
      <xdr:col>2</xdr:col>
      <xdr:colOff>952500</xdr:colOff>
      <xdr:row>452</xdr:row>
      <xdr:rowOff>312420</xdr:rowOff>
    </xdr:to>
    <xdr:pic>
      <xdr:nvPicPr>
        <xdr:cNvPr id="1238" name="Picture 214">
          <a:extLst>
            <a:ext uri="{FF2B5EF4-FFF2-40B4-BE49-F238E27FC236}">
              <a16:creationId xmlns:a16="http://schemas.microsoft.com/office/drawing/2014/main" id="{00000000-0008-0000-0000-0000D6040000}"/>
            </a:ext>
          </a:extLst>
        </xdr:cNvPr>
        <xdr:cNvPicPr>
          <a:picLocks noChangeAspect="1" noChangeArrowheads="1"/>
        </xdr:cNvPicPr>
      </xdr:nvPicPr>
      <xdr:blipFill>
        <a:blip xmlns:r="http://schemas.openxmlformats.org/officeDocument/2006/relationships" r:embed="rId214" cstate="print"/>
        <a:srcRect/>
        <a:stretch>
          <a:fillRect/>
        </a:stretch>
      </xdr:blipFill>
      <xdr:spPr bwMode="auto">
        <a:xfrm>
          <a:off x="0" y="0"/>
          <a:ext cx="914400" cy="274320"/>
        </a:xfrm>
        <a:prstGeom prst="rect">
          <a:avLst/>
        </a:prstGeom>
        <a:noFill/>
      </xdr:spPr>
    </xdr:pic>
    <xdr:clientData/>
  </xdr:twoCellAnchor>
  <xdr:twoCellAnchor editAs="oneCell">
    <xdr:from>
      <xdr:col>2</xdr:col>
      <xdr:colOff>38100</xdr:colOff>
      <xdr:row>454</xdr:row>
      <xdr:rowOff>38100</xdr:rowOff>
    </xdr:from>
    <xdr:to>
      <xdr:col>2</xdr:col>
      <xdr:colOff>769620</xdr:colOff>
      <xdr:row>454</xdr:row>
      <xdr:rowOff>544068</xdr:rowOff>
    </xdr:to>
    <xdr:pic>
      <xdr:nvPicPr>
        <xdr:cNvPr id="1239" name="Picture 215">
          <a:extLst>
            <a:ext uri="{FF2B5EF4-FFF2-40B4-BE49-F238E27FC236}">
              <a16:creationId xmlns:a16="http://schemas.microsoft.com/office/drawing/2014/main" id="{00000000-0008-0000-0000-0000D7040000}"/>
            </a:ext>
          </a:extLst>
        </xdr:cNvPr>
        <xdr:cNvPicPr>
          <a:picLocks noChangeAspect="1" noChangeArrowheads="1"/>
        </xdr:cNvPicPr>
      </xdr:nvPicPr>
      <xdr:blipFill>
        <a:blip xmlns:r="http://schemas.openxmlformats.org/officeDocument/2006/relationships" r:embed="rId215" cstate="print"/>
        <a:srcRect/>
        <a:stretch>
          <a:fillRect/>
        </a:stretch>
      </xdr:blipFill>
      <xdr:spPr bwMode="auto">
        <a:xfrm>
          <a:off x="0" y="0"/>
          <a:ext cx="731520" cy="505968"/>
        </a:xfrm>
        <a:prstGeom prst="rect">
          <a:avLst/>
        </a:prstGeom>
        <a:noFill/>
      </xdr:spPr>
    </xdr:pic>
    <xdr:clientData/>
  </xdr:twoCellAnchor>
  <xdr:twoCellAnchor editAs="oneCell">
    <xdr:from>
      <xdr:col>2</xdr:col>
      <xdr:colOff>38100</xdr:colOff>
      <xdr:row>457</xdr:row>
      <xdr:rowOff>38100</xdr:rowOff>
    </xdr:from>
    <xdr:to>
      <xdr:col>2</xdr:col>
      <xdr:colOff>1562100</xdr:colOff>
      <xdr:row>457</xdr:row>
      <xdr:rowOff>1473200</xdr:rowOff>
    </xdr:to>
    <xdr:pic>
      <xdr:nvPicPr>
        <xdr:cNvPr id="1240" name="Picture 216">
          <a:extLst>
            <a:ext uri="{FF2B5EF4-FFF2-40B4-BE49-F238E27FC236}">
              <a16:creationId xmlns:a16="http://schemas.microsoft.com/office/drawing/2014/main" id="{00000000-0008-0000-0000-0000D8040000}"/>
            </a:ext>
          </a:extLst>
        </xdr:cNvPr>
        <xdr:cNvPicPr>
          <a:picLocks noChangeAspect="1" noChangeArrowheads="1"/>
        </xdr:cNvPicPr>
      </xdr:nvPicPr>
      <xdr:blipFill>
        <a:blip xmlns:r="http://schemas.openxmlformats.org/officeDocument/2006/relationships" r:embed="rId216" cstate="print"/>
        <a:srcRect/>
        <a:stretch>
          <a:fillRect/>
        </a:stretch>
      </xdr:blipFill>
      <xdr:spPr bwMode="auto">
        <a:xfrm>
          <a:off x="0" y="0"/>
          <a:ext cx="1524000" cy="1435100"/>
        </a:xfrm>
        <a:prstGeom prst="rect">
          <a:avLst/>
        </a:prstGeom>
        <a:noFill/>
      </xdr:spPr>
    </xdr:pic>
    <xdr:clientData/>
  </xdr:twoCellAnchor>
  <xdr:twoCellAnchor editAs="oneCell">
    <xdr:from>
      <xdr:col>2</xdr:col>
      <xdr:colOff>38100</xdr:colOff>
      <xdr:row>458</xdr:row>
      <xdr:rowOff>38100</xdr:rowOff>
    </xdr:from>
    <xdr:to>
      <xdr:col>2</xdr:col>
      <xdr:colOff>403860</xdr:colOff>
      <xdr:row>458</xdr:row>
      <xdr:rowOff>318516</xdr:rowOff>
    </xdr:to>
    <xdr:pic>
      <xdr:nvPicPr>
        <xdr:cNvPr id="1241" name="Picture 217">
          <a:extLst>
            <a:ext uri="{FF2B5EF4-FFF2-40B4-BE49-F238E27FC236}">
              <a16:creationId xmlns:a16="http://schemas.microsoft.com/office/drawing/2014/main" id="{00000000-0008-0000-0000-0000D9040000}"/>
            </a:ext>
          </a:extLst>
        </xdr:cNvPr>
        <xdr:cNvPicPr>
          <a:picLocks noChangeAspect="1" noChangeArrowheads="1"/>
        </xdr:cNvPicPr>
      </xdr:nvPicPr>
      <xdr:blipFill>
        <a:blip xmlns:r="http://schemas.openxmlformats.org/officeDocument/2006/relationships" r:embed="rId217" cstate="print"/>
        <a:srcRect/>
        <a:stretch>
          <a:fillRect/>
        </a:stretch>
      </xdr:blipFill>
      <xdr:spPr bwMode="auto">
        <a:xfrm>
          <a:off x="0" y="0"/>
          <a:ext cx="365760" cy="280416"/>
        </a:xfrm>
        <a:prstGeom prst="rect">
          <a:avLst/>
        </a:prstGeom>
        <a:noFill/>
      </xdr:spPr>
    </xdr:pic>
    <xdr:clientData/>
  </xdr:twoCellAnchor>
  <xdr:twoCellAnchor editAs="oneCell">
    <xdr:from>
      <xdr:col>2</xdr:col>
      <xdr:colOff>38100</xdr:colOff>
      <xdr:row>459</xdr:row>
      <xdr:rowOff>38100</xdr:rowOff>
    </xdr:from>
    <xdr:to>
      <xdr:col>2</xdr:col>
      <xdr:colOff>1135380</xdr:colOff>
      <xdr:row>459</xdr:row>
      <xdr:rowOff>1135380</xdr:rowOff>
    </xdr:to>
    <xdr:pic>
      <xdr:nvPicPr>
        <xdr:cNvPr id="1242" name="Picture 218">
          <a:extLst>
            <a:ext uri="{FF2B5EF4-FFF2-40B4-BE49-F238E27FC236}">
              <a16:creationId xmlns:a16="http://schemas.microsoft.com/office/drawing/2014/main" id="{00000000-0008-0000-0000-0000DA040000}"/>
            </a:ext>
          </a:extLst>
        </xdr:cNvPr>
        <xdr:cNvPicPr>
          <a:picLocks noChangeAspect="1" noChangeArrowheads="1"/>
        </xdr:cNvPicPr>
      </xdr:nvPicPr>
      <xdr:blipFill>
        <a:blip xmlns:r="http://schemas.openxmlformats.org/officeDocument/2006/relationships" r:embed="rId218" cstate="print"/>
        <a:srcRect/>
        <a:stretch>
          <a:fillRect/>
        </a:stretch>
      </xdr:blipFill>
      <xdr:spPr bwMode="auto">
        <a:xfrm>
          <a:off x="0" y="0"/>
          <a:ext cx="1097280" cy="1097280"/>
        </a:xfrm>
        <a:prstGeom prst="rect">
          <a:avLst/>
        </a:prstGeom>
        <a:noFill/>
      </xdr:spPr>
    </xdr:pic>
    <xdr:clientData/>
  </xdr:twoCellAnchor>
  <xdr:twoCellAnchor editAs="oneCell">
    <xdr:from>
      <xdr:col>2</xdr:col>
      <xdr:colOff>38100</xdr:colOff>
      <xdr:row>460</xdr:row>
      <xdr:rowOff>38100</xdr:rowOff>
    </xdr:from>
    <xdr:to>
      <xdr:col>2</xdr:col>
      <xdr:colOff>239268</xdr:colOff>
      <xdr:row>460</xdr:row>
      <xdr:rowOff>403860</xdr:rowOff>
    </xdr:to>
    <xdr:pic>
      <xdr:nvPicPr>
        <xdr:cNvPr id="1243" name="Picture 219">
          <a:extLst>
            <a:ext uri="{FF2B5EF4-FFF2-40B4-BE49-F238E27FC236}">
              <a16:creationId xmlns:a16="http://schemas.microsoft.com/office/drawing/2014/main" id="{00000000-0008-0000-0000-0000DB040000}"/>
            </a:ext>
          </a:extLst>
        </xdr:cNvPr>
        <xdr:cNvPicPr>
          <a:picLocks noChangeAspect="1" noChangeArrowheads="1"/>
        </xdr:cNvPicPr>
      </xdr:nvPicPr>
      <xdr:blipFill>
        <a:blip xmlns:r="http://schemas.openxmlformats.org/officeDocument/2006/relationships" r:embed="rId219" cstate="print"/>
        <a:srcRect/>
        <a:stretch>
          <a:fillRect/>
        </a:stretch>
      </xdr:blipFill>
      <xdr:spPr bwMode="auto">
        <a:xfrm>
          <a:off x="0" y="0"/>
          <a:ext cx="201168" cy="365760"/>
        </a:xfrm>
        <a:prstGeom prst="rect">
          <a:avLst/>
        </a:prstGeom>
        <a:noFill/>
      </xdr:spPr>
    </xdr:pic>
    <xdr:clientData/>
  </xdr:twoCellAnchor>
  <xdr:twoCellAnchor editAs="oneCell">
    <xdr:from>
      <xdr:col>2</xdr:col>
      <xdr:colOff>38100</xdr:colOff>
      <xdr:row>461</xdr:row>
      <xdr:rowOff>38100</xdr:rowOff>
    </xdr:from>
    <xdr:to>
      <xdr:col>2</xdr:col>
      <xdr:colOff>1562100</xdr:colOff>
      <xdr:row>461</xdr:row>
      <xdr:rowOff>1562100</xdr:rowOff>
    </xdr:to>
    <xdr:pic>
      <xdr:nvPicPr>
        <xdr:cNvPr id="1244" name="Picture 220">
          <a:extLst>
            <a:ext uri="{FF2B5EF4-FFF2-40B4-BE49-F238E27FC236}">
              <a16:creationId xmlns:a16="http://schemas.microsoft.com/office/drawing/2014/main" id="{00000000-0008-0000-0000-0000DC040000}"/>
            </a:ext>
          </a:extLst>
        </xdr:cNvPr>
        <xdr:cNvPicPr>
          <a:picLocks noChangeAspect="1" noChangeArrowheads="1"/>
        </xdr:cNvPicPr>
      </xdr:nvPicPr>
      <xdr:blipFill>
        <a:blip xmlns:r="http://schemas.openxmlformats.org/officeDocument/2006/relationships" r:embed="rId220"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465</xdr:row>
      <xdr:rowOff>38100</xdr:rowOff>
    </xdr:from>
    <xdr:to>
      <xdr:col>2</xdr:col>
      <xdr:colOff>403860</xdr:colOff>
      <xdr:row>465</xdr:row>
      <xdr:rowOff>193548</xdr:rowOff>
    </xdr:to>
    <xdr:pic>
      <xdr:nvPicPr>
        <xdr:cNvPr id="1245" name="Picture 221">
          <a:extLst>
            <a:ext uri="{FF2B5EF4-FFF2-40B4-BE49-F238E27FC236}">
              <a16:creationId xmlns:a16="http://schemas.microsoft.com/office/drawing/2014/main" id="{00000000-0008-0000-0000-0000DD040000}"/>
            </a:ext>
          </a:extLst>
        </xdr:cNvPr>
        <xdr:cNvPicPr>
          <a:picLocks noChangeAspect="1" noChangeArrowheads="1"/>
        </xdr:cNvPicPr>
      </xdr:nvPicPr>
      <xdr:blipFill>
        <a:blip xmlns:r="http://schemas.openxmlformats.org/officeDocument/2006/relationships" r:embed="rId221" cstate="print"/>
        <a:srcRect/>
        <a:stretch>
          <a:fillRect/>
        </a:stretch>
      </xdr:blipFill>
      <xdr:spPr bwMode="auto">
        <a:xfrm>
          <a:off x="0" y="0"/>
          <a:ext cx="365760" cy="155448"/>
        </a:xfrm>
        <a:prstGeom prst="rect">
          <a:avLst/>
        </a:prstGeom>
        <a:noFill/>
      </xdr:spPr>
    </xdr:pic>
    <xdr:clientData/>
  </xdr:twoCellAnchor>
  <xdr:twoCellAnchor editAs="oneCell">
    <xdr:from>
      <xdr:col>2</xdr:col>
      <xdr:colOff>38100</xdr:colOff>
      <xdr:row>466</xdr:row>
      <xdr:rowOff>38100</xdr:rowOff>
    </xdr:from>
    <xdr:to>
      <xdr:col>2</xdr:col>
      <xdr:colOff>586740</xdr:colOff>
      <xdr:row>466</xdr:row>
      <xdr:rowOff>586740</xdr:rowOff>
    </xdr:to>
    <xdr:pic>
      <xdr:nvPicPr>
        <xdr:cNvPr id="1246" name="Picture 222">
          <a:extLst>
            <a:ext uri="{FF2B5EF4-FFF2-40B4-BE49-F238E27FC236}">
              <a16:creationId xmlns:a16="http://schemas.microsoft.com/office/drawing/2014/main" id="{00000000-0008-0000-0000-0000DE040000}"/>
            </a:ext>
          </a:extLst>
        </xdr:cNvPr>
        <xdr:cNvPicPr>
          <a:picLocks noChangeAspect="1" noChangeArrowheads="1"/>
        </xdr:cNvPicPr>
      </xdr:nvPicPr>
      <xdr:blipFill>
        <a:blip xmlns:r="http://schemas.openxmlformats.org/officeDocument/2006/relationships" r:embed="rId222" cstate="print"/>
        <a:srcRect/>
        <a:stretch>
          <a:fillRect/>
        </a:stretch>
      </xdr:blipFill>
      <xdr:spPr bwMode="auto">
        <a:xfrm>
          <a:off x="0" y="0"/>
          <a:ext cx="548640" cy="548640"/>
        </a:xfrm>
        <a:prstGeom prst="rect">
          <a:avLst/>
        </a:prstGeom>
        <a:noFill/>
      </xdr:spPr>
    </xdr:pic>
    <xdr:clientData/>
  </xdr:twoCellAnchor>
  <xdr:twoCellAnchor editAs="oneCell">
    <xdr:from>
      <xdr:col>2</xdr:col>
      <xdr:colOff>38100</xdr:colOff>
      <xdr:row>467</xdr:row>
      <xdr:rowOff>38100</xdr:rowOff>
    </xdr:from>
    <xdr:to>
      <xdr:col>2</xdr:col>
      <xdr:colOff>403860</xdr:colOff>
      <xdr:row>467</xdr:row>
      <xdr:rowOff>403860</xdr:rowOff>
    </xdr:to>
    <xdr:pic>
      <xdr:nvPicPr>
        <xdr:cNvPr id="1247" name="Picture 223">
          <a:extLst>
            <a:ext uri="{FF2B5EF4-FFF2-40B4-BE49-F238E27FC236}">
              <a16:creationId xmlns:a16="http://schemas.microsoft.com/office/drawing/2014/main" id="{00000000-0008-0000-0000-0000DF040000}"/>
            </a:ext>
          </a:extLst>
        </xdr:cNvPr>
        <xdr:cNvPicPr>
          <a:picLocks noChangeAspect="1" noChangeArrowheads="1"/>
        </xdr:cNvPicPr>
      </xdr:nvPicPr>
      <xdr:blipFill>
        <a:blip xmlns:r="http://schemas.openxmlformats.org/officeDocument/2006/relationships" r:embed="rId223"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468</xdr:row>
      <xdr:rowOff>38100</xdr:rowOff>
    </xdr:from>
    <xdr:to>
      <xdr:col>2</xdr:col>
      <xdr:colOff>586740</xdr:colOff>
      <xdr:row>468</xdr:row>
      <xdr:rowOff>586740</xdr:rowOff>
    </xdr:to>
    <xdr:pic>
      <xdr:nvPicPr>
        <xdr:cNvPr id="1248" name="Picture 224">
          <a:extLst>
            <a:ext uri="{FF2B5EF4-FFF2-40B4-BE49-F238E27FC236}">
              <a16:creationId xmlns:a16="http://schemas.microsoft.com/office/drawing/2014/main" id="{00000000-0008-0000-0000-0000E0040000}"/>
            </a:ext>
          </a:extLst>
        </xdr:cNvPr>
        <xdr:cNvPicPr>
          <a:picLocks noChangeAspect="1" noChangeArrowheads="1"/>
        </xdr:cNvPicPr>
      </xdr:nvPicPr>
      <xdr:blipFill>
        <a:blip xmlns:r="http://schemas.openxmlformats.org/officeDocument/2006/relationships" r:embed="rId224" cstate="print"/>
        <a:srcRect/>
        <a:stretch>
          <a:fillRect/>
        </a:stretch>
      </xdr:blipFill>
      <xdr:spPr bwMode="auto">
        <a:xfrm>
          <a:off x="0" y="0"/>
          <a:ext cx="548640" cy="548640"/>
        </a:xfrm>
        <a:prstGeom prst="rect">
          <a:avLst/>
        </a:prstGeom>
        <a:noFill/>
      </xdr:spPr>
    </xdr:pic>
    <xdr:clientData/>
  </xdr:twoCellAnchor>
  <xdr:twoCellAnchor editAs="oneCell">
    <xdr:from>
      <xdr:col>2</xdr:col>
      <xdr:colOff>38100</xdr:colOff>
      <xdr:row>469</xdr:row>
      <xdr:rowOff>38100</xdr:rowOff>
    </xdr:from>
    <xdr:to>
      <xdr:col>2</xdr:col>
      <xdr:colOff>403860</xdr:colOff>
      <xdr:row>469</xdr:row>
      <xdr:rowOff>205740</xdr:rowOff>
    </xdr:to>
    <xdr:pic>
      <xdr:nvPicPr>
        <xdr:cNvPr id="1249" name="Picture 225">
          <a:extLst>
            <a:ext uri="{FF2B5EF4-FFF2-40B4-BE49-F238E27FC236}">
              <a16:creationId xmlns:a16="http://schemas.microsoft.com/office/drawing/2014/main" id="{00000000-0008-0000-0000-0000E1040000}"/>
            </a:ext>
          </a:extLst>
        </xdr:cNvPr>
        <xdr:cNvPicPr>
          <a:picLocks noChangeAspect="1" noChangeArrowheads="1"/>
        </xdr:cNvPicPr>
      </xdr:nvPicPr>
      <xdr:blipFill>
        <a:blip xmlns:r="http://schemas.openxmlformats.org/officeDocument/2006/relationships" r:embed="rId225" cstate="print"/>
        <a:srcRect/>
        <a:stretch>
          <a:fillRect/>
        </a:stretch>
      </xdr:blipFill>
      <xdr:spPr bwMode="auto">
        <a:xfrm>
          <a:off x="0" y="0"/>
          <a:ext cx="365760" cy="167640"/>
        </a:xfrm>
        <a:prstGeom prst="rect">
          <a:avLst/>
        </a:prstGeom>
        <a:noFill/>
      </xdr:spPr>
    </xdr:pic>
    <xdr:clientData/>
  </xdr:twoCellAnchor>
  <xdr:twoCellAnchor editAs="oneCell">
    <xdr:from>
      <xdr:col>2</xdr:col>
      <xdr:colOff>38100</xdr:colOff>
      <xdr:row>470</xdr:row>
      <xdr:rowOff>38100</xdr:rowOff>
    </xdr:from>
    <xdr:to>
      <xdr:col>2</xdr:col>
      <xdr:colOff>1181100</xdr:colOff>
      <xdr:row>470</xdr:row>
      <xdr:rowOff>257175</xdr:rowOff>
    </xdr:to>
    <xdr:pic>
      <xdr:nvPicPr>
        <xdr:cNvPr id="1250" name="Picture 226">
          <a:extLst>
            <a:ext uri="{FF2B5EF4-FFF2-40B4-BE49-F238E27FC236}">
              <a16:creationId xmlns:a16="http://schemas.microsoft.com/office/drawing/2014/main" id="{00000000-0008-0000-0000-0000E2040000}"/>
            </a:ext>
          </a:extLst>
        </xdr:cNvPr>
        <xdr:cNvPicPr>
          <a:picLocks noChangeAspect="1" noChangeArrowheads="1"/>
        </xdr:cNvPicPr>
      </xdr:nvPicPr>
      <xdr:blipFill>
        <a:blip xmlns:r="http://schemas.openxmlformats.org/officeDocument/2006/relationships" r:embed="rId226" cstate="print"/>
        <a:srcRect/>
        <a:stretch>
          <a:fillRect/>
        </a:stretch>
      </xdr:blipFill>
      <xdr:spPr bwMode="auto">
        <a:xfrm>
          <a:off x="0" y="0"/>
          <a:ext cx="1143000" cy="219075"/>
        </a:xfrm>
        <a:prstGeom prst="rect">
          <a:avLst/>
        </a:prstGeom>
        <a:noFill/>
      </xdr:spPr>
    </xdr:pic>
    <xdr:clientData/>
  </xdr:twoCellAnchor>
  <xdr:twoCellAnchor editAs="oneCell">
    <xdr:from>
      <xdr:col>2</xdr:col>
      <xdr:colOff>38100</xdr:colOff>
      <xdr:row>472</xdr:row>
      <xdr:rowOff>38100</xdr:rowOff>
    </xdr:from>
    <xdr:to>
      <xdr:col>2</xdr:col>
      <xdr:colOff>1181100</xdr:colOff>
      <xdr:row>472</xdr:row>
      <xdr:rowOff>923925</xdr:rowOff>
    </xdr:to>
    <xdr:pic>
      <xdr:nvPicPr>
        <xdr:cNvPr id="1251" name="Picture 227">
          <a:extLst>
            <a:ext uri="{FF2B5EF4-FFF2-40B4-BE49-F238E27FC236}">
              <a16:creationId xmlns:a16="http://schemas.microsoft.com/office/drawing/2014/main" id="{00000000-0008-0000-0000-0000E3040000}"/>
            </a:ext>
          </a:extLst>
        </xdr:cNvPr>
        <xdr:cNvPicPr>
          <a:picLocks noChangeAspect="1" noChangeArrowheads="1"/>
        </xdr:cNvPicPr>
      </xdr:nvPicPr>
      <xdr:blipFill>
        <a:blip xmlns:r="http://schemas.openxmlformats.org/officeDocument/2006/relationships" r:embed="rId227" cstate="print"/>
        <a:srcRect/>
        <a:stretch>
          <a:fillRect/>
        </a:stretch>
      </xdr:blipFill>
      <xdr:spPr bwMode="auto">
        <a:xfrm>
          <a:off x="0" y="0"/>
          <a:ext cx="1143000" cy="885825"/>
        </a:xfrm>
        <a:prstGeom prst="rect">
          <a:avLst/>
        </a:prstGeom>
        <a:noFill/>
      </xdr:spPr>
    </xdr:pic>
    <xdr:clientData/>
  </xdr:twoCellAnchor>
  <xdr:twoCellAnchor editAs="oneCell">
    <xdr:from>
      <xdr:col>2</xdr:col>
      <xdr:colOff>38100</xdr:colOff>
      <xdr:row>473</xdr:row>
      <xdr:rowOff>38100</xdr:rowOff>
    </xdr:from>
    <xdr:to>
      <xdr:col>2</xdr:col>
      <xdr:colOff>1181100</xdr:colOff>
      <xdr:row>473</xdr:row>
      <xdr:rowOff>495300</xdr:rowOff>
    </xdr:to>
    <xdr:pic>
      <xdr:nvPicPr>
        <xdr:cNvPr id="1252" name="Picture 228">
          <a:extLst>
            <a:ext uri="{FF2B5EF4-FFF2-40B4-BE49-F238E27FC236}">
              <a16:creationId xmlns:a16="http://schemas.microsoft.com/office/drawing/2014/main" id="{00000000-0008-0000-0000-0000E4040000}"/>
            </a:ext>
          </a:extLst>
        </xdr:cNvPr>
        <xdr:cNvPicPr>
          <a:picLocks noChangeAspect="1" noChangeArrowheads="1"/>
        </xdr:cNvPicPr>
      </xdr:nvPicPr>
      <xdr:blipFill>
        <a:blip xmlns:r="http://schemas.openxmlformats.org/officeDocument/2006/relationships" r:embed="rId228" cstate="print"/>
        <a:srcRect/>
        <a:stretch>
          <a:fillRect/>
        </a:stretch>
      </xdr:blipFill>
      <xdr:spPr bwMode="auto">
        <a:xfrm>
          <a:off x="0" y="0"/>
          <a:ext cx="1143000" cy="457200"/>
        </a:xfrm>
        <a:prstGeom prst="rect">
          <a:avLst/>
        </a:prstGeom>
        <a:noFill/>
      </xdr:spPr>
    </xdr:pic>
    <xdr:clientData/>
  </xdr:twoCellAnchor>
  <xdr:twoCellAnchor editAs="oneCell">
    <xdr:from>
      <xdr:col>2</xdr:col>
      <xdr:colOff>38100</xdr:colOff>
      <xdr:row>477</xdr:row>
      <xdr:rowOff>38100</xdr:rowOff>
    </xdr:from>
    <xdr:to>
      <xdr:col>2</xdr:col>
      <xdr:colOff>1562100</xdr:colOff>
      <xdr:row>477</xdr:row>
      <xdr:rowOff>1562100</xdr:rowOff>
    </xdr:to>
    <xdr:pic>
      <xdr:nvPicPr>
        <xdr:cNvPr id="1253" name="Picture 229">
          <a:extLst>
            <a:ext uri="{FF2B5EF4-FFF2-40B4-BE49-F238E27FC236}">
              <a16:creationId xmlns:a16="http://schemas.microsoft.com/office/drawing/2014/main" id="{00000000-0008-0000-0000-0000E5040000}"/>
            </a:ext>
          </a:extLst>
        </xdr:cNvPr>
        <xdr:cNvPicPr>
          <a:picLocks noChangeAspect="1" noChangeArrowheads="1"/>
        </xdr:cNvPicPr>
      </xdr:nvPicPr>
      <xdr:blipFill>
        <a:blip xmlns:r="http://schemas.openxmlformats.org/officeDocument/2006/relationships" r:embed="rId229"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478</xdr:row>
      <xdr:rowOff>38100</xdr:rowOff>
    </xdr:from>
    <xdr:to>
      <xdr:col>2</xdr:col>
      <xdr:colOff>167640</xdr:colOff>
      <xdr:row>478</xdr:row>
      <xdr:rowOff>220980</xdr:rowOff>
    </xdr:to>
    <xdr:pic>
      <xdr:nvPicPr>
        <xdr:cNvPr id="1254" name="Picture 230">
          <a:extLst>
            <a:ext uri="{FF2B5EF4-FFF2-40B4-BE49-F238E27FC236}">
              <a16:creationId xmlns:a16="http://schemas.microsoft.com/office/drawing/2014/main" id="{00000000-0008-0000-0000-0000E6040000}"/>
            </a:ext>
          </a:extLst>
        </xdr:cNvPr>
        <xdr:cNvPicPr>
          <a:picLocks noChangeAspect="1" noChangeArrowheads="1"/>
        </xdr:cNvPicPr>
      </xdr:nvPicPr>
      <xdr:blipFill>
        <a:blip xmlns:r="http://schemas.openxmlformats.org/officeDocument/2006/relationships" r:embed="rId230" cstate="print"/>
        <a:srcRect/>
        <a:stretch>
          <a:fillRect/>
        </a:stretch>
      </xdr:blipFill>
      <xdr:spPr bwMode="auto">
        <a:xfrm>
          <a:off x="0" y="0"/>
          <a:ext cx="129540" cy="182880"/>
        </a:xfrm>
        <a:prstGeom prst="rect">
          <a:avLst/>
        </a:prstGeom>
        <a:noFill/>
      </xdr:spPr>
    </xdr:pic>
    <xdr:clientData/>
  </xdr:twoCellAnchor>
  <xdr:twoCellAnchor editAs="oneCell">
    <xdr:from>
      <xdr:col>2</xdr:col>
      <xdr:colOff>38100</xdr:colOff>
      <xdr:row>480</xdr:row>
      <xdr:rowOff>38100</xdr:rowOff>
    </xdr:from>
    <xdr:to>
      <xdr:col>2</xdr:col>
      <xdr:colOff>452220</xdr:colOff>
      <xdr:row>480</xdr:row>
      <xdr:rowOff>452220</xdr:rowOff>
    </xdr:to>
    <xdr:pic>
      <xdr:nvPicPr>
        <xdr:cNvPr id="1255" name="Picture 231">
          <a:extLst>
            <a:ext uri="{FF2B5EF4-FFF2-40B4-BE49-F238E27FC236}">
              <a16:creationId xmlns:a16="http://schemas.microsoft.com/office/drawing/2014/main" id="{00000000-0008-0000-0000-0000E7040000}"/>
            </a:ext>
          </a:extLst>
        </xdr:cNvPr>
        <xdr:cNvPicPr>
          <a:picLocks noChangeAspect="1" noChangeArrowheads="1"/>
        </xdr:cNvPicPr>
      </xdr:nvPicPr>
      <xdr:blipFill>
        <a:blip xmlns:r="http://schemas.openxmlformats.org/officeDocument/2006/relationships" r:embed="rId231" cstate="print"/>
        <a:srcRect/>
        <a:stretch>
          <a:fillRect/>
        </a:stretch>
      </xdr:blipFill>
      <xdr:spPr bwMode="auto">
        <a:xfrm>
          <a:off x="0" y="0"/>
          <a:ext cx="414120" cy="414120"/>
        </a:xfrm>
        <a:prstGeom prst="rect">
          <a:avLst/>
        </a:prstGeom>
        <a:noFill/>
      </xdr:spPr>
    </xdr:pic>
    <xdr:clientData/>
  </xdr:twoCellAnchor>
  <xdr:twoCellAnchor editAs="oneCell">
    <xdr:from>
      <xdr:col>2</xdr:col>
      <xdr:colOff>38100</xdr:colOff>
      <xdr:row>481</xdr:row>
      <xdr:rowOff>38100</xdr:rowOff>
    </xdr:from>
    <xdr:to>
      <xdr:col>2</xdr:col>
      <xdr:colOff>403860</xdr:colOff>
      <xdr:row>481</xdr:row>
      <xdr:rowOff>403860</xdr:rowOff>
    </xdr:to>
    <xdr:pic>
      <xdr:nvPicPr>
        <xdr:cNvPr id="1256" name="Picture 232">
          <a:extLst>
            <a:ext uri="{FF2B5EF4-FFF2-40B4-BE49-F238E27FC236}">
              <a16:creationId xmlns:a16="http://schemas.microsoft.com/office/drawing/2014/main" id="{00000000-0008-0000-0000-0000E8040000}"/>
            </a:ext>
          </a:extLst>
        </xdr:cNvPr>
        <xdr:cNvPicPr>
          <a:picLocks noChangeAspect="1" noChangeArrowheads="1"/>
        </xdr:cNvPicPr>
      </xdr:nvPicPr>
      <xdr:blipFill>
        <a:blip xmlns:r="http://schemas.openxmlformats.org/officeDocument/2006/relationships" r:embed="rId232"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482</xdr:row>
      <xdr:rowOff>38100</xdr:rowOff>
    </xdr:from>
    <xdr:to>
      <xdr:col>2</xdr:col>
      <xdr:colOff>403860</xdr:colOff>
      <xdr:row>482</xdr:row>
      <xdr:rowOff>403860</xdr:rowOff>
    </xdr:to>
    <xdr:pic>
      <xdr:nvPicPr>
        <xdr:cNvPr id="1257" name="Picture 233">
          <a:extLst>
            <a:ext uri="{FF2B5EF4-FFF2-40B4-BE49-F238E27FC236}">
              <a16:creationId xmlns:a16="http://schemas.microsoft.com/office/drawing/2014/main" id="{00000000-0008-0000-0000-0000E9040000}"/>
            </a:ext>
          </a:extLst>
        </xdr:cNvPr>
        <xdr:cNvPicPr>
          <a:picLocks noChangeAspect="1" noChangeArrowheads="1"/>
        </xdr:cNvPicPr>
      </xdr:nvPicPr>
      <xdr:blipFill>
        <a:blip xmlns:r="http://schemas.openxmlformats.org/officeDocument/2006/relationships" r:embed="rId233"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485</xdr:row>
      <xdr:rowOff>38100</xdr:rowOff>
    </xdr:from>
    <xdr:to>
      <xdr:col>2</xdr:col>
      <xdr:colOff>403860</xdr:colOff>
      <xdr:row>485</xdr:row>
      <xdr:rowOff>403860</xdr:rowOff>
    </xdr:to>
    <xdr:pic>
      <xdr:nvPicPr>
        <xdr:cNvPr id="1258" name="Picture 234">
          <a:extLst>
            <a:ext uri="{FF2B5EF4-FFF2-40B4-BE49-F238E27FC236}">
              <a16:creationId xmlns:a16="http://schemas.microsoft.com/office/drawing/2014/main" id="{00000000-0008-0000-0000-0000EA040000}"/>
            </a:ext>
          </a:extLst>
        </xdr:cNvPr>
        <xdr:cNvPicPr>
          <a:picLocks noChangeAspect="1" noChangeArrowheads="1"/>
        </xdr:cNvPicPr>
      </xdr:nvPicPr>
      <xdr:blipFill>
        <a:blip xmlns:r="http://schemas.openxmlformats.org/officeDocument/2006/relationships" r:embed="rId234"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486</xdr:row>
      <xdr:rowOff>38100</xdr:rowOff>
    </xdr:from>
    <xdr:to>
      <xdr:col>2</xdr:col>
      <xdr:colOff>1181100</xdr:colOff>
      <xdr:row>486</xdr:row>
      <xdr:rowOff>657225</xdr:rowOff>
    </xdr:to>
    <xdr:pic>
      <xdr:nvPicPr>
        <xdr:cNvPr id="1259" name="Picture 235">
          <a:extLst>
            <a:ext uri="{FF2B5EF4-FFF2-40B4-BE49-F238E27FC236}">
              <a16:creationId xmlns:a16="http://schemas.microsoft.com/office/drawing/2014/main" id="{00000000-0008-0000-0000-0000EB040000}"/>
            </a:ext>
          </a:extLst>
        </xdr:cNvPr>
        <xdr:cNvPicPr>
          <a:picLocks noChangeAspect="1" noChangeArrowheads="1"/>
        </xdr:cNvPicPr>
      </xdr:nvPicPr>
      <xdr:blipFill>
        <a:blip xmlns:r="http://schemas.openxmlformats.org/officeDocument/2006/relationships" r:embed="rId235" cstate="print"/>
        <a:srcRect/>
        <a:stretch>
          <a:fillRect/>
        </a:stretch>
      </xdr:blipFill>
      <xdr:spPr bwMode="auto">
        <a:xfrm>
          <a:off x="0" y="0"/>
          <a:ext cx="1143000" cy="619125"/>
        </a:xfrm>
        <a:prstGeom prst="rect">
          <a:avLst/>
        </a:prstGeom>
        <a:noFill/>
      </xdr:spPr>
    </xdr:pic>
    <xdr:clientData/>
  </xdr:twoCellAnchor>
  <xdr:twoCellAnchor editAs="oneCell">
    <xdr:from>
      <xdr:col>2</xdr:col>
      <xdr:colOff>38100</xdr:colOff>
      <xdr:row>488</xdr:row>
      <xdr:rowOff>38100</xdr:rowOff>
    </xdr:from>
    <xdr:to>
      <xdr:col>2</xdr:col>
      <xdr:colOff>923925</xdr:colOff>
      <xdr:row>488</xdr:row>
      <xdr:rowOff>1181100</xdr:rowOff>
    </xdr:to>
    <xdr:pic>
      <xdr:nvPicPr>
        <xdr:cNvPr id="1260" name="Picture 236">
          <a:extLst>
            <a:ext uri="{FF2B5EF4-FFF2-40B4-BE49-F238E27FC236}">
              <a16:creationId xmlns:a16="http://schemas.microsoft.com/office/drawing/2014/main" id="{00000000-0008-0000-0000-0000EC040000}"/>
            </a:ext>
          </a:extLst>
        </xdr:cNvPr>
        <xdr:cNvPicPr>
          <a:picLocks noChangeAspect="1" noChangeArrowheads="1"/>
        </xdr:cNvPicPr>
      </xdr:nvPicPr>
      <xdr:blipFill>
        <a:blip xmlns:r="http://schemas.openxmlformats.org/officeDocument/2006/relationships" r:embed="rId236" cstate="print"/>
        <a:srcRect/>
        <a:stretch>
          <a:fillRect/>
        </a:stretch>
      </xdr:blipFill>
      <xdr:spPr bwMode="auto">
        <a:xfrm>
          <a:off x="0" y="0"/>
          <a:ext cx="885825" cy="1143000"/>
        </a:xfrm>
        <a:prstGeom prst="rect">
          <a:avLst/>
        </a:prstGeom>
        <a:noFill/>
      </xdr:spPr>
    </xdr:pic>
    <xdr:clientData/>
  </xdr:twoCellAnchor>
  <xdr:twoCellAnchor editAs="oneCell">
    <xdr:from>
      <xdr:col>2</xdr:col>
      <xdr:colOff>38100</xdr:colOff>
      <xdr:row>491</xdr:row>
      <xdr:rowOff>38100</xdr:rowOff>
    </xdr:from>
    <xdr:to>
      <xdr:col>2</xdr:col>
      <xdr:colOff>1181100</xdr:colOff>
      <xdr:row>491</xdr:row>
      <xdr:rowOff>904875</xdr:rowOff>
    </xdr:to>
    <xdr:pic>
      <xdr:nvPicPr>
        <xdr:cNvPr id="1261" name="Picture 237">
          <a:extLst>
            <a:ext uri="{FF2B5EF4-FFF2-40B4-BE49-F238E27FC236}">
              <a16:creationId xmlns:a16="http://schemas.microsoft.com/office/drawing/2014/main" id="{00000000-0008-0000-0000-0000ED040000}"/>
            </a:ext>
          </a:extLst>
        </xdr:cNvPr>
        <xdr:cNvPicPr>
          <a:picLocks noChangeAspect="1" noChangeArrowheads="1"/>
        </xdr:cNvPicPr>
      </xdr:nvPicPr>
      <xdr:blipFill>
        <a:blip xmlns:r="http://schemas.openxmlformats.org/officeDocument/2006/relationships" r:embed="rId237" cstate="print"/>
        <a:srcRect/>
        <a:stretch>
          <a:fillRect/>
        </a:stretch>
      </xdr:blipFill>
      <xdr:spPr bwMode="auto">
        <a:xfrm>
          <a:off x="0" y="0"/>
          <a:ext cx="1143000" cy="866775"/>
        </a:xfrm>
        <a:prstGeom prst="rect">
          <a:avLst/>
        </a:prstGeom>
        <a:noFill/>
      </xdr:spPr>
    </xdr:pic>
    <xdr:clientData/>
  </xdr:twoCellAnchor>
  <xdr:twoCellAnchor editAs="oneCell">
    <xdr:from>
      <xdr:col>2</xdr:col>
      <xdr:colOff>38100</xdr:colOff>
      <xdr:row>494</xdr:row>
      <xdr:rowOff>38100</xdr:rowOff>
    </xdr:from>
    <xdr:to>
      <xdr:col>2</xdr:col>
      <xdr:colOff>1181100</xdr:colOff>
      <xdr:row>494</xdr:row>
      <xdr:rowOff>1181100</xdr:rowOff>
    </xdr:to>
    <xdr:pic>
      <xdr:nvPicPr>
        <xdr:cNvPr id="1262" name="Picture 238">
          <a:extLst>
            <a:ext uri="{FF2B5EF4-FFF2-40B4-BE49-F238E27FC236}">
              <a16:creationId xmlns:a16="http://schemas.microsoft.com/office/drawing/2014/main" id="{00000000-0008-0000-0000-0000EE040000}"/>
            </a:ext>
          </a:extLst>
        </xdr:cNvPr>
        <xdr:cNvPicPr>
          <a:picLocks noChangeAspect="1" noChangeArrowheads="1"/>
        </xdr:cNvPicPr>
      </xdr:nvPicPr>
      <xdr:blipFill>
        <a:blip xmlns:r="http://schemas.openxmlformats.org/officeDocument/2006/relationships" r:embed="rId23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495</xdr:row>
      <xdr:rowOff>38100</xdr:rowOff>
    </xdr:from>
    <xdr:to>
      <xdr:col>2</xdr:col>
      <xdr:colOff>1181100</xdr:colOff>
      <xdr:row>495</xdr:row>
      <xdr:rowOff>1181100</xdr:rowOff>
    </xdr:to>
    <xdr:pic>
      <xdr:nvPicPr>
        <xdr:cNvPr id="1263" name="Picture 239">
          <a:extLst>
            <a:ext uri="{FF2B5EF4-FFF2-40B4-BE49-F238E27FC236}">
              <a16:creationId xmlns:a16="http://schemas.microsoft.com/office/drawing/2014/main" id="{00000000-0008-0000-0000-0000EF040000}"/>
            </a:ext>
          </a:extLst>
        </xdr:cNvPr>
        <xdr:cNvPicPr>
          <a:picLocks noChangeAspect="1" noChangeArrowheads="1"/>
        </xdr:cNvPicPr>
      </xdr:nvPicPr>
      <xdr:blipFill>
        <a:blip xmlns:r="http://schemas.openxmlformats.org/officeDocument/2006/relationships" r:embed="rId239"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496</xdr:row>
      <xdr:rowOff>38100</xdr:rowOff>
    </xdr:from>
    <xdr:to>
      <xdr:col>2</xdr:col>
      <xdr:colOff>1181100</xdr:colOff>
      <xdr:row>496</xdr:row>
      <xdr:rowOff>1181100</xdr:rowOff>
    </xdr:to>
    <xdr:pic>
      <xdr:nvPicPr>
        <xdr:cNvPr id="1264" name="Picture 240">
          <a:extLst>
            <a:ext uri="{FF2B5EF4-FFF2-40B4-BE49-F238E27FC236}">
              <a16:creationId xmlns:a16="http://schemas.microsoft.com/office/drawing/2014/main" id="{00000000-0008-0000-0000-0000F0040000}"/>
            </a:ext>
          </a:extLst>
        </xdr:cNvPr>
        <xdr:cNvPicPr>
          <a:picLocks noChangeAspect="1" noChangeArrowheads="1"/>
        </xdr:cNvPicPr>
      </xdr:nvPicPr>
      <xdr:blipFill>
        <a:blip xmlns:r="http://schemas.openxmlformats.org/officeDocument/2006/relationships" r:embed="rId24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497</xdr:row>
      <xdr:rowOff>38100</xdr:rowOff>
    </xdr:from>
    <xdr:to>
      <xdr:col>2</xdr:col>
      <xdr:colOff>809580</xdr:colOff>
      <xdr:row>497</xdr:row>
      <xdr:rowOff>597423</xdr:rowOff>
    </xdr:to>
    <xdr:pic>
      <xdr:nvPicPr>
        <xdr:cNvPr id="1265" name="Picture 241">
          <a:extLst>
            <a:ext uri="{FF2B5EF4-FFF2-40B4-BE49-F238E27FC236}">
              <a16:creationId xmlns:a16="http://schemas.microsoft.com/office/drawing/2014/main" id="{00000000-0008-0000-0000-0000F1040000}"/>
            </a:ext>
          </a:extLst>
        </xdr:cNvPr>
        <xdr:cNvPicPr>
          <a:picLocks noChangeAspect="1" noChangeArrowheads="1"/>
        </xdr:cNvPicPr>
      </xdr:nvPicPr>
      <xdr:blipFill>
        <a:blip xmlns:r="http://schemas.openxmlformats.org/officeDocument/2006/relationships" r:embed="rId241" cstate="print"/>
        <a:srcRect/>
        <a:stretch>
          <a:fillRect/>
        </a:stretch>
      </xdr:blipFill>
      <xdr:spPr bwMode="auto">
        <a:xfrm>
          <a:off x="0" y="0"/>
          <a:ext cx="771480" cy="559323"/>
        </a:xfrm>
        <a:prstGeom prst="rect">
          <a:avLst/>
        </a:prstGeom>
        <a:noFill/>
      </xdr:spPr>
    </xdr:pic>
    <xdr:clientData/>
  </xdr:twoCellAnchor>
  <xdr:twoCellAnchor editAs="oneCell">
    <xdr:from>
      <xdr:col>2</xdr:col>
      <xdr:colOff>38100</xdr:colOff>
      <xdr:row>498</xdr:row>
      <xdr:rowOff>38100</xdr:rowOff>
    </xdr:from>
    <xdr:to>
      <xdr:col>2</xdr:col>
      <xdr:colOff>1181100</xdr:colOff>
      <xdr:row>498</xdr:row>
      <xdr:rowOff>1066800</xdr:rowOff>
    </xdr:to>
    <xdr:pic>
      <xdr:nvPicPr>
        <xdr:cNvPr id="1266" name="Picture 242">
          <a:extLst>
            <a:ext uri="{FF2B5EF4-FFF2-40B4-BE49-F238E27FC236}">
              <a16:creationId xmlns:a16="http://schemas.microsoft.com/office/drawing/2014/main" id="{00000000-0008-0000-0000-0000F2040000}"/>
            </a:ext>
          </a:extLst>
        </xdr:cNvPr>
        <xdr:cNvPicPr>
          <a:picLocks noChangeAspect="1" noChangeArrowheads="1"/>
        </xdr:cNvPicPr>
      </xdr:nvPicPr>
      <xdr:blipFill>
        <a:blip xmlns:r="http://schemas.openxmlformats.org/officeDocument/2006/relationships" r:embed="rId242" cstate="print"/>
        <a:srcRect/>
        <a:stretch>
          <a:fillRect/>
        </a:stretch>
      </xdr:blipFill>
      <xdr:spPr bwMode="auto">
        <a:xfrm>
          <a:off x="0" y="0"/>
          <a:ext cx="1143000" cy="1028700"/>
        </a:xfrm>
        <a:prstGeom prst="rect">
          <a:avLst/>
        </a:prstGeom>
        <a:noFill/>
      </xdr:spPr>
    </xdr:pic>
    <xdr:clientData/>
  </xdr:twoCellAnchor>
  <xdr:twoCellAnchor editAs="oneCell">
    <xdr:from>
      <xdr:col>2</xdr:col>
      <xdr:colOff>38100</xdr:colOff>
      <xdr:row>503</xdr:row>
      <xdr:rowOff>38100</xdr:rowOff>
    </xdr:from>
    <xdr:to>
      <xdr:col>2</xdr:col>
      <xdr:colOff>1562100</xdr:colOff>
      <xdr:row>503</xdr:row>
      <xdr:rowOff>1562100</xdr:rowOff>
    </xdr:to>
    <xdr:pic>
      <xdr:nvPicPr>
        <xdr:cNvPr id="1267" name="Picture 243">
          <a:extLst>
            <a:ext uri="{FF2B5EF4-FFF2-40B4-BE49-F238E27FC236}">
              <a16:creationId xmlns:a16="http://schemas.microsoft.com/office/drawing/2014/main" id="{00000000-0008-0000-0000-0000F3040000}"/>
            </a:ext>
          </a:extLst>
        </xdr:cNvPr>
        <xdr:cNvPicPr>
          <a:picLocks noChangeAspect="1" noChangeArrowheads="1"/>
        </xdr:cNvPicPr>
      </xdr:nvPicPr>
      <xdr:blipFill>
        <a:blip xmlns:r="http://schemas.openxmlformats.org/officeDocument/2006/relationships" r:embed="rId243"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506</xdr:row>
      <xdr:rowOff>38100</xdr:rowOff>
    </xdr:from>
    <xdr:to>
      <xdr:col>2</xdr:col>
      <xdr:colOff>403860</xdr:colOff>
      <xdr:row>506</xdr:row>
      <xdr:rowOff>376428</xdr:rowOff>
    </xdr:to>
    <xdr:pic>
      <xdr:nvPicPr>
        <xdr:cNvPr id="1268" name="Picture 244">
          <a:extLst>
            <a:ext uri="{FF2B5EF4-FFF2-40B4-BE49-F238E27FC236}">
              <a16:creationId xmlns:a16="http://schemas.microsoft.com/office/drawing/2014/main" id="{00000000-0008-0000-0000-0000F4040000}"/>
            </a:ext>
          </a:extLst>
        </xdr:cNvPr>
        <xdr:cNvPicPr>
          <a:picLocks noChangeAspect="1" noChangeArrowheads="1"/>
        </xdr:cNvPicPr>
      </xdr:nvPicPr>
      <xdr:blipFill>
        <a:blip xmlns:r="http://schemas.openxmlformats.org/officeDocument/2006/relationships" r:embed="rId244" cstate="print"/>
        <a:srcRect/>
        <a:stretch>
          <a:fillRect/>
        </a:stretch>
      </xdr:blipFill>
      <xdr:spPr bwMode="auto">
        <a:xfrm>
          <a:off x="0" y="0"/>
          <a:ext cx="365760" cy="338328"/>
        </a:xfrm>
        <a:prstGeom prst="rect">
          <a:avLst/>
        </a:prstGeom>
        <a:noFill/>
      </xdr:spPr>
    </xdr:pic>
    <xdr:clientData/>
  </xdr:twoCellAnchor>
  <xdr:twoCellAnchor editAs="oneCell">
    <xdr:from>
      <xdr:col>2</xdr:col>
      <xdr:colOff>38100</xdr:colOff>
      <xdr:row>507</xdr:row>
      <xdr:rowOff>38100</xdr:rowOff>
    </xdr:from>
    <xdr:to>
      <xdr:col>2</xdr:col>
      <xdr:colOff>403860</xdr:colOff>
      <xdr:row>507</xdr:row>
      <xdr:rowOff>376428</xdr:rowOff>
    </xdr:to>
    <xdr:pic>
      <xdr:nvPicPr>
        <xdr:cNvPr id="1269" name="Picture 245">
          <a:extLst>
            <a:ext uri="{FF2B5EF4-FFF2-40B4-BE49-F238E27FC236}">
              <a16:creationId xmlns:a16="http://schemas.microsoft.com/office/drawing/2014/main" id="{00000000-0008-0000-0000-0000F5040000}"/>
            </a:ext>
          </a:extLst>
        </xdr:cNvPr>
        <xdr:cNvPicPr>
          <a:picLocks noChangeAspect="1" noChangeArrowheads="1"/>
        </xdr:cNvPicPr>
      </xdr:nvPicPr>
      <xdr:blipFill>
        <a:blip xmlns:r="http://schemas.openxmlformats.org/officeDocument/2006/relationships" r:embed="rId245" cstate="print"/>
        <a:srcRect/>
        <a:stretch>
          <a:fillRect/>
        </a:stretch>
      </xdr:blipFill>
      <xdr:spPr bwMode="auto">
        <a:xfrm>
          <a:off x="0" y="0"/>
          <a:ext cx="365760" cy="338328"/>
        </a:xfrm>
        <a:prstGeom prst="rect">
          <a:avLst/>
        </a:prstGeom>
        <a:noFill/>
      </xdr:spPr>
    </xdr:pic>
    <xdr:clientData/>
  </xdr:twoCellAnchor>
  <xdr:twoCellAnchor editAs="oneCell">
    <xdr:from>
      <xdr:col>2</xdr:col>
      <xdr:colOff>38100</xdr:colOff>
      <xdr:row>508</xdr:row>
      <xdr:rowOff>38100</xdr:rowOff>
    </xdr:from>
    <xdr:to>
      <xdr:col>2</xdr:col>
      <xdr:colOff>403860</xdr:colOff>
      <xdr:row>508</xdr:row>
      <xdr:rowOff>376428</xdr:rowOff>
    </xdr:to>
    <xdr:pic>
      <xdr:nvPicPr>
        <xdr:cNvPr id="1270" name="Picture 246">
          <a:extLst>
            <a:ext uri="{FF2B5EF4-FFF2-40B4-BE49-F238E27FC236}">
              <a16:creationId xmlns:a16="http://schemas.microsoft.com/office/drawing/2014/main" id="{00000000-0008-0000-0000-0000F6040000}"/>
            </a:ext>
          </a:extLst>
        </xdr:cNvPr>
        <xdr:cNvPicPr>
          <a:picLocks noChangeAspect="1" noChangeArrowheads="1"/>
        </xdr:cNvPicPr>
      </xdr:nvPicPr>
      <xdr:blipFill>
        <a:blip xmlns:r="http://schemas.openxmlformats.org/officeDocument/2006/relationships" r:embed="rId246" cstate="print"/>
        <a:srcRect/>
        <a:stretch>
          <a:fillRect/>
        </a:stretch>
      </xdr:blipFill>
      <xdr:spPr bwMode="auto">
        <a:xfrm>
          <a:off x="0" y="0"/>
          <a:ext cx="365760" cy="338328"/>
        </a:xfrm>
        <a:prstGeom prst="rect">
          <a:avLst/>
        </a:prstGeom>
        <a:noFill/>
      </xdr:spPr>
    </xdr:pic>
    <xdr:clientData/>
  </xdr:twoCellAnchor>
  <xdr:twoCellAnchor editAs="oneCell">
    <xdr:from>
      <xdr:col>2</xdr:col>
      <xdr:colOff>38100</xdr:colOff>
      <xdr:row>509</xdr:row>
      <xdr:rowOff>38100</xdr:rowOff>
    </xdr:from>
    <xdr:to>
      <xdr:col>2</xdr:col>
      <xdr:colOff>403860</xdr:colOff>
      <xdr:row>509</xdr:row>
      <xdr:rowOff>376428</xdr:rowOff>
    </xdr:to>
    <xdr:pic>
      <xdr:nvPicPr>
        <xdr:cNvPr id="1271" name="Picture 247">
          <a:extLst>
            <a:ext uri="{FF2B5EF4-FFF2-40B4-BE49-F238E27FC236}">
              <a16:creationId xmlns:a16="http://schemas.microsoft.com/office/drawing/2014/main" id="{00000000-0008-0000-0000-0000F7040000}"/>
            </a:ext>
          </a:extLst>
        </xdr:cNvPr>
        <xdr:cNvPicPr>
          <a:picLocks noChangeAspect="1" noChangeArrowheads="1"/>
        </xdr:cNvPicPr>
      </xdr:nvPicPr>
      <xdr:blipFill>
        <a:blip xmlns:r="http://schemas.openxmlformats.org/officeDocument/2006/relationships" r:embed="rId247" cstate="print"/>
        <a:srcRect/>
        <a:stretch>
          <a:fillRect/>
        </a:stretch>
      </xdr:blipFill>
      <xdr:spPr bwMode="auto">
        <a:xfrm>
          <a:off x="0" y="0"/>
          <a:ext cx="365760" cy="338328"/>
        </a:xfrm>
        <a:prstGeom prst="rect">
          <a:avLst/>
        </a:prstGeom>
        <a:noFill/>
      </xdr:spPr>
    </xdr:pic>
    <xdr:clientData/>
  </xdr:twoCellAnchor>
  <xdr:twoCellAnchor editAs="oneCell">
    <xdr:from>
      <xdr:col>2</xdr:col>
      <xdr:colOff>38100</xdr:colOff>
      <xdr:row>510</xdr:row>
      <xdr:rowOff>38100</xdr:rowOff>
    </xdr:from>
    <xdr:to>
      <xdr:col>2</xdr:col>
      <xdr:colOff>1181100</xdr:colOff>
      <xdr:row>510</xdr:row>
      <xdr:rowOff>1000125</xdr:rowOff>
    </xdr:to>
    <xdr:pic>
      <xdr:nvPicPr>
        <xdr:cNvPr id="1272" name="Picture 248">
          <a:extLst>
            <a:ext uri="{FF2B5EF4-FFF2-40B4-BE49-F238E27FC236}">
              <a16:creationId xmlns:a16="http://schemas.microsoft.com/office/drawing/2014/main" id="{00000000-0008-0000-0000-0000F8040000}"/>
            </a:ext>
          </a:extLst>
        </xdr:cNvPr>
        <xdr:cNvPicPr>
          <a:picLocks noChangeAspect="1" noChangeArrowheads="1"/>
        </xdr:cNvPicPr>
      </xdr:nvPicPr>
      <xdr:blipFill>
        <a:blip xmlns:r="http://schemas.openxmlformats.org/officeDocument/2006/relationships" r:embed="rId248" cstate="print"/>
        <a:srcRect/>
        <a:stretch>
          <a:fillRect/>
        </a:stretch>
      </xdr:blipFill>
      <xdr:spPr bwMode="auto">
        <a:xfrm>
          <a:off x="0" y="0"/>
          <a:ext cx="1143000" cy="962025"/>
        </a:xfrm>
        <a:prstGeom prst="rect">
          <a:avLst/>
        </a:prstGeom>
        <a:noFill/>
      </xdr:spPr>
    </xdr:pic>
    <xdr:clientData/>
  </xdr:twoCellAnchor>
  <xdr:twoCellAnchor editAs="oneCell">
    <xdr:from>
      <xdr:col>2</xdr:col>
      <xdr:colOff>38100</xdr:colOff>
      <xdr:row>511</xdr:row>
      <xdr:rowOff>38100</xdr:rowOff>
    </xdr:from>
    <xdr:to>
      <xdr:col>2</xdr:col>
      <xdr:colOff>1181100</xdr:colOff>
      <xdr:row>511</xdr:row>
      <xdr:rowOff>1181100</xdr:rowOff>
    </xdr:to>
    <xdr:pic>
      <xdr:nvPicPr>
        <xdr:cNvPr id="1273" name="Picture 249">
          <a:extLst>
            <a:ext uri="{FF2B5EF4-FFF2-40B4-BE49-F238E27FC236}">
              <a16:creationId xmlns:a16="http://schemas.microsoft.com/office/drawing/2014/main" id="{00000000-0008-0000-0000-0000F9040000}"/>
            </a:ext>
          </a:extLst>
        </xdr:cNvPr>
        <xdr:cNvPicPr>
          <a:picLocks noChangeAspect="1" noChangeArrowheads="1"/>
        </xdr:cNvPicPr>
      </xdr:nvPicPr>
      <xdr:blipFill>
        <a:blip xmlns:r="http://schemas.openxmlformats.org/officeDocument/2006/relationships" r:embed="rId249"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512</xdr:row>
      <xdr:rowOff>38100</xdr:rowOff>
    </xdr:from>
    <xdr:to>
      <xdr:col>2</xdr:col>
      <xdr:colOff>1181100</xdr:colOff>
      <xdr:row>512</xdr:row>
      <xdr:rowOff>600075</xdr:rowOff>
    </xdr:to>
    <xdr:pic>
      <xdr:nvPicPr>
        <xdr:cNvPr id="1274" name="Picture 250">
          <a:extLst>
            <a:ext uri="{FF2B5EF4-FFF2-40B4-BE49-F238E27FC236}">
              <a16:creationId xmlns:a16="http://schemas.microsoft.com/office/drawing/2014/main" id="{00000000-0008-0000-0000-0000FA040000}"/>
            </a:ext>
          </a:extLst>
        </xdr:cNvPr>
        <xdr:cNvPicPr>
          <a:picLocks noChangeAspect="1" noChangeArrowheads="1"/>
        </xdr:cNvPicPr>
      </xdr:nvPicPr>
      <xdr:blipFill>
        <a:blip xmlns:r="http://schemas.openxmlformats.org/officeDocument/2006/relationships" r:embed="rId250" cstate="print"/>
        <a:srcRect/>
        <a:stretch>
          <a:fillRect/>
        </a:stretch>
      </xdr:blipFill>
      <xdr:spPr bwMode="auto">
        <a:xfrm>
          <a:off x="0" y="0"/>
          <a:ext cx="1143000" cy="561975"/>
        </a:xfrm>
        <a:prstGeom prst="rect">
          <a:avLst/>
        </a:prstGeom>
        <a:noFill/>
      </xdr:spPr>
    </xdr:pic>
    <xdr:clientData/>
  </xdr:twoCellAnchor>
  <xdr:twoCellAnchor editAs="oneCell">
    <xdr:from>
      <xdr:col>2</xdr:col>
      <xdr:colOff>38100</xdr:colOff>
      <xdr:row>513</xdr:row>
      <xdr:rowOff>38100</xdr:rowOff>
    </xdr:from>
    <xdr:to>
      <xdr:col>2</xdr:col>
      <xdr:colOff>1181100</xdr:colOff>
      <xdr:row>513</xdr:row>
      <xdr:rowOff>314325</xdr:rowOff>
    </xdr:to>
    <xdr:pic>
      <xdr:nvPicPr>
        <xdr:cNvPr id="1275" name="Picture 251">
          <a:extLst>
            <a:ext uri="{FF2B5EF4-FFF2-40B4-BE49-F238E27FC236}">
              <a16:creationId xmlns:a16="http://schemas.microsoft.com/office/drawing/2014/main" id="{00000000-0008-0000-0000-0000FB040000}"/>
            </a:ext>
          </a:extLst>
        </xdr:cNvPr>
        <xdr:cNvPicPr>
          <a:picLocks noChangeAspect="1" noChangeArrowheads="1"/>
        </xdr:cNvPicPr>
      </xdr:nvPicPr>
      <xdr:blipFill>
        <a:blip xmlns:r="http://schemas.openxmlformats.org/officeDocument/2006/relationships" r:embed="rId251" cstate="print"/>
        <a:srcRect/>
        <a:stretch>
          <a:fillRect/>
        </a:stretch>
      </xdr:blipFill>
      <xdr:spPr bwMode="auto">
        <a:xfrm>
          <a:off x="0" y="0"/>
          <a:ext cx="1143000" cy="276225"/>
        </a:xfrm>
        <a:prstGeom prst="rect">
          <a:avLst/>
        </a:prstGeom>
        <a:noFill/>
      </xdr:spPr>
    </xdr:pic>
    <xdr:clientData/>
  </xdr:twoCellAnchor>
  <xdr:twoCellAnchor editAs="oneCell">
    <xdr:from>
      <xdr:col>2</xdr:col>
      <xdr:colOff>38100</xdr:colOff>
      <xdr:row>514</xdr:row>
      <xdr:rowOff>38100</xdr:rowOff>
    </xdr:from>
    <xdr:to>
      <xdr:col>2</xdr:col>
      <xdr:colOff>1181100</xdr:colOff>
      <xdr:row>514</xdr:row>
      <xdr:rowOff>1171575</xdr:rowOff>
    </xdr:to>
    <xdr:pic>
      <xdr:nvPicPr>
        <xdr:cNvPr id="1276" name="Picture 252">
          <a:extLst>
            <a:ext uri="{FF2B5EF4-FFF2-40B4-BE49-F238E27FC236}">
              <a16:creationId xmlns:a16="http://schemas.microsoft.com/office/drawing/2014/main" id="{00000000-0008-0000-0000-0000FC040000}"/>
            </a:ext>
          </a:extLst>
        </xdr:cNvPr>
        <xdr:cNvPicPr>
          <a:picLocks noChangeAspect="1" noChangeArrowheads="1"/>
        </xdr:cNvPicPr>
      </xdr:nvPicPr>
      <xdr:blipFill>
        <a:blip xmlns:r="http://schemas.openxmlformats.org/officeDocument/2006/relationships" r:embed="rId252" cstate="print"/>
        <a:srcRect/>
        <a:stretch>
          <a:fillRect/>
        </a:stretch>
      </xdr:blipFill>
      <xdr:spPr bwMode="auto">
        <a:xfrm>
          <a:off x="0" y="0"/>
          <a:ext cx="1143000" cy="1133475"/>
        </a:xfrm>
        <a:prstGeom prst="rect">
          <a:avLst/>
        </a:prstGeom>
        <a:noFill/>
      </xdr:spPr>
    </xdr:pic>
    <xdr:clientData/>
  </xdr:twoCellAnchor>
  <xdr:twoCellAnchor editAs="oneCell">
    <xdr:from>
      <xdr:col>2</xdr:col>
      <xdr:colOff>38100</xdr:colOff>
      <xdr:row>516</xdr:row>
      <xdr:rowOff>38100</xdr:rowOff>
    </xdr:from>
    <xdr:to>
      <xdr:col>2</xdr:col>
      <xdr:colOff>1181100</xdr:colOff>
      <xdr:row>516</xdr:row>
      <xdr:rowOff>685800</xdr:rowOff>
    </xdr:to>
    <xdr:pic>
      <xdr:nvPicPr>
        <xdr:cNvPr id="1277" name="Picture 253">
          <a:extLst>
            <a:ext uri="{FF2B5EF4-FFF2-40B4-BE49-F238E27FC236}">
              <a16:creationId xmlns:a16="http://schemas.microsoft.com/office/drawing/2014/main" id="{00000000-0008-0000-0000-0000FD040000}"/>
            </a:ext>
          </a:extLst>
        </xdr:cNvPr>
        <xdr:cNvPicPr>
          <a:picLocks noChangeAspect="1" noChangeArrowheads="1"/>
        </xdr:cNvPicPr>
      </xdr:nvPicPr>
      <xdr:blipFill>
        <a:blip xmlns:r="http://schemas.openxmlformats.org/officeDocument/2006/relationships" r:embed="rId253" cstate="print"/>
        <a:srcRect/>
        <a:stretch>
          <a:fillRect/>
        </a:stretch>
      </xdr:blipFill>
      <xdr:spPr bwMode="auto">
        <a:xfrm>
          <a:off x="0" y="0"/>
          <a:ext cx="1143000" cy="647700"/>
        </a:xfrm>
        <a:prstGeom prst="rect">
          <a:avLst/>
        </a:prstGeom>
        <a:noFill/>
      </xdr:spPr>
    </xdr:pic>
    <xdr:clientData/>
  </xdr:twoCellAnchor>
  <xdr:twoCellAnchor editAs="oneCell">
    <xdr:from>
      <xdr:col>2</xdr:col>
      <xdr:colOff>38100</xdr:colOff>
      <xdr:row>521</xdr:row>
      <xdr:rowOff>38100</xdr:rowOff>
    </xdr:from>
    <xdr:to>
      <xdr:col>2</xdr:col>
      <xdr:colOff>800100</xdr:colOff>
      <xdr:row>521</xdr:row>
      <xdr:rowOff>628650</xdr:rowOff>
    </xdr:to>
    <xdr:pic>
      <xdr:nvPicPr>
        <xdr:cNvPr id="1278" name="Picture 254">
          <a:extLst>
            <a:ext uri="{FF2B5EF4-FFF2-40B4-BE49-F238E27FC236}">
              <a16:creationId xmlns:a16="http://schemas.microsoft.com/office/drawing/2014/main" id="{00000000-0008-0000-0000-0000FE040000}"/>
            </a:ext>
          </a:extLst>
        </xdr:cNvPr>
        <xdr:cNvPicPr>
          <a:picLocks noChangeAspect="1" noChangeArrowheads="1"/>
        </xdr:cNvPicPr>
      </xdr:nvPicPr>
      <xdr:blipFill>
        <a:blip xmlns:r="http://schemas.openxmlformats.org/officeDocument/2006/relationships" r:embed="rId254" cstate="print"/>
        <a:srcRect/>
        <a:stretch>
          <a:fillRect/>
        </a:stretch>
      </xdr:blipFill>
      <xdr:spPr bwMode="auto">
        <a:xfrm>
          <a:off x="0" y="0"/>
          <a:ext cx="762000" cy="590550"/>
        </a:xfrm>
        <a:prstGeom prst="rect">
          <a:avLst/>
        </a:prstGeom>
        <a:noFill/>
      </xdr:spPr>
    </xdr:pic>
    <xdr:clientData/>
  </xdr:twoCellAnchor>
  <xdr:twoCellAnchor editAs="oneCell">
    <xdr:from>
      <xdr:col>2</xdr:col>
      <xdr:colOff>38100</xdr:colOff>
      <xdr:row>524</xdr:row>
      <xdr:rowOff>38100</xdr:rowOff>
    </xdr:from>
    <xdr:to>
      <xdr:col>2</xdr:col>
      <xdr:colOff>1181100</xdr:colOff>
      <xdr:row>524</xdr:row>
      <xdr:rowOff>295275</xdr:rowOff>
    </xdr:to>
    <xdr:pic>
      <xdr:nvPicPr>
        <xdr:cNvPr id="1279" name="Picture 255">
          <a:extLst>
            <a:ext uri="{FF2B5EF4-FFF2-40B4-BE49-F238E27FC236}">
              <a16:creationId xmlns:a16="http://schemas.microsoft.com/office/drawing/2014/main" id="{00000000-0008-0000-0000-0000FF040000}"/>
            </a:ext>
          </a:extLst>
        </xdr:cNvPr>
        <xdr:cNvPicPr>
          <a:picLocks noChangeAspect="1" noChangeArrowheads="1"/>
        </xdr:cNvPicPr>
      </xdr:nvPicPr>
      <xdr:blipFill>
        <a:blip xmlns:r="http://schemas.openxmlformats.org/officeDocument/2006/relationships" r:embed="rId255" cstate="print"/>
        <a:srcRect/>
        <a:stretch>
          <a:fillRect/>
        </a:stretch>
      </xdr:blipFill>
      <xdr:spPr bwMode="auto">
        <a:xfrm>
          <a:off x="0" y="0"/>
          <a:ext cx="1143000" cy="257175"/>
        </a:xfrm>
        <a:prstGeom prst="rect">
          <a:avLst/>
        </a:prstGeom>
        <a:noFill/>
      </xdr:spPr>
    </xdr:pic>
    <xdr:clientData/>
  </xdr:twoCellAnchor>
  <xdr:twoCellAnchor editAs="oneCell">
    <xdr:from>
      <xdr:col>2</xdr:col>
      <xdr:colOff>38100</xdr:colOff>
      <xdr:row>539</xdr:row>
      <xdr:rowOff>38100</xdr:rowOff>
    </xdr:from>
    <xdr:to>
      <xdr:col>2</xdr:col>
      <xdr:colOff>1181100</xdr:colOff>
      <xdr:row>539</xdr:row>
      <xdr:rowOff>1066800</xdr:rowOff>
    </xdr:to>
    <xdr:pic>
      <xdr:nvPicPr>
        <xdr:cNvPr id="1280" name="Picture 256">
          <a:extLst>
            <a:ext uri="{FF2B5EF4-FFF2-40B4-BE49-F238E27FC236}">
              <a16:creationId xmlns:a16="http://schemas.microsoft.com/office/drawing/2014/main" id="{00000000-0008-0000-0000-000000050000}"/>
            </a:ext>
          </a:extLst>
        </xdr:cNvPr>
        <xdr:cNvPicPr>
          <a:picLocks noChangeAspect="1" noChangeArrowheads="1"/>
        </xdr:cNvPicPr>
      </xdr:nvPicPr>
      <xdr:blipFill>
        <a:blip xmlns:r="http://schemas.openxmlformats.org/officeDocument/2006/relationships" r:embed="rId256" cstate="print"/>
        <a:srcRect/>
        <a:stretch>
          <a:fillRect/>
        </a:stretch>
      </xdr:blipFill>
      <xdr:spPr bwMode="auto">
        <a:xfrm>
          <a:off x="0" y="0"/>
          <a:ext cx="1143000" cy="1028700"/>
        </a:xfrm>
        <a:prstGeom prst="rect">
          <a:avLst/>
        </a:prstGeom>
        <a:noFill/>
      </xdr:spPr>
    </xdr:pic>
    <xdr:clientData/>
  </xdr:twoCellAnchor>
  <xdr:twoCellAnchor editAs="oneCell">
    <xdr:from>
      <xdr:col>2</xdr:col>
      <xdr:colOff>38100</xdr:colOff>
      <xdr:row>540</xdr:row>
      <xdr:rowOff>38100</xdr:rowOff>
    </xdr:from>
    <xdr:to>
      <xdr:col>2</xdr:col>
      <xdr:colOff>403860</xdr:colOff>
      <xdr:row>540</xdr:row>
      <xdr:rowOff>403860</xdr:rowOff>
    </xdr:to>
    <xdr:pic>
      <xdr:nvPicPr>
        <xdr:cNvPr id="1281" name="Picture 257">
          <a:extLst>
            <a:ext uri="{FF2B5EF4-FFF2-40B4-BE49-F238E27FC236}">
              <a16:creationId xmlns:a16="http://schemas.microsoft.com/office/drawing/2014/main" id="{00000000-0008-0000-0000-000001050000}"/>
            </a:ext>
          </a:extLst>
        </xdr:cNvPr>
        <xdr:cNvPicPr>
          <a:picLocks noChangeAspect="1" noChangeArrowheads="1"/>
        </xdr:cNvPicPr>
      </xdr:nvPicPr>
      <xdr:blipFill>
        <a:blip xmlns:r="http://schemas.openxmlformats.org/officeDocument/2006/relationships" r:embed="rId257"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541</xdr:row>
      <xdr:rowOff>38100</xdr:rowOff>
    </xdr:from>
    <xdr:to>
      <xdr:col>2</xdr:col>
      <xdr:colOff>1181100</xdr:colOff>
      <xdr:row>541</xdr:row>
      <xdr:rowOff>609600</xdr:rowOff>
    </xdr:to>
    <xdr:pic>
      <xdr:nvPicPr>
        <xdr:cNvPr id="1282" name="Picture 258">
          <a:extLst>
            <a:ext uri="{FF2B5EF4-FFF2-40B4-BE49-F238E27FC236}">
              <a16:creationId xmlns:a16="http://schemas.microsoft.com/office/drawing/2014/main" id="{00000000-0008-0000-0000-000002050000}"/>
            </a:ext>
          </a:extLst>
        </xdr:cNvPr>
        <xdr:cNvPicPr>
          <a:picLocks noChangeAspect="1" noChangeArrowheads="1"/>
        </xdr:cNvPicPr>
      </xdr:nvPicPr>
      <xdr:blipFill>
        <a:blip xmlns:r="http://schemas.openxmlformats.org/officeDocument/2006/relationships" r:embed="rId258" cstate="print"/>
        <a:srcRect/>
        <a:stretch>
          <a:fillRect/>
        </a:stretch>
      </xdr:blipFill>
      <xdr:spPr bwMode="auto">
        <a:xfrm>
          <a:off x="0" y="0"/>
          <a:ext cx="1143000" cy="571500"/>
        </a:xfrm>
        <a:prstGeom prst="rect">
          <a:avLst/>
        </a:prstGeom>
        <a:noFill/>
      </xdr:spPr>
    </xdr:pic>
    <xdr:clientData/>
  </xdr:twoCellAnchor>
  <xdr:twoCellAnchor editAs="oneCell">
    <xdr:from>
      <xdr:col>2</xdr:col>
      <xdr:colOff>38100</xdr:colOff>
      <xdr:row>547</xdr:row>
      <xdr:rowOff>38100</xdr:rowOff>
    </xdr:from>
    <xdr:to>
      <xdr:col>2</xdr:col>
      <xdr:colOff>1181100</xdr:colOff>
      <xdr:row>547</xdr:row>
      <xdr:rowOff>1095375</xdr:rowOff>
    </xdr:to>
    <xdr:pic>
      <xdr:nvPicPr>
        <xdr:cNvPr id="1283" name="Picture 259">
          <a:extLst>
            <a:ext uri="{FF2B5EF4-FFF2-40B4-BE49-F238E27FC236}">
              <a16:creationId xmlns:a16="http://schemas.microsoft.com/office/drawing/2014/main" id="{00000000-0008-0000-0000-000003050000}"/>
            </a:ext>
          </a:extLst>
        </xdr:cNvPr>
        <xdr:cNvPicPr>
          <a:picLocks noChangeAspect="1" noChangeArrowheads="1"/>
        </xdr:cNvPicPr>
      </xdr:nvPicPr>
      <xdr:blipFill>
        <a:blip xmlns:r="http://schemas.openxmlformats.org/officeDocument/2006/relationships" r:embed="rId259" cstate="print"/>
        <a:srcRect/>
        <a:stretch>
          <a:fillRect/>
        </a:stretch>
      </xdr:blipFill>
      <xdr:spPr bwMode="auto">
        <a:xfrm>
          <a:off x="0" y="0"/>
          <a:ext cx="1143000" cy="1057275"/>
        </a:xfrm>
        <a:prstGeom prst="rect">
          <a:avLst/>
        </a:prstGeom>
        <a:noFill/>
      </xdr:spPr>
    </xdr:pic>
    <xdr:clientData/>
  </xdr:twoCellAnchor>
  <xdr:twoCellAnchor editAs="oneCell">
    <xdr:from>
      <xdr:col>2</xdr:col>
      <xdr:colOff>38100</xdr:colOff>
      <xdr:row>548</xdr:row>
      <xdr:rowOff>38100</xdr:rowOff>
    </xdr:from>
    <xdr:to>
      <xdr:col>2</xdr:col>
      <xdr:colOff>403860</xdr:colOff>
      <xdr:row>548</xdr:row>
      <xdr:rowOff>376428</xdr:rowOff>
    </xdr:to>
    <xdr:pic>
      <xdr:nvPicPr>
        <xdr:cNvPr id="1284" name="Picture 260">
          <a:extLst>
            <a:ext uri="{FF2B5EF4-FFF2-40B4-BE49-F238E27FC236}">
              <a16:creationId xmlns:a16="http://schemas.microsoft.com/office/drawing/2014/main" id="{00000000-0008-0000-0000-000004050000}"/>
            </a:ext>
          </a:extLst>
        </xdr:cNvPr>
        <xdr:cNvPicPr>
          <a:picLocks noChangeAspect="1" noChangeArrowheads="1"/>
        </xdr:cNvPicPr>
      </xdr:nvPicPr>
      <xdr:blipFill>
        <a:blip xmlns:r="http://schemas.openxmlformats.org/officeDocument/2006/relationships" r:embed="rId260" cstate="print"/>
        <a:srcRect/>
        <a:stretch>
          <a:fillRect/>
        </a:stretch>
      </xdr:blipFill>
      <xdr:spPr bwMode="auto">
        <a:xfrm>
          <a:off x="0" y="0"/>
          <a:ext cx="365760" cy="338328"/>
        </a:xfrm>
        <a:prstGeom prst="rect">
          <a:avLst/>
        </a:prstGeom>
        <a:noFill/>
      </xdr:spPr>
    </xdr:pic>
    <xdr:clientData/>
  </xdr:twoCellAnchor>
  <xdr:twoCellAnchor editAs="oneCell">
    <xdr:from>
      <xdr:col>2</xdr:col>
      <xdr:colOff>38100</xdr:colOff>
      <xdr:row>549</xdr:row>
      <xdr:rowOff>38100</xdr:rowOff>
    </xdr:from>
    <xdr:to>
      <xdr:col>2</xdr:col>
      <xdr:colOff>1181100</xdr:colOff>
      <xdr:row>549</xdr:row>
      <xdr:rowOff>1095375</xdr:rowOff>
    </xdr:to>
    <xdr:pic>
      <xdr:nvPicPr>
        <xdr:cNvPr id="1285" name="Picture 261">
          <a:extLst>
            <a:ext uri="{FF2B5EF4-FFF2-40B4-BE49-F238E27FC236}">
              <a16:creationId xmlns:a16="http://schemas.microsoft.com/office/drawing/2014/main" id="{00000000-0008-0000-0000-000005050000}"/>
            </a:ext>
          </a:extLst>
        </xdr:cNvPr>
        <xdr:cNvPicPr>
          <a:picLocks noChangeAspect="1" noChangeArrowheads="1"/>
        </xdr:cNvPicPr>
      </xdr:nvPicPr>
      <xdr:blipFill>
        <a:blip xmlns:r="http://schemas.openxmlformats.org/officeDocument/2006/relationships" r:embed="rId261" cstate="print"/>
        <a:srcRect/>
        <a:stretch>
          <a:fillRect/>
        </a:stretch>
      </xdr:blipFill>
      <xdr:spPr bwMode="auto">
        <a:xfrm>
          <a:off x="0" y="0"/>
          <a:ext cx="1143000" cy="1057275"/>
        </a:xfrm>
        <a:prstGeom prst="rect">
          <a:avLst/>
        </a:prstGeom>
        <a:noFill/>
      </xdr:spPr>
    </xdr:pic>
    <xdr:clientData/>
  </xdr:twoCellAnchor>
  <xdr:twoCellAnchor editAs="oneCell">
    <xdr:from>
      <xdr:col>2</xdr:col>
      <xdr:colOff>38100</xdr:colOff>
      <xdr:row>555</xdr:row>
      <xdr:rowOff>38100</xdr:rowOff>
    </xdr:from>
    <xdr:to>
      <xdr:col>2</xdr:col>
      <xdr:colOff>1181100</xdr:colOff>
      <xdr:row>555</xdr:row>
      <xdr:rowOff>1181100</xdr:rowOff>
    </xdr:to>
    <xdr:pic>
      <xdr:nvPicPr>
        <xdr:cNvPr id="1286" name="Picture 262">
          <a:extLst>
            <a:ext uri="{FF2B5EF4-FFF2-40B4-BE49-F238E27FC236}">
              <a16:creationId xmlns:a16="http://schemas.microsoft.com/office/drawing/2014/main" id="{00000000-0008-0000-0000-000006050000}"/>
            </a:ext>
          </a:extLst>
        </xdr:cNvPr>
        <xdr:cNvPicPr>
          <a:picLocks noChangeAspect="1" noChangeArrowheads="1"/>
        </xdr:cNvPicPr>
      </xdr:nvPicPr>
      <xdr:blipFill>
        <a:blip xmlns:r="http://schemas.openxmlformats.org/officeDocument/2006/relationships" r:embed="rId26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556</xdr:row>
      <xdr:rowOff>38100</xdr:rowOff>
    </xdr:from>
    <xdr:to>
      <xdr:col>2</xdr:col>
      <xdr:colOff>1181100</xdr:colOff>
      <xdr:row>556</xdr:row>
      <xdr:rowOff>1152525</xdr:rowOff>
    </xdr:to>
    <xdr:pic>
      <xdr:nvPicPr>
        <xdr:cNvPr id="1287" name="Picture 263">
          <a:extLst>
            <a:ext uri="{FF2B5EF4-FFF2-40B4-BE49-F238E27FC236}">
              <a16:creationId xmlns:a16="http://schemas.microsoft.com/office/drawing/2014/main" id="{00000000-0008-0000-0000-000007050000}"/>
            </a:ext>
          </a:extLst>
        </xdr:cNvPr>
        <xdr:cNvPicPr>
          <a:picLocks noChangeAspect="1" noChangeArrowheads="1"/>
        </xdr:cNvPicPr>
      </xdr:nvPicPr>
      <xdr:blipFill>
        <a:blip xmlns:r="http://schemas.openxmlformats.org/officeDocument/2006/relationships" r:embed="rId263" cstate="print"/>
        <a:srcRect/>
        <a:stretch>
          <a:fillRect/>
        </a:stretch>
      </xdr:blipFill>
      <xdr:spPr bwMode="auto">
        <a:xfrm>
          <a:off x="0" y="0"/>
          <a:ext cx="1143000" cy="1114425"/>
        </a:xfrm>
        <a:prstGeom prst="rect">
          <a:avLst/>
        </a:prstGeom>
        <a:noFill/>
      </xdr:spPr>
    </xdr:pic>
    <xdr:clientData/>
  </xdr:twoCellAnchor>
  <xdr:twoCellAnchor editAs="oneCell">
    <xdr:from>
      <xdr:col>2</xdr:col>
      <xdr:colOff>38100</xdr:colOff>
      <xdr:row>557</xdr:row>
      <xdr:rowOff>38100</xdr:rowOff>
    </xdr:from>
    <xdr:to>
      <xdr:col>2</xdr:col>
      <xdr:colOff>1181100</xdr:colOff>
      <xdr:row>557</xdr:row>
      <xdr:rowOff>1181100</xdr:rowOff>
    </xdr:to>
    <xdr:pic>
      <xdr:nvPicPr>
        <xdr:cNvPr id="1288" name="Picture 264">
          <a:extLst>
            <a:ext uri="{FF2B5EF4-FFF2-40B4-BE49-F238E27FC236}">
              <a16:creationId xmlns:a16="http://schemas.microsoft.com/office/drawing/2014/main" id="{00000000-0008-0000-0000-000008050000}"/>
            </a:ext>
          </a:extLst>
        </xdr:cNvPr>
        <xdr:cNvPicPr>
          <a:picLocks noChangeAspect="1" noChangeArrowheads="1"/>
        </xdr:cNvPicPr>
      </xdr:nvPicPr>
      <xdr:blipFill>
        <a:blip xmlns:r="http://schemas.openxmlformats.org/officeDocument/2006/relationships" r:embed="rId264"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558</xdr:row>
      <xdr:rowOff>38100</xdr:rowOff>
    </xdr:from>
    <xdr:to>
      <xdr:col>2</xdr:col>
      <xdr:colOff>770340</xdr:colOff>
      <xdr:row>558</xdr:row>
      <xdr:rowOff>288282</xdr:rowOff>
    </xdr:to>
    <xdr:pic>
      <xdr:nvPicPr>
        <xdr:cNvPr id="1289" name="Picture 265">
          <a:extLst>
            <a:ext uri="{FF2B5EF4-FFF2-40B4-BE49-F238E27FC236}">
              <a16:creationId xmlns:a16="http://schemas.microsoft.com/office/drawing/2014/main" id="{00000000-0008-0000-0000-000009050000}"/>
            </a:ext>
          </a:extLst>
        </xdr:cNvPr>
        <xdr:cNvPicPr>
          <a:picLocks noChangeAspect="1" noChangeArrowheads="1"/>
        </xdr:cNvPicPr>
      </xdr:nvPicPr>
      <xdr:blipFill>
        <a:blip xmlns:r="http://schemas.openxmlformats.org/officeDocument/2006/relationships" r:embed="rId265" cstate="print"/>
        <a:srcRect/>
        <a:stretch>
          <a:fillRect/>
        </a:stretch>
      </xdr:blipFill>
      <xdr:spPr bwMode="auto">
        <a:xfrm>
          <a:off x="0" y="0"/>
          <a:ext cx="732240" cy="250182"/>
        </a:xfrm>
        <a:prstGeom prst="rect">
          <a:avLst/>
        </a:prstGeom>
        <a:noFill/>
      </xdr:spPr>
    </xdr:pic>
    <xdr:clientData/>
  </xdr:twoCellAnchor>
  <xdr:twoCellAnchor editAs="oneCell">
    <xdr:from>
      <xdr:col>2</xdr:col>
      <xdr:colOff>38100</xdr:colOff>
      <xdr:row>559</xdr:row>
      <xdr:rowOff>38100</xdr:rowOff>
    </xdr:from>
    <xdr:to>
      <xdr:col>2</xdr:col>
      <xdr:colOff>800100</xdr:colOff>
      <xdr:row>559</xdr:row>
      <xdr:rowOff>463550</xdr:rowOff>
    </xdr:to>
    <xdr:pic>
      <xdr:nvPicPr>
        <xdr:cNvPr id="1290" name="Picture 266">
          <a:extLst>
            <a:ext uri="{FF2B5EF4-FFF2-40B4-BE49-F238E27FC236}">
              <a16:creationId xmlns:a16="http://schemas.microsoft.com/office/drawing/2014/main" id="{00000000-0008-0000-0000-00000A050000}"/>
            </a:ext>
          </a:extLst>
        </xdr:cNvPr>
        <xdr:cNvPicPr>
          <a:picLocks noChangeAspect="1" noChangeArrowheads="1"/>
        </xdr:cNvPicPr>
      </xdr:nvPicPr>
      <xdr:blipFill>
        <a:blip xmlns:r="http://schemas.openxmlformats.org/officeDocument/2006/relationships" r:embed="rId266" cstate="print"/>
        <a:srcRect/>
        <a:stretch>
          <a:fillRect/>
        </a:stretch>
      </xdr:blipFill>
      <xdr:spPr bwMode="auto">
        <a:xfrm>
          <a:off x="0" y="0"/>
          <a:ext cx="762000" cy="425450"/>
        </a:xfrm>
        <a:prstGeom prst="rect">
          <a:avLst/>
        </a:prstGeom>
        <a:noFill/>
      </xdr:spPr>
    </xdr:pic>
    <xdr:clientData/>
  </xdr:twoCellAnchor>
  <xdr:twoCellAnchor editAs="oneCell">
    <xdr:from>
      <xdr:col>2</xdr:col>
      <xdr:colOff>38100</xdr:colOff>
      <xdr:row>562</xdr:row>
      <xdr:rowOff>38100</xdr:rowOff>
    </xdr:from>
    <xdr:to>
      <xdr:col>2</xdr:col>
      <xdr:colOff>1181100</xdr:colOff>
      <xdr:row>562</xdr:row>
      <xdr:rowOff>1181100</xdr:rowOff>
    </xdr:to>
    <xdr:pic>
      <xdr:nvPicPr>
        <xdr:cNvPr id="1291" name="Picture 267">
          <a:extLst>
            <a:ext uri="{FF2B5EF4-FFF2-40B4-BE49-F238E27FC236}">
              <a16:creationId xmlns:a16="http://schemas.microsoft.com/office/drawing/2014/main" id="{00000000-0008-0000-0000-00000B050000}"/>
            </a:ext>
          </a:extLst>
        </xdr:cNvPr>
        <xdr:cNvPicPr>
          <a:picLocks noChangeAspect="1" noChangeArrowheads="1"/>
        </xdr:cNvPicPr>
      </xdr:nvPicPr>
      <xdr:blipFill>
        <a:blip xmlns:r="http://schemas.openxmlformats.org/officeDocument/2006/relationships" r:embed="rId26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566</xdr:row>
      <xdr:rowOff>38100</xdr:rowOff>
    </xdr:from>
    <xdr:to>
      <xdr:col>2</xdr:col>
      <xdr:colOff>1181100</xdr:colOff>
      <xdr:row>566</xdr:row>
      <xdr:rowOff>1181100</xdr:rowOff>
    </xdr:to>
    <xdr:pic>
      <xdr:nvPicPr>
        <xdr:cNvPr id="1292" name="Picture 268">
          <a:extLst>
            <a:ext uri="{FF2B5EF4-FFF2-40B4-BE49-F238E27FC236}">
              <a16:creationId xmlns:a16="http://schemas.microsoft.com/office/drawing/2014/main" id="{00000000-0008-0000-0000-00000C050000}"/>
            </a:ext>
          </a:extLst>
        </xdr:cNvPr>
        <xdr:cNvPicPr>
          <a:picLocks noChangeAspect="1" noChangeArrowheads="1"/>
        </xdr:cNvPicPr>
      </xdr:nvPicPr>
      <xdr:blipFill>
        <a:blip xmlns:r="http://schemas.openxmlformats.org/officeDocument/2006/relationships" r:embed="rId26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568</xdr:row>
      <xdr:rowOff>38100</xdr:rowOff>
    </xdr:from>
    <xdr:to>
      <xdr:col>2</xdr:col>
      <xdr:colOff>1181100</xdr:colOff>
      <xdr:row>568</xdr:row>
      <xdr:rowOff>714375</xdr:rowOff>
    </xdr:to>
    <xdr:pic>
      <xdr:nvPicPr>
        <xdr:cNvPr id="1293" name="Picture 269">
          <a:extLst>
            <a:ext uri="{FF2B5EF4-FFF2-40B4-BE49-F238E27FC236}">
              <a16:creationId xmlns:a16="http://schemas.microsoft.com/office/drawing/2014/main" id="{00000000-0008-0000-0000-00000D050000}"/>
            </a:ext>
          </a:extLst>
        </xdr:cNvPr>
        <xdr:cNvPicPr>
          <a:picLocks noChangeAspect="1" noChangeArrowheads="1"/>
        </xdr:cNvPicPr>
      </xdr:nvPicPr>
      <xdr:blipFill>
        <a:blip xmlns:r="http://schemas.openxmlformats.org/officeDocument/2006/relationships" r:embed="rId269" cstate="print"/>
        <a:srcRect/>
        <a:stretch>
          <a:fillRect/>
        </a:stretch>
      </xdr:blipFill>
      <xdr:spPr bwMode="auto">
        <a:xfrm>
          <a:off x="0" y="0"/>
          <a:ext cx="1143000" cy="676275"/>
        </a:xfrm>
        <a:prstGeom prst="rect">
          <a:avLst/>
        </a:prstGeom>
        <a:noFill/>
      </xdr:spPr>
    </xdr:pic>
    <xdr:clientData/>
  </xdr:twoCellAnchor>
  <xdr:twoCellAnchor editAs="oneCell">
    <xdr:from>
      <xdr:col>2</xdr:col>
      <xdr:colOff>38100</xdr:colOff>
      <xdr:row>574</xdr:row>
      <xdr:rowOff>38100</xdr:rowOff>
    </xdr:from>
    <xdr:to>
      <xdr:col>2</xdr:col>
      <xdr:colOff>404220</xdr:colOff>
      <xdr:row>574</xdr:row>
      <xdr:rowOff>199803</xdr:rowOff>
    </xdr:to>
    <xdr:pic>
      <xdr:nvPicPr>
        <xdr:cNvPr id="1294" name="Picture 270">
          <a:extLst>
            <a:ext uri="{FF2B5EF4-FFF2-40B4-BE49-F238E27FC236}">
              <a16:creationId xmlns:a16="http://schemas.microsoft.com/office/drawing/2014/main" id="{00000000-0008-0000-0000-00000E050000}"/>
            </a:ext>
          </a:extLst>
        </xdr:cNvPr>
        <xdr:cNvPicPr>
          <a:picLocks noChangeAspect="1" noChangeArrowheads="1"/>
        </xdr:cNvPicPr>
      </xdr:nvPicPr>
      <xdr:blipFill>
        <a:blip xmlns:r="http://schemas.openxmlformats.org/officeDocument/2006/relationships" r:embed="rId270" cstate="print"/>
        <a:srcRect/>
        <a:stretch>
          <a:fillRect/>
        </a:stretch>
      </xdr:blipFill>
      <xdr:spPr bwMode="auto">
        <a:xfrm>
          <a:off x="0" y="0"/>
          <a:ext cx="366120" cy="161703"/>
        </a:xfrm>
        <a:prstGeom prst="rect">
          <a:avLst/>
        </a:prstGeom>
        <a:noFill/>
      </xdr:spPr>
    </xdr:pic>
    <xdr:clientData/>
  </xdr:twoCellAnchor>
  <xdr:twoCellAnchor editAs="oneCell">
    <xdr:from>
      <xdr:col>2</xdr:col>
      <xdr:colOff>38100</xdr:colOff>
      <xdr:row>576</xdr:row>
      <xdr:rowOff>38100</xdr:rowOff>
    </xdr:from>
    <xdr:to>
      <xdr:col>2</xdr:col>
      <xdr:colOff>1181100</xdr:colOff>
      <xdr:row>576</xdr:row>
      <xdr:rowOff>1181100</xdr:rowOff>
    </xdr:to>
    <xdr:pic>
      <xdr:nvPicPr>
        <xdr:cNvPr id="1295" name="Picture 271">
          <a:extLst>
            <a:ext uri="{FF2B5EF4-FFF2-40B4-BE49-F238E27FC236}">
              <a16:creationId xmlns:a16="http://schemas.microsoft.com/office/drawing/2014/main" id="{00000000-0008-0000-0000-00000F050000}"/>
            </a:ext>
          </a:extLst>
        </xdr:cNvPr>
        <xdr:cNvPicPr>
          <a:picLocks noChangeAspect="1" noChangeArrowheads="1"/>
        </xdr:cNvPicPr>
      </xdr:nvPicPr>
      <xdr:blipFill>
        <a:blip xmlns:r="http://schemas.openxmlformats.org/officeDocument/2006/relationships" r:embed="rId27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577</xdr:row>
      <xdr:rowOff>38100</xdr:rowOff>
    </xdr:from>
    <xdr:to>
      <xdr:col>2</xdr:col>
      <xdr:colOff>1181100</xdr:colOff>
      <xdr:row>577</xdr:row>
      <xdr:rowOff>466725</xdr:rowOff>
    </xdr:to>
    <xdr:pic>
      <xdr:nvPicPr>
        <xdr:cNvPr id="1296" name="Picture 272">
          <a:extLst>
            <a:ext uri="{FF2B5EF4-FFF2-40B4-BE49-F238E27FC236}">
              <a16:creationId xmlns:a16="http://schemas.microsoft.com/office/drawing/2014/main" id="{00000000-0008-0000-0000-000010050000}"/>
            </a:ext>
          </a:extLst>
        </xdr:cNvPr>
        <xdr:cNvPicPr>
          <a:picLocks noChangeAspect="1" noChangeArrowheads="1"/>
        </xdr:cNvPicPr>
      </xdr:nvPicPr>
      <xdr:blipFill>
        <a:blip xmlns:r="http://schemas.openxmlformats.org/officeDocument/2006/relationships" r:embed="rId272" cstate="print"/>
        <a:srcRect/>
        <a:stretch>
          <a:fillRect/>
        </a:stretch>
      </xdr:blipFill>
      <xdr:spPr bwMode="auto">
        <a:xfrm>
          <a:off x="0" y="0"/>
          <a:ext cx="1143000" cy="428625"/>
        </a:xfrm>
        <a:prstGeom prst="rect">
          <a:avLst/>
        </a:prstGeom>
        <a:noFill/>
      </xdr:spPr>
    </xdr:pic>
    <xdr:clientData/>
  </xdr:twoCellAnchor>
  <xdr:twoCellAnchor editAs="oneCell">
    <xdr:from>
      <xdr:col>2</xdr:col>
      <xdr:colOff>38100</xdr:colOff>
      <xdr:row>579</xdr:row>
      <xdr:rowOff>38100</xdr:rowOff>
    </xdr:from>
    <xdr:to>
      <xdr:col>2</xdr:col>
      <xdr:colOff>1181100</xdr:colOff>
      <xdr:row>579</xdr:row>
      <xdr:rowOff>1152525</xdr:rowOff>
    </xdr:to>
    <xdr:pic>
      <xdr:nvPicPr>
        <xdr:cNvPr id="1297" name="Picture 273">
          <a:extLst>
            <a:ext uri="{FF2B5EF4-FFF2-40B4-BE49-F238E27FC236}">
              <a16:creationId xmlns:a16="http://schemas.microsoft.com/office/drawing/2014/main" id="{00000000-0008-0000-0000-000011050000}"/>
            </a:ext>
          </a:extLst>
        </xdr:cNvPr>
        <xdr:cNvPicPr>
          <a:picLocks noChangeAspect="1" noChangeArrowheads="1"/>
        </xdr:cNvPicPr>
      </xdr:nvPicPr>
      <xdr:blipFill>
        <a:blip xmlns:r="http://schemas.openxmlformats.org/officeDocument/2006/relationships" r:embed="rId273" cstate="print"/>
        <a:srcRect/>
        <a:stretch>
          <a:fillRect/>
        </a:stretch>
      </xdr:blipFill>
      <xdr:spPr bwMode="auto">
        <a:xfrm>
          <a:off x="0" y="0"/>
          <a:ext cx="1143000" cy="1114425"/>
        </a:xfrm>
        <a:prstGeom prst="rect">
          <a:avLst/>
        </a:prstGeom>
        <a:noFill/>
      </xdr:spPr>
    </xdr:pic>
    <xdr:clientData/>
  </xdr:twoCellAnchor>
  <xdr:twoCellAnchor editAs="oneCell">
    <xdr:from>
      <xdr:col>2</xdr:col>
      <xdr:colOff>38100</xdr:colOff>
      <xdr:row>580</xdr:row>
      <xdr:rowOff>38100</xdr:rowOff>
    </xdr:from>
    <xdr:to>
      <xdr:col>2</xdr:col>
      <xdr:colOff>1181100</xdr:colOff>
      <xdr:row>580</xdr:row>
      <xdr:rowOff>1152525</xdr:rowOff>
    </xdr:to>
    <xdr:pic>
      <xdr:nvPicPr>
        <xdr:cNvPr id="1298" name="Picture 274">
          <a:extLst>
            <a:ext uri="{FF2B5EF4-FFF2-40B4-BE49-F238E27FC236}">
              <a16:creationId xmlns:a16="http://schemas.microsoft.com/office/drawing/2014/main" id="{00000000-0008-0000-0000-000012050000}"/>
            </a:ext>
          </a:extLst>
        </xdr:cNvPr>
        <xdr:cNvPicPr>
          <a:picLocks noChangeAspect="1" noChangeArrowheads="1"/>
        </xdr:cNvPicPr>
      </xdr:nvPicPr>
      <xdr:blipFill>
        <a:blip xmlns:r="http://schemas.openxmlformats.org/officeDocument/2006/relationships" r:embed="rId274" cstate="print"/>
        <a:srcRect/>
        <a:stretch>
          <a:fillRect/>
        </a:stretch>
      </xdr:blipFill>
      <xdr:spPr bwMode="auto">
        <a:xfrm>
          <a:off x="0" y="0"/>
          <a:ext cx="1143000" cy="1114425"/>
        </a:xfrm>
        <a:prstGeom prst="rect">
          <a:avLst/>
        </a:prstGeom>
        <a:noFill/>
      </xdr:spPr>
    </xdr:pic>
    <xdr:clientData/>
  </xdr:twoCellAnchor>
  <xdr:twoCellAnchor editAs="oneCell">
    <xdr:from>
      <xdr:col>2</xdr:col>
      <xdr:colOff>38100</xdr:colOff>
      <xdr:row>581</xdr:row>
      <xdr:rowOff>38100</xdr:rowOff>
    </xdr:from>
    <xdr:to>
      <xdr:col>2</xdr:col>
      <xdr:colOff>1181100</xdr:colOff>
      <xdr:row>581</xdr:row>
      <xdr:rowOff>419100</xdr:rowOff>
    </xdr:to>
    <xdr:pic>
      <xdr:nvPicPr>
        <xdr:cNvPr id="1299" name="Picture 275">
          <a:extLst>
            <a:ext uri="{FF2B5EF4-FFF2-40B4-BE49-F238E27FC236}">
              <a16:creationId xmlns:a16="http://schemas.microsoft.com/office/drawing/2014/main" id="{00000000-0008-0000-0000-000013050000}"/>
            </a:ext>
          </a:extLst>
        </xdr:cNvPr>
        <xdr:cNvPicPr>
          <a:picLocks noChangeAspect="1" noChangeArrowheads="1"/>
        </xdr:cNvPicPr>
      </xdr:nvPicPr>
      <xdr:blipFill>
        <a:blip xmlns:r="http://schemas.openxmlformats.org/officeDocument/2006/relationships" r:embed="rId275" cstate="print"/>
        <a:srcRect/>
        <a:stretch>
          <a:fillRect/>
        </a:stretch>
      </xdr:blipFill>
      <xdr:spPr bwMode="auto">
        <a:xfrm>
          <a:off x="0" y="0"/>
          <a:ext cx="1143000" cy="381000"/>
        </a:xfrm>
        <a:prstGeom prst="rect">
          <a:avLst/>
        </a:prstGeom>
        <a:noFill/>
      </xdr:spPr>
    </xdr:pic>
    <xdr:clientData/>
  </xdr:twoCellAnchor>
  <xdr:twoCellAnchor editAs="oneCell">
    <xdr:from>
      <xdr:col>2</xdr:col>
      <xdr:colOff>38100</xdr:colOff>
      <xdr:row>582</xdr:row>
      <xdr:rowOff>38100</xdr:rowOff>
    </xdr:from>
    <xdr:to>
      <xdr:col>2</xdr:col>
      <xdr:colOff>1580940</xdr:colOff>
      <xdr:row>582</xdr:row>
      <xdr:rowOff>1580940</xdr:rowOff>
    </xdr:to>
    <xdr:pic>
      <xdr:nvPicPr>
        <xdr:cNvPr id="1300" name="Picture 276">
          <a:extLst>
            <a:ext uri="{FF2B5EF4-FFF2-40B4-BE49-F238E27FC236}">
              <a16:creationId xmlns:a16="http://schemas.microsoft.com/office/drawing/2014/main" id="{00000000-0008-0000-0000-000014050000}"/>
            </a:ext>
          </a:extLst>
        </xdr:cNvPr>
        <xdr:cNvPicPr>
          <a:picLocks noChangeAspect="1" noChangeArrowheads="1"/>
        </xdr:cNvPicPr>
      </xdr:nvPicPr>
      <xdr:blipFill>
        <a:blip xmlns:r="http://schemas.openxmlformats.org/officeDocument/2006/relationships" r:embed="rId276" cstate="print"/>
        <a:srcRect/>
        <a:stretch>
          <a:fillRect/>
        </a:stretch>
      </xdr:blipFill>
      <xdr:spPr bwMode="auto">
        <a:xfrm>
          <a:off x="0" y="0"/>
          <a:ext cx="1542840" cy="1542840"/>
        </a:xfrm>
        <a:prstGeom prst="rect">
          <a:avLst/>
        </a:prstGeom>
        <a:noFill/>
      </xdr:spPr>
    </xdr:pic>
    <xdr:clientData/>
  </xdr:twoCellAnchor>
  <xdr:twoCellAnchor editAs="oneCell">
    <xdr:from>
      <xdr:col>2</xdr:col>
      <xdr:colOff>38100</xdr:colOff>
      <xdr:row>583</xdr:row>
      <xdr:rowOff>38100</xdr:rowOff>
    </xdr:from>
    <xdr:to>
      <xdr:col>2</xdr:col>
      <xdr:colOff>1205700</xdr:colOff>
      <xdr:row>583</xdr:row>
      <xdr:rowOff>446760</xdr:rowOff>
    </xdr:to>
    <xdr:pic>
      <xdr:nvPicPr>
        <xdr:cNvPr id="1301" name="Picture 277">
          <a:extLst>
            <a:ext uri="{FF2B5EF4-FFF2-40B4-BE49-F238E27FC236}">
              <a16:creationId xmlns:a16="http://schemas.microsoft.com/office/drawing/2014/main" id="{00000000-0008-0000-0000-000015050000}"/>
            </a:ext>
          </a:extLst>
        </xdr:cNvPr>
        <xdr:cNvPicPr>
          <a:picLocks noChangeAspect="1" noChangeArrowheads="1"/>
        </xdr:cNvPicPr>
      </xdr:nvPicPr>
      <xdr:blipFill>
        <a:blip xmlns:r="http://schemas.openxmlformats.org/officeDocument/2006/relationships" r:embed="rId277" cstate="print"/>
        <a:srcRect/>
        <a:stretch>
          <a:fillRect/>
        </a:stretch>
      </xdr:blipFill>
      <xdr:spPr bwMode="auto">
        <a:xfrm>
          <a:off x="0" y="0"/>
          <a:ext cx="1167600" cy="408660"/>
        </a:xfrm>
        <a:prstGeom prst="rect">
          <a:avLst/>
        </a:prstGeom>
        <a:noFill/>
      </xdr:spPr>
    </xdr:pic>
    <xdr:clientData/>
  </xdr:twoCellAnchor>
  <xdr:twoCellAnchor editAs="oneCell">
    <xdr:from>
      <xdr:col>2</xdr:col>
      <xdr:colOff>38100</xdr:colOff>
      <xdr:row>584</xdr:row>
      <xdr:rowOff>38100</xdr:rowOff>
    </xdr:from>
    <xdr:to>
      <xdr:col>2</xdr:col>
      <xdr:colOff>1181100</xdr:colOff>
      <xdr:row>584</xdr:row>
      <xdr:rowOff>466725</xdr:rowOff>
    </xdr:to>
    <xdr:pic>
      <xdr:nvPicPr>
        <xdr:cNvPr id="1302" name="Picture 278">
          <a:extLst>
            <a:ext uri="{FF2B5EF4-FFF2-40B4-BE49-F238E27FC236}">
              <a16:creationId xmlns:a16="http://schemas.microsoft.com/office/drawing/2014/main" id="{00000000-0008-0000-0000-000016050000}"/>
            </a:ext>
          </a:extLst>
        </xdr:cNvPr>
        <xdr:cNvPicPr>
          <a:picLocks noChangeAspect="1" noChangeArrowheads="1"/>
        </xdr:cNvPicPr>
      </xdr:nvPicPr>
      <xdr:blipFill>
        <a:blip xmlns:r="http://schemas.openxmlformats.org/officeDocument/2006/relationships" r:embed="rId278" cstate="print"/>
        <a:srcRect/>
        <a:stretch>
          <a:fillRect/>
        </a:stretch>
      </xdr:blipFill>
      <xdr:spPr bwMode="auto">
        <a:xfrm>
          <a:off x="0" y="0"/>
          <a:ext cx="1143000" cy="428625"/>
        </a:xfrm>
        <a:prstGeom prst="rect">
          <a:avLst/>
        </a:prstGeom>
        <a:noFill/>
      </xdr:spPr>
    </xdr:pic>
    <xdr:clientData/>
  </xdr:twoCellAnchor>
  <xdr:twoCellAnchor editAs="oneCell">
    <xdr:from>
      <xdr:col>2</xdr:col>
      <xdr:colOff>38100</xdr:colOff>
      <xdr:row>585</xdr:row>
      <xdr:rowOff>38100</xdr:rowOff>
    </xdr:from>
    <xdr:to>
      <xdr:col>2</xdr:col>
      <xdr:colOff>556260</xdr:colOff>
      <xdr:row>585</xdr:row>
      <xdr:rowOff>769620</xdr:rowOff>
    </xdr:to>
    <xdr:pic>
      <xdr:nvPicPr>
        <xdr:cNvPr id="1303" name="Picture 279">
          <a:extLst>
            <a:ext uri="{FF2B5EF4-FFF2-40B4-BE49-F238E27FC236}">
              <a16:creationId xmlns:a16="http://schemas.microsoft.com/office/drawing/2014/main" id="{00000000-0008-0000-0000-000017050000}"/>
            </a:ext>
          </a:extLst>
        </xdr:cNvPr>
        <xdr:cNvPicPr>
          <a:picLocks noChangeAspect="1" noChangeArrowheads="1"/>
        </xdr:cNvPicPr>
      </xdr:nvPicPr>
      <xdr:blipFill>
        <a:blip xmlns:r="http://schemas.openxmlformats.org/officeDocument/2006/relationships" r:embed="rId279" cstate="print"/>
        <a:srcRect/>
        <a:stretch>
          <a:fillRect/>
        </a:stretch>
      </xdr:blipFill>
      <xdr:spPr bwMode="auto">
        <a:xfrm>
          <a:off x="0" y="0"/>
          <a:ext cx="518160" cy="731520"/>
        </a:xfrm>
        <a:prstGeom prst="rect">
          <a:avLst/>
        </a:prstGeom>
        <a:noFill/>
      </xdr:spPr>
    </xdr:pic>
    <xdr:clientData/>
  </xdr:twoCellAnchor>
  <xdr:twoCellAnchor editAs="oneCell">
    <xdr:from>
      <xdr:col>2</xdr:col>
      <xdr:colOff>38100</xdr:colOff>
      <xdr:row>586</xdr:row>
      <xdr:rowOff>38100</xdr:rowOff>
    </xdr:from>
    <xdr:to>
      <xdr:col>2</xdr:col>
      <xdr:colOff>1562100</xdr:colOff>
      <xdr:row>586</xdr:row>
      <xdr:rowOff>901700</xdr:rowOff>
    </xdr:to>
    <xdr:pic>
      <xdr:nvPicPr>
        <xdr:cNvPr id="1304" name="Picture 280">
          <a:extLst>
            <a:ext uri="{FF2B5EF4-FFF2-40B4-BE49-F238E27FC236}">
              <a16:creationId xmlns:a16="http://schemas.microsoft.com/office/drawing/2014/main" id="{00000000-0008-0000-0000-000018050000}"/>
            </a:ext>
          </a:extLst>
        </xdr:cNvPr>
        <xdr:cNvPicPr>
          <a:picLocks noChangeAspect="1" noChangeArrowheads="1"/>
        </xdr:cNvPicPr>
      </xdr:nvPicPr>
      <xdr:blipFill>
        <a:blip xmlns:r="http://schemas.openxmlformats.org/officeDocument/2006/relationships" r:embed="rId280" cstate="print"/>
        <a:srcRect/>
        <a:stretch>
          <a:fillRect/>
        </a:stretch>
      </xdr:blipFill>
      <xdr:spPr bwMode="auto">
        <a:xfrm>
          <a:off x="0" y="0"/>
          <a:ext cx="1524000" cy="863600"/>
        </a:xfrm>
        <a:prstGeom prst="rect">
          <a:avLst/>
        </a:prstGeom>
        <a:noFill/>
      </xdr:spPr>
    </xdr:pic>
    <xdr:clientData/>
  </xdr:twoCellAnchor>
  <xdr:twoCellAnchor editAs="oneCell">
    <xdr:from>
      <xdr:col>2</xdr:col>
      <xdr:colOff>38100</xdr:colOff>
      <xdr:row>590</xdr:row>
      <xdr:rowOff>38100</xdr:rowOff>
    </xdr:from>
    <xdr:to>
      <xdr:col>2</xdr:col>
      <xdr:colOff>769620</xdr:colOff>
      <xdr:row>590</xdr:row>
      <xdr:rowOff>769620</xdr:rowOff>
    </xdr:to>
    <xdr:pic>
      <xdr:nvPicPr>
        <xdr:cNvPr id="1305" name="Picture 281">
          <a:extLst>
            <a:ext uri="{FF2B5EF4-FFF2-40B4-BE49-F238E27FC236}">
              <a16:creationId xmlns:a16="http://schemas.microsoft.com/office/drawing/2014/main" id="{00000000-0008-0000-0000-000019050000}"/>
            </a:ext>
          </a:extLst>
        </xdr:cNvPr>
        <xdr:cNvPicPr>
          <a:picLocks noChangeAspect="1" noChangeArrowheads="1"/>
        </xdr:cNvPicPr>
      </xdr:nvPicPr>
      <xdr:blipFill>
        <a:blip xmlns:r="http://schemas.openxmlformats.org/officeDocument/2006/relationships" r:embed="rId281"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591</xdr:row>
      <xdr:rowOff>38100</xdr:rowOff>
    </xdr:from>
    <xdr:to>
      <xdr:col>2</xdr:col>
      <xdr:colOff>1181100</xdr:colOff>
      <xdr:row>591</xdr:row>
      <xdr:rowOff>457200</xdr:rowOff>
    </xdr:to>
    <xdr:pic>
      <xdr:nvPicPr>
        <xdr:cNvPr id="1306" name="Picture 282">
          <a:extLst>
            <a:ext uri="{FF2B5EF4-FFF2-40B4-BE49-F238E27FC236}">
              <a16:creationId xmlns:a16="http://schemas.microsoft.com/office/drawing/2014/main" id="{00000000-0008-0000-0000-00001A050000}"/>
            </a:ext>
          </a:extLst>
        </xdr:cNvPr>
        <xdr:cNvPicPr>
          <a:picLocks noChangeAspect="1" noChangeArrowheads="1"/>
        </xdr:cNvPicPr>
      </xdr:nvPicPr>
      <xdr:blipFill>
        <a:blip xmlns:r="http://schemas.openxmlformats.org/officeDocument/2006/relationships" r:embed="rId282" cstate="print"/>
        <a:srcRect/>
        <a:stretch>
          <a:fillRect/>
        </a:stretch>
      </xdr:blipFill>
      <xdr:spPr bwMode="auto">
        <a:xfrm>
          <a:off x="0" y="0"/>
          <a:ext cx="1143000" cy="419100"/>
        </a:xfrm>
        <a:prstGeom prst="rect">
          <a:avLst/>
        </a:prstGeom>
        <a:noFill/>
      </xdr:spPr>
    </xdr:pic>
    <xdr:clientData/>
  </xdr:twoCellAnchor>
  <xdr:twoCellAnchor editAs="oneCell">
    <xdr:from>
      <xdr:col>2</xdr:col>
      <xdr:colOff>38100</xdr:colOff>
      <xdr:row>595</xdr:row>
      <xdr:rowOff>38100</xdr:rowOff>
    </xdr:from>
    <xdr:to>
      <xdr:col>2</xdr:col>
      <xdr:colOff>1181100</xdr:colOff>
      <xdr:row>595</xdr:row>
      <xdr:rowOff>1181100</xdr:rowOff>
    </xdr:to>
    <xdr:pic>
      <xdr:nvPicPr>
        <xdr:cNvPr id="1307" name="Picture 283">
          <a:extLst>
            <a:ext uri="{FF2B5EF4-FFF2-40B4-BE49-F238E27FC236}">
              <a16:creationId xmlns:a16="http://schemas.microsoft.com/office/drawing/2014/main" id="{00000000-0008-0000-0000-00001B050000}"/>
            </a:ext>
          </a:extLst>
        </xdr:cNvPr>
        <xdr:cNvPicPr>
          <a:picLocks noChangeAspect="1" noChangeArrowheads="1"/>
        </xdr:cNvPicPr>
      </xdr:nvPicPr>
      <xdr:blipFill>
        <a:blip xmlns:r="http://schemas.openxmlformats.org/officeDocument/2006/relationships" r:embed="rId28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596</xdr:row>
      <xdr:rowOff>38100</xdr:rowOff>
    </xdr:from>
    <xdr:to>
      <xdr:col>2</xdr:col>
      <xdr:colOff>1181100</xdr:colOff>
      <xdr:row>596</xdr:row>
      <xdr:rowOff>581025</xdr:rowOff>
    </xdr:to>
    <xdr:pic>
      <xdr:nvPicPr>
        <xdr:cNvPr id="1308" name="Picture 284">
          <a:extLst>
            <a:ext uri="{FF2B5EF4-FFF2-40B4-BE49-F238E27FC236}">
              <a16:creationId xmlns:a16="http://schemas.microsoft.com/office/drawing/2014/main" id="{00000000-0008-0000-0000-00001C050000}"/>
            </a:ext>
          </a:extLst>
        </xdr:cNvPr>
        <xdr:cNvPicPr>
          <a:picLocks noChangeAspect="1" noChangeArrowheads="1"/>
        </xdr:cNvPicPr>
      </xdr:nvPicPr>
      <xdr:blipFill>
        <a:blip xmlns:r="http://schemas.openxmlformats.org/officeDocument/2006/relationships" r:embed="rId284" cstate="print"/>
        <a:srcRect/>
        <a:stretch>
          <a:fillRect/>
        </a:stretch>
      </xdr:blipFill>
      <xdr:spPr bwMode="auto">
        <a:xfrm>
          <a:off x="0" y="0"/>
          <a:ext cx="1143000" cy="542925"/>
        </a:xfrm>
        <a:prstGeom prst="rect">
          <a:avLst/>
        </a:prstGeom>
        <a:noFill/>
      </xdr:spPr>
    </xdr:pic>
    <xdr:clientData/>
  </xdr:twoCellAnchor>
  <xdr:twoCellAnchor editAs="oneCell">
    <xdr:from>
      <xdr:col>2</xdr:col>
      <xdr:colOff>38100</xdr:colOff>
      <xdr:row>598</xdr:row>
      <xdr:rowOff>38100</xdr:rowOff>
    </xdr:from>
    <xdr:to>
      <xdr:col>2</xdr:col>
      <xdr:colOff>1181100</xdr:colOff>
      <xdr:row>598</xdr:row>
      <xdr:rowOff>285750</xdr:rowOff>
    </xdr:to>
    <xdr:pic>
      <xdr:nvPicPr>
        <xdr:cNvPr id="1309" name="Picture 285">
          <a:extLst>
            <a:ext uri="{FF2B5EF4-FFF2-40B4-BE49-F238E27FC236}">
              <a16:creationId xmlns:a16="http://schemas.microsoft.com/office/drawing/2014/main" id="{00000000-0008-0000-0000-00001D050000}"/>
            </a:ext>
          </a:extLst>
        </xdr:cNvPr>
        <xdr:cNvPicPr>
          <a:picLocks noChangeAspect="1" noChangeArrowheads="1"/>
        </xdr:cNvPicPr>
      </xdr:nvPicPr>
      <xdr:blipFill>
        <a:blip xmlns:r="http://schemas.openxmlformats.org/officeDocument/2006/relationships" r:embed="rId285" cstate="print"/>
        <a:srcRect/>
        <a:stretch>
          <a:fillRect/>
        </a:stretch>
      </xdr:blipFill>
      <xdr:spPr bwMode="auto">
        <a:xfrm>
          <a:off x="0" y="0"/>
          <a:ext cx="1143000" cy="247650"/>
        </a:xfrm>
        <a:prstGeom prst="rect">
          <a:avLst/>
        </a:prstGeom>
        <a:noFill/>
      </xdr:spPr>
    </xdr:pic>
    <xdr:clientData/>
  </xdr:twoCellAnchor>
  <xdr:twoCellAnchor editAs="oneCell">
    <xdr:from>
      <xdr:col>2</xdr:col>
      <xdr:colOff>38100</xdr:colOff>
      <xdr:row>599</xdr:row>
      <xdr:rowOff>38100</xdr:rowOff>
    </xdr:from>
    <xdr:to>
      <xdr:col>2</xdr:col>
      <xdr:colOff>769620</xdr:colOff>
      <xdr:row>599</xdr:row>
      <xdr:rowOff>769620</xdr:rowOff>
    </xdr:to>
    <xdr:pic>
      <xdr:nvPicPr>
        <xdr:cNvPr id="1310" name="Picture 286">
          <a:extLst>
            <a:ext uri="{FF2B5EF4-FFF2-40B4-BE49-F238E27FC236}">
              <a16:creationId xmlns:a16="http://schemas.microsoft.com/office/drawing/2014/main" id="{00000000-0008-0000-0000-00001E050000}"/>
            </a:ext>
          </a:extLst>
        </xdr:cNvPr>
        <xdr:cNvPicPr>
          <a:picLocks noChangeAspect="1" noChangeArrowheads="1"/>
        </xdr:cNvPicPr>
      </xdr:nvPicPr>
      <xdr:blipFill>
        <a:blip xmlns:r="http://schemas.openxmlformats.org/officeDocument/2006/relationships" r:embed="rId286"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601</xdr:row>
      <xdr:rowOff>38100</xdr:rowOff>
    </xdr:from>
    <xdr:to>
      <xdr:col>2</xdr:col>
      <xdr:colOff>403860</xdr:colOff>
      <xdr:row>601</xdr:row>
      <xdr:rowOff>236220</xdr:rowOff>
    </xdr:to>
    <xdr:pic>
      <xdr:nvPicPr>
        <xdr:cNvPr id="1311" name="Picture 287">
          <a:extLst>
            <a:ext uri="{FF2B5EF4-FFF2-40B4-BE49-F238E27FC236}">
              <a16:creationId xmlns:a16="http://schemas.microsoft.com/office/drawing/2014/main" id="{00000000-0008-0000-0000-00001F050000}"/>
            </a:ext>
          </a:extLst>
        </xdr:cNvPr>
        <xdr:cNvPicPr>
          <a:picLocks noChangeAspect="1" noChangeArrowheads="1"/>
        </xdr:cNvPicPr>
      </xdr:nvPicPr>
      <xdr:blipFill>
        <a:blip xmlns:r="http://schemas.openxmlformats.org/officeDocument/2006/relationships" r:embed="rId287" cstate="print"/>
        <a:srcRect/>
        <a:stretch>
          <a:fillRect/>
        </a:stretch>
      </xdr:blipFill>
      <xdr:spPr bwMode="auto">
        <a:xfrm>
          <a:off x="0" y="0"/>
          <a:ext cx="365760" cy="198120"/>
        </a:xfrm>
        <a:prstGeom prst="rect">
          <a:avLst/>
        </a:prstGeom>
        <a:noFill/>
      </xdr:spPr>
    </xdr:pic>
    <xdr:clientData/>
  </xdr:twoCellAnchor>
  <xdr:twoCellAnchor editAs="oneCell">
    <xdr:from>
      <xdr:col>2</xdr:col>
      <xdr:colOff>38100</xdr:colOff>
      <xdr:row>602</xdr:row>
      <xdr:rowOff>38100</xdr:rowOff>
    </xdr:from>
    <xdr:to>
      <xdr:col>2</xdr:col>
      <xdr:colOff>403860</xdr:colOff>
      <xdr:row>602</xdr:row>
      <xdr:rowOff>217932</xdr:rowOff>
    </xdr:to>
    <xdr:pic>
      <xdr:nvPicPr>
        <xdr:cNvPr id="1312" name="Picture 288">
          <a:extLst>
            <a:ext uri="{FF2B5EF4-FFF2-40B4-BE49-F238E27FC236}">
              <a16:creationId xmlns:a16="http://schemas.microsoft.com/office/drawing/2014/main" id="{00000000-0008-0000-0000-000020050000}"/>
            </a:ext>
          </a:extLst>
        </xdr:cNvPr>
        <xdr:cNvPicPr>
          <a:picLocks noChangeAspect="1" noChangeArrowheads="1"/>
        </xdr:cNvPicPr>
      </xdr:nvPicPr>
      <xdr:blipFill>
        <a:blip xmlns:r="http://schemas.openxmlformats.org/officeDocument/2006/relationships" r:embed="rId288" cstate="print"/>
        <a:srcRect/>
        <a:stretch>
          <a:fillRect/>
        </a:stretch>
      </xdr:blipFill>
      <xdr:spPr bwMode="auto">
        <a:xfrm>
          <a:off x="0" y="0"/>
          <a:ext cx="365760" cy="179832"/>
        </a:xfrm>
        <a:prstGeom prst="rect">
          <a:avLst/>
        </a:prstGeom>
        <a:noFill/>
      </xdr:spPr>
    </xdr:pic>
    <xdr:clientData/>
  </xdr:twoCellAnchor>
  <xdr:twoCellAnchor editAs="oneCell">
    <xdr:from>
      <xdr:col>2</xdr:col>
      <xdr:colOff>38100</xdr:colOff>
      <xdr:row>604</xdr:row>
      <xdr:rowOff>38100</xdr:rowOff>
    </xdr:from>
    <xdr:to>
      <xdr:col>2</xdr:col>
      <xdr:colOff>1181100</xdr:colOff>
      <xdr:row>604</xdr:row>
      <xdr:rowOff>600075</xdr:rowOff>
    </xdr:to>
    <xdr:pic>
      <xdr:nvPicPr>
        <xdr:cNvPr id="1313" name="Picture 289">
          <a:extLst>
            <a:ext uri="{FF2B5EF4-FFF2-40B4-BE49-F238E27FC236}">
              <a16:creationId xmlns:a16="http://schemas.microsoft.com/office/drawing/2014/main" id="{00000000-0008-0000-0000-000021050000}"/>
            </a:ext>
          </a:extLst>
        </xdr:cNvPr>
        <xdr:cNvPicPr>
          <a:picLocks noChangeAspect="1" noChangeArrowheads="1"/>
        </xdr:cNvPicPr>
      </xdr:nvPicPr>
      <xdr:blipFill>
        <a:blip xmlns:r="http://schemas.openxmlformats.org/officeDocument/2006/relationships" r:embed="rId289" cstate="print"/>
        <a:srcRect/>
        <a:stretch>
          <a:fillRect/>
        </a:stretch>
      </xdr:blipFill>
      <xdr:spPr bwMode="auto">
        <a:xfrm>
          <a:off x="0" y="0"/>
          <a:ext cx="1143000" cy="561975"/>
        </a:xfrm>
        <a:prstGeom prst="rect">
          <a:avLst/>
        </a:prstGeom>
        <a:noFill/>
      </xdr:spPr>
    </xdr:pic>
    <xdr:clientData/>
  </xdr:twoCellAnchor>
  <xdr:twoCellAnchor editAs="oneCell">
    <xdr:from>
      <xdr:col>2</xdr:col>
      <xdr:colOff>38100</xdr:colOff>
      <xdr:row>605</xdr:row>
      <xdr:rowOff>38100</xdr:rowOff>
    </xdr:from>
    <xdr:to>
      <xdr:col>2</xdr:col>
      <xdr:colOff>1181100</xdr:colOff>
      <xdr:row>605</xdr:row>
      <xdr:rowOff>647700</xdr:rowOff>
    </xdr:to>
    <xdr:pic>
      <xdr:nvPicPr>
        <xdr:cNvPr id="1314" name="Picture 290">
          <a:extLst>
            <a:ext uri="{FF2B5EF4-FFF2-40B4-BE49-F238E27FC236}">
              <a16:creationId xmlns:a16="http://schemas.microsoft.com/office/drawing/2014/main" id="{00000000-0008-0000-0000-000022050000}"/>
            </a:ext>
          </a:extLst>
        </xdr:cNvPr>
        <xdr:cNvPicPr>
          <a:picLocks noChangeAspect="1" noChangeArrowheads="1"/>
        </xdr:cNvPicPr>
      </xdr:nvPicPr>
      <xdr:blipFill>
        <a:blip xmlns:r="http://schemas.openxmlformats.org/officeDocument/2006/relationships" r:embed="rId290" cstate="print"/>
        <a:srcRect/>
        <a:stretch>
          <a:fillRect/>
        </a:stretch>
      </xdr:blipFill>
      <xdr:spPr bwMode="auto">
        <a:xfrm>
          <a:off x="0" y="0"/>
          <a:ext cx="1143000" cy="609600"/>
        </a:xfrm>
        <a:prstGeom prst="rect">
          <a:avLst/>
        </a:prstGeom>
        <a:noFill/>
      </xdr:spPr>
    </xdr:pic>
    <xdr:clientData/>
  </xdr:twoCellAnchor>
  <xdr:twoCellAnchor editAs="oneCell">
    <xdr:from>
      <xdr:col>2</xdr:col>
      <xdr:colOff>38100</xdr:colOff>
      <xdr:row>606</xdr:row>
      <xdr:rowOff>38100</xdr:rowOff>
    </xdr:from>
    <xdr:to>
      <xdr:col>2</xdr:col>
      <xdr:colOff>1181100</xdr:colOff>
      <xdr:row>606</xdr:row>
      <xdr:rowOff>476250</xdr:rowOff>
    </xdr:to>
    <xdr:pic>
      <xdr:nvPicPr>
        <xdr:cNvPr id="1315" name="Picture 291">
          <a:extLst>
            <a:ext uri="{FF2B5EF4-FFF2-40B4-BE49-F238E27FC236}">
              <a16:creationId xmlns:a16="http://schemas.microsoft.com/office/drawing/2014/main" id="{00000000-0008-0000-0000-000023050000}"/>
            </a:ext>
          </a:extLst>
        </xdr:cNvPr>
        <xdr:cNvPicPr>
          <a:picLocks noChangeAspect="1" noChangeArrowheads="1"/>
        </xdr:cNvPicPr>
      </xdr:nvPicPr>
      <xdr:blipFill>
        <a:blip xmlns:r="http://schemas.openxmlformats.org/officeDocument/2006/relationships" r:embed="rId291" cstate="print"/>
        <a:srcRect/>
        <a:stretch>
          <a:fillRect/>
        </a:stretch>
      </xdr:blipFill>
      <xdr:spPr bwMode="auto">
        <a:xfrm>
          <a:off x="0" y="0"/>
          <a:ext cx="1143000" cy="438150"/>
        </a:xfrm>
        <a:prstGeom prst="rect">
          <a:avLst/>
        </a:prstGeom>
        <a:noFill/>
      </xdr:spPr>
    </xdr:pic>
    <xdr:clientData/>
  </xdr:twoCellAnchor>
  <xdr:twoCellAnchor editAs="oneCell">
    <xdr:from>
      <xdr:col>2</xdr:col>
      <xdr:colOff>38100</xdr:colOff>
      <xdr:row>607</xdr:row>
      <xdr:rowOff>38100</xdr:rowOff>
    </xdr:from>
    <xdr:to>
      <xdr:col>2</xdr:col>
      <xdr:colOff>1181100</xdr:colOff>
      <xdr:row>607</xdr:row>
      <xdr:rowOff>609600</xdr:rowOff>
    </xdr:to>
    <xdr:pic>
      <xdr:nvPicPr>
        <xdr:cNvPr id="1316" name="Picture 292">
          <a:extLst>
            <a:ext uri="{FF2B5EF4-FFF2-40B4-BE49-F238E27FC236}">
              <a16:creationId xmlns:a16="http://schemas.microsoft.com/office/drawing/2014/main" id="{00000000-0008-0000-0000-000024050000}"/>
            </a:ext>
          </a:extLst>
        </xdr:cNvPr>
        <xdr:cNvPicPr>
          <a:picLocks noChangeAspect="1" noChangeArrowheads="1"/>
        </xdr:cNvPicPr>
      </xdr:nvPicPr>
      <xdr:blipFill>
        <a:blip xmlns:r="http://schemas.openxmlformats.org/officeDocument/2006/relationships" r:embed="rId292" cstate="print"/>
        <a:srcRect/>
        <a:stretch>
          <a:fillRect/>
        </a:stretch>
      </xdr:blipFill>
      <xdr:spPr bwMode="auto">
        <a:xfrm>
          <a:off x="0" y="0"/>
          <a:ext cx="1143000" cy="571500"/>
        </a:xfrm>
        <a:prstGeom prst="rect">
          <a:avLst/>
        </a:prstGeom>
        <a:noFill/>
      </xdr:spPr>
    </xdr:pic>
    <xdr:clientData/>
  </xdr:twoCellAnchor>
  <xdr:twoCellAnchor editAs="oneCell">
    <xdr:from>
      <xdr:col>2</xdr:col>
      <xdr:colOff>38100</xdr:colOff>
      <xdr:row>608</xdr:row>
      <xdr:rowOff>38100</xdr:rowOff>
    </xdr:from>
    <xdr:to>
      <xdr:col>2</xdr:col>
      <xdr:colOff>1181100</xdr:colOff>
      <xdr:row>608</xdr:row>
      <xdr:rowOff>609600</xdr:rowOff>
    </xdr:to>
    <xdr:pic>
      <xdr:nvPicPr>
        <xdr:cNvPr id="1317" name="Picture 293">
          <a:extLst>
            <a:ext uri="{FF2B5EF4-FFF2-40B4-BE49-F238E27FC236}">
              <a16:creationId xmlns:a16="http://schemas.microsoft.com/office/drawing/2014/main" id="{00000000-0008-0000-0000-000025050000}"/>
            </a:ext>
          </a:extLst>
        </xdr:cNvPr>
        <xdr:cNvPicPr>
          <a:picLocks noChangeAspect="1" noChangeArrowheads="1"/>
        </xdr:cNvPicPr>
      </xdr:nvPicPr>
      <xdr:blipFill>
        <a:blip xmlns:r="http://schemas.openxmlformats.org/officeDocument/2006/relationships" r:embed="rId293" cstate="print"/>
        <a:srcRect/>
        <a:stretch>
          <a:fillRect/>
        </a:stretch>
      </xdr:blipFill>
      <xdr:spPr bwMode="auto">
        <a:xfrm>
          <a:off x="0" y="0"/>
          <a:ext cx="1143000" cy="571500"/>
        </a:xfrm>
        <a:prstGeom prst="rect">
          <a:avLst/>
        </a:prstGeom>
        <a:noFill/>
      </xdr:spPr>
    </xdr:pic>
    <xdr:clientData/>
  </xdr:twoCellAnchor>
  <xdr:twoCellAnchor editAs="oneCell">
    <xdr:from>
      <xdr:col>2</xdr:col>
      <xdr:colOff>38100</xdr:colOff>
      <xdr:row>609</xdr:row>
      <xdr:rowOff>38100</xdr:rowOff>
    </xdr:from>
    <xdr:to>
      <xdr:col>2</xdr:col>
      <xdr:colOff>1181100</xdr:colOff>
      <xdr:row>609</xdr:row>
      <xdr:rowOff>609600</xdr:rowOff>
    </xdr:to>
    <xdr:pic>
      <xdr:nvPicPr>
        <xdr:cNvPr id="1318" name="Picture 294">
          <a:extLst>
            <a:ext uri="{FF2B5EF4-FFF2-40B4-BE49-F238E27FC236}">
              <a16:creationId xmlns:a16="http://schemas.microsoft.com/office/drawing/2014/main" id="{00000000-0008-0000-0000-000026050000}"/>
            </a:ext>
          </a:extLst>
        </xdr:cNvPr>
        <xdr:cNvPicPr>
          <a:picLocks noChangeAspect="1" noChangeArrowheads="1"/>
        </xdr:cNvPicPr>
      </xdr:nvPicPr>
      <xdr:blipFill>
        <a:blip xmlns:r="http://schemas.openxmlformats.org/officeDocument/2006/relationships" r:embed="rId294" cstate="print"/>
        <a:srcRect/>
        <a:stretch>
          <a:fillRect/>
        </a:stretch>
      </xdr:blipFill>
      <xdr:spPr bwMode="auto">
        <a:xfrm>
          <a:off x="0" y="0"/>
          <a:ext cx="1143000" cy="571500"/>
        </a:xfrm>
        <a:prstGeom prst="rect">
          <a:avLst/>
        </a:prstGeom>
        <a:noFill/>
      </xdr:spPr>
    </xdr:pic>
    <xdr:clientData/>
  </xdr:twoCellAnchor>
  <xdr:twoCellAnchor editAs="oneCell">
    <xdr:from>
      <xdr:col>2</xdr:col>
      <xdr:colOff>38100</xdr:colOff>
      <xdr:row>611</xdr:row>
      <xdr:rowOff>38100</xdr:rowOff>
    </xdr:from>
    <xdr:to>
      <xdr:col>2</xdr:col>
      <xdr:colOff>1181100</xdr:colOff>
      <xdr:row>611</xdr:row>
      <xdr:rowOff>1181100</xdr:rowOff>
    </xdr:to>
    <xdr:pic>
      <xdr:nvPicPr>
        <xdr:cNvPr id="1319" name="Picture 295">
          <a:extLst>
            <a:ext uri="{FF2B5EF4-FFF2-40B4-BE49-F238E27FC236}">
              <a16:creationId xmlns:a16="http://schemas.microsoft.com/office/drawing/2014/main" id="{00000000-0008-0000-0000-000027050000}"/>
            </a:ext>
          </a:extLst>
        </xdr:cNvPr>
        <xdr:cNvPicPr>
          <a:picLocks noChangeAspect="1" noChangeArrowheads="1"/>
        </xdr:cNvPicPr>
      </xdr:nvPicPr>
      <xdr:blipFill>
        <a:blip xmlns:r="http://schemas.openxmlformats.org/officeDocument/2006/relationships" r:embed="rId295"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614</xdr:row>
      <xdr:rowOff>38100</xdr:rowOff>
    </xdr:from>
    <xdr:to>
      <xdr:col>2</xdr:col>
      <xdr:colOff>1230780</xdr:colOff>
      <xdr:row>614</xdr:row>
      <xdr:rowOff>863037</xdr:rowOff>
    </xdr:to>
    <xdr:pic>
      <xdr:nvPicPr>
        <xdr:cNvPr id="1320" name="Picture 296">
          <a:extLst>
            <a:ext uri="{FF2B5EF4-FFF2-40B4-BE49-F238E27FC236}">
              <a16:creationId xmlns:a16="http://schemas.microsoft.com/office/drawing/2014/main" id="{00000000-0008-0000-0000-000028050000}"/>
            </a:ext>
          </a:extLst>
        </xdr:cNvPr>
        <xdr:cNvPicPr>
          <a:picLocks noChangeAspect="1" noChangeArrowheads="1"/>
        </xdr:cNvPicPr>
      </xdr:nvPicPr>
      <xdr:blipFill>
        <a:blip xmlns:r="http://schemas.openxmlformats.org/officeDocument/2006/relationships" r:embed="rId296" cstate="print"/>
        <a:srcRect/>
        <a:stretch>
          <a:fillRect/>
        </a:stretch>
      </xdr:blipFill>
      <xdr:spPr bwMode="auto">
        <a:xfrm>
          <a:off x="0" y="0"/>
          <a:ext cx="1192680" cy="824937"/>
        </a:xfrm>
        <a:prstGeom prst="rect">
          <a:avLst/>
        </a:prstGeom>
        <a:noFill/>
      </xdr:spPr>
    </xdr:pic>
    <xdr:clientData/>
  </xdr:twoCellAnchor>
  <xdr:twoCellAnchor editAs="oneCell">
    <xdr:from>
      <xdr:col>2</xdr:col>
      <xdr:colOff>38100</xdr:colOff>
      <xdr:row>618</xdr:row>
      <xdr:rowOff>38100</xdr:rowOff>
    </xdr:from>
    <xdr:to>
      <xdr:col>2</xdr:col>
      <xdr:colOff>191820</xdr:colOff>
      <xdr:row>618</xdr:row>
      <xdr:rowOff>111117</xdr:rowOff>
    </xdr:to>
    <xdr:pic>
      <xdr:nvPicPr>
        <xdr:cNvPr id="1321" name="Picture 297">
          <a:extLst>
            <a:ext uri="{FF2B5EF4-FFF2-40B4-BE49-F238E27FC236}">
              <a16:creationId xmlns:a16="http://schemas.microsoft.com/office/drawing/2014/main" id="{00000000-0008-0000-0000-000029050000}"/>
            </a:ext>
          </a:extLst>
        </xdr:cNvPr>
        <xdr:cNvPicPr>
          <a:picLocks noChangeAspect="1" noChangeArrowheads="1"/>
        </xdr:cNvPicPr>
      </xdr:nvPicPr>
      <xdr:blipFill>
        <a:blip xmlns:r="http://schemas.openxmlformats.org/officeDocument/2006/relationships" r:embed="rId297" cstate="print"/>
        <a:srcRect/>
        <a:stretch>
          <a:fillRect/>
        </a:stretch>
      </xdr:blipFill>
      <xdr:spPr bwMode="auto">
        <a:xfrm>
          <a:off x="0" y="0"/>
          <a:ext cx="153720" cy="73017"/>
        </a:xfrm>
        <a:prstGeom prst="rect">
          <a:avLst/>
        </a:prstGeom>
        <a:noFill/>
      </xdr:spPr>
    </xdr:pic>
    <xdr:clientData/>
  </xdr:twoCellAnchor>
  <xdr:twoCellAnchor editAs="oneCell">
    <xdr:from>
      <xdr:col>2</xdr:col>
      <xdr:colOff>38100</xdr:colOff>
      <xdr:row>619</xdr:row>
      <xdr:rowOff>38100</xdr:rowOff>
    </xdr:from>
    <xdr:to>
      <xdr:col>2</xdr:col>
      <xdr:colOff>191820</xdr:colOff>
      <xdr:row>619</xdr:row>
      <xdr:rowOff>111117</xdr:rowOff>
    </xdr:to>
    <xdr:pic>
      <xdr:nvPicPr>
        <xdr:cNvPr id="1322" name="Picture 298">
          <a:extLst>
            <a:ext uri="{FF2B5EF4-FFF2-40B4-BE49-F238E27FC236}">
              <a16:creationId xmlns:a16="http://schemas.microsoft.com/office/drawing/2014/main" id="{00000000-0008-0000-0000-00002A050000}"/>
            </a:ext>
          </a:extLst>
        </xdr:cNvPr>
        <xdr:cNvPicPr>
          <a:picLocks noChangeAspect="1" noChangeArrowheads="1"/>
        </xdr:cNvPicPr>
      </xdr:nvPicPr>
      <xdr:blipFill>
        <a:blip xmlns:r="http://schemas.openxmlformats.org/officeDocument/2006/relationships" r:embed="rId298" cstate="print"/>
        <a:srcRect/>
        <a:stretch>
          <a:fillRect/>
        </a:stretch>
      </xdr:blipFill>
      <xdr:spPr bwMode="auto">
        <a:xfrm>
          <a:off x="0" y="0"/>
          <a:ext cx="153720" cy="73017"/>
        </a:xfrm>
        <a:prstGeom prst="rect">
          <a:avLst/>
        </a:prstGeom>
        <a:noFill/>
      </xdr:spPr>
    </xdr:pic>
    <xdr:clientData/>
  </xdr:twoCellAnchor>
  <xdr:twoCellAnchor editAs="oneCell">
    <xdr:from>
      <xdr:col>2</xdr:col>
      <xdr:colOff>38100</xdr:colOff>
      <xdr:row>620</xdr:row>
      <xdr:rowOff>38100</xdr:rowOff>
    </xdr:from>
    <xdr:to>
      <xdr:col>2</xdr:col>
      <xdr:colOff>769620</xdr:colOff>
      <xdr:row>620</xdr:row>
      <xdr:rowOff>348996</xdr:rowOff>
    </xdr:to>
    <xdr:pic>
      <xdr:nvPicPr>
        <xdr:cNvPr id="1323" name="Picture 299">
          <a:extLst>
            <a:ext uri="{FF2B5EF4-FFF2-40B4-BE49-F238E27FC236}">
              <a16:creationId xmlns:a16="http://schemas.microsoft.com/office/drawing/2014/main" id="{00000000-0008-0000-0000-00002B050000}"/>
            </a:ext>
          </a:extLst>
        </xdr:cNvPr>
        <xdr:cNvPicPr>
          <a:picLocks noChangeAspect="1" noChangeArrowheads="1"/>
        </xdr:cNvPicPr>
      </xdr:nvPicPr>
      <xdr:blipFill>
        <a:blip xmlns:r="http://schemas.openxmlformats.org/officeDocument/2006/relationships" r:embed="rId299" cstate="print"/>
        <a:srcRect/>
        <a:stretch>
          <a:fillRect/>
        </a:stretch>
      </xdr:blipFill>
      <xdr:spPr bwMode="auto">
        <a:xfrm>
          <a:off x="0" y="0"/>
          <a:ext cx="731520" cy="310896"/>
        </a:xfrm>
        <a:prstGeom prst="rect">
          <a:avLst/>
        </a:prstGeom>
        <a:noFill/>
      </xdr:spPr>
    </xdr:pic>
    <xdr:clientData/>
  </xdr:twoCellAnchor>
  <xdr:twoCellAnchor editAs="oneCell">
    <xdr:from>
      <xdr:col>2</xdr:col>
      <xdr:colOff>38100</xdr:colOff>
      <xdr:row>626</xdr:row>
      <xdr:rowOff>38100</xdr:rowOff>
    </xdr:from>
    <xdr:to>
      <xdr:col>2</xdr:col>
      <xdr:colOff>1181100</xdr:colOff>
      <xdr:row>626</xdr:row>
      <xdr:rowOff>1181100</xdr:rowOff>
    </xdr:to>
    <xdr:pic>
      <xdr:nvPicPr>
        <xdr:cNvPr id="1324" name="Picture 300">
          <a:extLst>
            <a:ext uri="{FF2B5EF4-FFF2-40B4-BE49-F238E27FC236}">
              <a16:creationId xmlns:a16="http://schemas.microsoft.com/office/drawing/2014/main" id="{00000000-0008-0000-0000-00002C050000}"/>
            </a:ext>
          </a:extLst>
        </xdr:cNvPr>
        <xdr:cNvPicPr>
          <a:picLocks noChangeAspect="1" noChangeArrowheads="1"/>
        </xdr:cNvPicPr>
      </xdr:nvPicPr>
      <xdr:blipFill>
        <a:blip xmlns:r="http://schemas.openxmlformats.org/officeDocument/2006/relationships" r:embed="rId30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627</xdr:row>
      <xdr:rowOff>38100</xdr:rowOff>
    </xdr:from>
    <xdr:to>
      <xdr:col>2</xdr:col>
      <xdr:colOff>1181100</xdr:colOff>
      <xdr:row>627</xdr:row>
      <xdr:rowOff>1181100</xdr:rowOff>
    </xdr:to>
    <xdr:pic>
      <xdr:nvPicPr>
        <xdr:cNvPr id="1325" name="Picture 301">
          <a:extLst>
            <a:ext uri="{FF2B5EF4-FFF2-40B4-BE49-F238E27FC236}">
              <a16:creationId xmlns:a16="http://schemas.microsoft.com/office/drawing/2014/main" id="{00000000-0008-0000-0000-00002D050000}"/>
            </a:ext>
          </a:extLst>
        </xdr:cNvPr>
        <xdr:cNvPicPr>
          <a:picLocks noChangeAspect="1" noChangeArrowheads="1"/>
        </xdr:cNvPicPr>
      </xdr:nvPicPr>
      <xdr:blipFill>
        <a:blip xmlns:r="http://schemas.openxmlformats.org/officeDocument/2006/relationships" r:embed="rId30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628</xdr:row>
      <xdr:rowOff>38100</xdr:rowOff>
    </xdr:from>
    <xdr:to>
      <xdr:col>2</xdr:col>
      <xdr:colOff>1181100</xdr:colOff>
      <xdr:row>628</xdr:row>
      <xdr:rowOff>1181100</xdr:rowOff>
    </xdr:to>
    <xdr:pic>
      <xdr:nvPicPr>
        <xdr:cNvPr id="1326" name="Picture 302">
          <a:extLst>
            <a:ext uri="{FF2B5EF4-FFF2-40B4-BE49-F238E27FC236}">
              <a16:creationId xmlns:a16="http://schemas.microsoft.com/office/drawing/2014/main" id="{00000000-0008-0000-0000-00002E050000}"/>
            </a:ext>
          </a:extLst>
        </xdr:cNvPr>
        <xdr:cNvPicPr>
          <a:picLocks noChangeAspect="1" noChangeArrowheads="1"/>
        </xdr:cNvPicPr>
      </xdr:nvPicPr>
      <xdr:blipFill>
        <a:blip xmlns:r="http://schemas.openxmlformats.org/officeDocument/2006/relationships" r:embed="rId30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629</xdr:row>
      <xdr:rowOff>38100</xdr:rowOff>
    </xdr:from>
    <xdr:to>
      <xdr:col>2</xdr:col>
      <xdr:colOff>1181100</xdr:colOff>
      <xdr:row>629</xdr:row>
      <xdr:rowOff>1181100</xdr:rowOff>
    </xdr:to>
    <xdr:pic>
      <xdr:nvPicPr>
        <xdr:cNvPr id="1327" name="Picture 303">
          <a:extLst>
            <a:ext uri="{FF2B5EF4-FFF2-40B4-BE49-F238E27FC236}">
              <a16:creationId xmlns:a16="http://schemas.microsoft.com/office/drawing/2014/main" id="{00000000-0008-0000-0000-00002F050000}"/>
            </a:ext>
          </a:extLst>
        </xdr:cNvPr>
        <xdr:cNvPicPr>
          <a:picLocks noChangeAspect="1" noChangeArrowheads="1"/>
        </xdr:cNvPicPr>
      </xdr:nvPicPr>
      <xdr:blipFill>
        <a:blip xmlns:r="http://schemas.openxmlformats.org/officeDocument/2006/relationships" r:embed="rId30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630</xdr:row>
      <xdr:rowOff>38100</xdr:rowOff>
    </xdr:from>
    <xdr:to>
      <xdr:col>2</xdr:col>
      <xdr:colOff>1181100</xdr:colOff>
      <xdr:row>630</xdr:row>
      <xdr:rowOff>1181100</xdr:rowOff>
    </xdr:to>
    <xdr:pic>
      <xdr:nvPicPr>
        <xdr:cNvPr id="1328" name="Picture 304">
          <a:extLst>
            <a:ext uri="{FF2B5EF4-FFF2-40B4-BE49-F238E27FC236}">
              <a16:creationId xmlns:a16="http://schemas.microsoft.com/office/drawing/2014/main" id="{00000000-0008-0000-0000-000030050000}"/>
            </a:ext>
          </a:extLst>
        </xdr:cNvPr>
        <xdr:cNvPicPr>
          <a:picLocks noChangeAspect="1" noChangeArrowheads="1"/>
        </xdr:cNvPicPr>
      </xdr:nvPicPr>
      <xdr:blipFill>
        <a:blip xmlns:r="http://schemas.openxmlformats.org/officeDocument/2006/relationships" r:embed="rId304"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635</xdr:row>
      <xdr:rowOff>38100</xdr:rowOff>
    </xdr:from>
    <xdr:to>
      <xdr:col>2</xdr:col>
      <xdr:colOff>952500</xdr:colOff>
      <xdr:row>635</xdr:row>
      <xdr:rowOff>586740</xdr:rowOff>
    </xdr:to>
    <xdr:pic>
      <xdr:nvPicPr>
        <xdr:cNvPr id="1329" name="Picture 305">
          <a:extLst>
            <a:ext uri="{FF2B5EF4-FFF2-40B4-BE49-F238E27FC236}">
              <a16:creationId xmlns:a16="http://schemas.microsoft.com/office/drawing/2014/main" id="{00000000-0008-0000-0000-000031050000}"/>
            </a:ext>
          </a:extLst>
        </xdr:cNvPr>
        <xdr:cNvPicPr>
          <a:picLocks noChangeAspect="1" noChangeArrowheads="1"/>
        </xdr:cNvPicPr>
      </xdr:nvPicPr>
      <xdr:blipFill>
        <a:blip xmlns:r="http://schemas.openxmlformats.org/officeDocument/2006/relationships" r:embed="rId305" cstate="print"/>
        <a:srcRect/>
        <a:stretch>
          <a:fillRect/>
        </a:stretch>
      </xdr:blipFill>
      <xdr:spPr bwMode="auto">
        <a:xfrm>
          <a:off x="0" y="0"/>
          <a:ext cx="914400" cy="548640"/>
        </a:xfrm>
        <a:prstGeom prst="rect">
          <a:avLst/>
        </a:prstGeom>
        <a:noFill/>
      </xdr:spPr>
    </xdr:pic>
    <xdr:clientData/>
  </xdr:twoCellAnchor>
  <xdr:twoCellAnchor editAs="oneCell">
    <xdr:from>
      <xdr:col>2</xdr:col>
      <xdr:colOff>38100</xdr:colOff>
      <xdr:row>636</xdr:row>
      <xdr:rowOff>38100</xdr:rowOff>
    </xdr:from>
    <xdr:to>
      <xdr:col>2</xdr:col>
      <xdr:colOff>1181100</xdr:colOff>
      <xdr:row>636</xdr:row>
      <xdr:rowOff>1181100</xdr:rowOff>
    </xdr:to>
    <xdr:pic>
      <xdr:nvPicPr>
        <xdr:cNvPr id="1330" name="Picture 306">
          <a:extLst>
            <a:ext uri="{FF2B5EF4-FFF2-40B4-BE49-F238E27FC236}">
              <a16:creationId xmlns:a16="http://schemas.microsoft.com/office/drawing/2014/main" id="{00000000-0008-0000-0000-000032050000}"/>
            </a:ext>
          </a:extLst>
        </xdr:cNvPr>
        <xdr:cNvPicPr>
          <a:picLocks noChangeAspect="1" noChangeArrowheads="1"/>
        </xdr:cNvPicPr>
      </xdr:nvPicPr>
      <xdr:blipFill>
        <a:blip xmlns:r="http://schemas.openxmlformats.org/officeDocument/2006/relationships" r:embed="rId306"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639</xdr:row>
      <xdr:rowOff>38100</xdr:rowOff>
    </xdr:from>
    <xdr:to>
      <xdr:col>2</xdr:col>
      <xdr:colOff>403860</xdr:colOff>
      <xdr:row>639</xdr:row>
      <xdr:rowOff>403860</xdr:rowOff>
    </xdr:to>
    <xdr:pic>
      <xdr:nvPicPr>
        <xdr:cNvPr id="1331" name="Picture 307">
          <a:extLst>
            <a:ext uri="{FF2B5EF4-FFF2-40B4-BE49-F238E27FC236}">
              <a16:creationId xmlns:a16="http://schemas.microsoft.com/office/drawing/2014/main" id="{00000000-0008-0000-0000-000033050000}"/>
            </a:ext>
          </a:extLst>
        </xdr:cNvPr>
        <xdr:cNvPicPr>
          <a:picLocks noChangeAspect="1" noChangeArrowheads="1"/>
        </xdr:cNvPicPr>
      </xdr:nvPicPr>
      <xdr:blipFill>
        <a:blip xmlns:r="http://schemas.openxmlformats.org/officeDocument/2006/relationships" r:embed="rId307"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643</xdr:row>
      <xdr:rowOff>38100</xdr:rowOff>
    </xdr:from>
    <xdr:to>
      <xdr:col>2</xdr:col>
      <xdr:colOff>403860</xdr:colOff>
      <xdr:row>643</xdr:row>
      <xdr:rowOff>205740</xdr:rowOff>
    </xdr:to>
    <xdr:pic>
      <xdr:nvPicPr>
        <xdr:cNvPr id="1332" name="Picture 308">
          <a:extLst>
            <a:ext uri="{FF2B5EF4-FFF2-40B4-BE49-F238E27FC236}">
              <a16:creationId xmlns:a16="http://schemas.microsoft.com/office/drawing/2014/main" id="{00000000-0008-0000-0000-000034050000}"/>
            </a:ext>
          </a:extLst>
        </xdr:cNvPr>
        <xdr:cNvPicPr>
          <a:picLocks noChangeAspect="1" noChangeArrowheads="1"/>
        </xdr:cNvPicPr>
      </xdr:nvPicPr>
      <xdr:blipFill>
        <a:blip xmlns:r="http://schemas.openxmlformats.org/officeDocument/2006/relationships" r:embed="rId308" cstate="print"/>
        <a:srcRect/>
        <a:stretch>
          <a:fillRect/>
        </a:stretch>
      </xdr:blipFill>
      <xdr:spPr bwMode="auto">
        <a:xfrm>
          <a:off x="0" y="0"/>
          <a:ext cx="365760" cy="167640"/>
        </a:xfrm>
        <a:prstGeom prst="rect">
          <a:avLst/>
        </a:prstGeom>
        <a:noFill/>
      </xdr:spPr>
    </xdr:pic>
    <xdr:clientData/>
  </xdr:twoCellAnchor>
  <xdr:twoCellAnchor editAs="oneCell">
    <xdr:from>
      <xdr:col>2</xdr:col>
      <xdr:colOff>38100</xdr:colOff>
      <xdr:row>644</xdr:row>
      <xdr:rowOff>38100</xdr:rowOff>
    </xdr:from>
    <xdr:to>
      <xdr:col>2</xdr:col>
      <xdr:colOff>403860</xdr:colOff>
      <xdr:row>644</xdr:row>
      <xdr:rowOff>181356</xdr:rowOff>
    </xdr:to>
    <xdr:pic>
      <xdr:nvPicPr>
        <xdr:cNvPr id="1333" name="Picture 309">
          <a:extLst>
            <a:ext uri="{FF2B5EF4-FFF2-40B4-BE49-F238E27FC236}">
              <a16:creationId xmlns:a16="http://schemas.microsoft.com/office/drawing/2014/main" id="{00000000-0008-0000-0000-000035050000}"/>
            </a:ext>
          </a:extLst>
        </xdr:cNvPr>
        <xdr:cNvPicPr>
          <a:picLocks noChangeAspect="1" noChangeArrowheads="1"/>
        </xdr:cNvPicPr>
      </xdr:nvPicPr>
      <xdr:blipFill>
        <a:blip xmlns:r="http://schemas.openxmlformats.org/officeDocument/2006/relationships" r:embed="rId309" cstate="print"/>
        <a:srcRect/>
        <a:stretch>
          <a:fillRect/>
        </a:stretch>
      </xdr:blipFill>
      <xdr:spPr bwMode="auto">
        <a:xfrm>
          <a:off x="0" y="0"/>
          <a:ext cx="365760" cy="143256"/>
        </a:xfrm>
        <a:prstGeom prst="rect">
          <a:avLst/>
        </a:prstGeom>
        <a:noFill/>
      </xdr:spPr>
    </xdr:pic>
    <xdr:clientData/>
  </xdr:twoCellAnchor>
  <xdr:twoCellAnchor editAs="oneCell">
    <xdr:from>
      <xdr:col>2</xdr:col>
      <xdr:colOff>38100</xdr:colOff>
      <xdr:row>646</xdr:row>
      <xdr:rowOff>38100</xdr:rowOff>
    </xdr:from>
    <xdr:to>
      <xdr:col>2</xdr:col>
      <xdr:colOff>403860</xdr:colOff>
      <xdr:row>646</xdr:row>
      <xdr:rowOff>141732</xdr:rowOff>
    </xdr:to>
    <xdr:pic>
      <xdr:nvPicPr>
        <xdr:cNvPr id="1334" name="Picture 310">
          <a:extLst>
            <a:ext uri="{FF2B5EF4-FFF2-40B4-BE49-F238E27FC236}">
              <a16:creationId xmlns:a16="http://schemas.microsoft.com/office/drawing/2014/main" id="{00000000-0008-0000-0000-000036050000}"/>
            </a:ext>
          </a:extLst>
        </xdr:cNvPr>
        <xdr:cNvPicPr>
          <a:picLocks noChangeAspect="1" noChangeArrowheads="1"/>
        </xdr:cNvPicPr>
      </xdr:nvPicPr>
      <xdr:blipFill>
        <a:blip xmlns:r="http://schemas.openxmlformats.org/officeDocument/2006/relationships" r:embed="rId310" cstate="print"/>
        <a:srcRect/>
        <a:stretch>
          <a:fillRect/>
        </a:stretch>
      </xdr:blipFill>
      <xdr:spPr bwMode="auto">
        <a:xfrm>
          <a:off x="0" y="0"/>
          <a:ext cx="365760" cy="103632"/>
        </a:xfrm>
        <a:prstGeom prst="rect">
          <a:avLst/>
        </a:prstGeom>
        <a:noFill/>
      </xdr:spPr>
    </xdr:pic>
    <xdr:clientData/>
  </xdr:twoCellAnchor>
  <xdr:twoCellAnchor editAs="oneCell">
    <xdr:from>
      <xdr:col>2</xdr:col>
      <xdr:colOff>38100</xdr:colOff>
      <xdr:row>648</xdr:row>
      <xdr:rowOff>38100</xdr:rowOff>
    </xdr:from>
    <xdr:to>
      <xdr:col>2</xdr:col>
      <xdr:colOff>403860</xdr:colOff>
      <xdr:row>648</xdr:row>
      <xdr:rowOff>141732</xdr:rowOff>
    </xdr:to>
    <xdr:pic>
      <xdr:nvPicPr>
        <xdr:cNvPr id="1335" name="Picture 311">
          <a:extLst>
            <a:ext uri="{FF2B5EF4-FFF2-40B4-BE49-F238E27FC236}">
              <a16:creationId xmlns:a16="http://schemas.microsoft.com/office/drawing/2014/main" id="{00000000-0008-0000-0000-000037050000}"/>
            </a:ext>
          </a:extLst>
        </xdr:cNvPr>
        <xdr:cNvPicPr>
          <a:picLocks noChangeAspect="1" noChangeArrowheads="1"/>
        </xdr:cNvPicPr>
      </xdr:nvPicPr>
      <xdr:blipFill>
        <a:blip xmlns:r="http://schemas.openxmlformats.org/officeDocument/2006/relationships" r:embed="rId311" cstate="print"/>
        <a:srcRect/>
        <a:stretch>
          <a:fillRect/>
        </a:stretch>
      </xdr:blipFill>
      <xdr:spPr bwMode="auto">
        <a:xfrm>
          <a:off x="0" y="0"/>
          <a:ext cx="365760" cy="103632"/>
        </a:xfrm>
        <a:prstGeom prst="rect">
          <a:avLst/>
        </a:prstGeom>
        <a:noFill/>
      </xdr:spPr>
    </xdr:pic>
    <xdr:clientData/>
  </xdr:twoCellAnchor>
  <xdr:twoCellAnchor editAs="oneCell">
    <xdr:from>
      <xdr:col>2</xdr:col>
      <xdr:colOff>38100</xdr:colOff>
      <xdr:row>649</xdr:row>
      <xdr:rowOff>38100</xdr:rowOff>
    </xdr:from>
    <xdr:to>
      <xdr:col>2</xdr:col>
      <xdr:colOff>403860</xdr:colOff>
      <xdr:row>649</xdr:row>
      <xdr:rowOff>141732</xdr:rowOff>
    </xdr:to>
    <xdr:pic>
      <xdr:nvPicPr>
        <xdr:cNvPr id="1336" name="Picture 312">
          <a:extLst>
            <a:ext uri="{FF2B5EF4-FFF2-40B4-BE49-F238E27FC236}">
              <a16:creationId xmlns:a16="http://schemas.microsoft.com/office/drawing/2014/main" id="{00000000-0008-0000-0000-000038050000}"/>
            </a:ext>
          </a:extLst>
        </xdr:cNvPr>
        <xdr:cNvPicPr>
          <a:picLocks noChangeAspect="1" noChangeArrowheads="1"/>
        </xdr:cNvPicPr>
      </xdr:nvPicPr>
      <xdr:blipFill>
        <a:blip xmlns:r="http://schemas.openxmlformats.org/officeDocument/2006/relationships" r:embed="rId312" cstate="print"/>
        <a:srcRect/>
        <a:stretch>
          <a:fillRect/>
        </a:stretch>
      </xdr:blipFill>
      <xdr:spPr bwMode="auto">
        <a:xfrm>
          <a:off x="0" y="0"/>
          <a:ext cx="365760" cy="103632"/>
        </a:xfrm>
        <a:prstGeom prst="rect">
          <a:avLst/>
        </a:prstGeom>
        <a:noFill/>
      </xdr:spPr>
    </xdr:pic>
    <xdr:clientData/>
  </xdr:twoCellAnchor>
  <xdr:twoCellAnchor editAs="oneCell">
    <xdr:from>
      <xdr:col>2</xdr:col>
      <xdr:colOff>38100</xdr:colOff>
      <xdr:row>650</xdr:row>
      <xdr:rowOff>38100</xdr:rowOff>
    </xdr:from>
    <xdr:to>
      <xdr:col>2</xdr:col>
      <xdr:colOff>605028</xdr:colOff>
      <xdr:row>650</xdr:row>
      <xdr:rowOff>769620</xdr:rowOff>
    </xdr:to>
    <xdr:pic>
      <xdr:nvPicPr>
        <xdr:cNvPr id="1337" name="Picture 313">
          <a:extLst>
            <a:ext uri="{FF2B5EF4-FFF2-40B4-BE49-F238E27FC236}">
              <a16:creationId xmlns:a16="http://schemas.microsoft.com/office/drawing/2014/main" id="{00000000-0008-0000-0000-000039050000}"/>
            </a:ext>
          </a:extLst>
        </xdr:cNvPr>
        <xdr:cNvPicPr>
          <a:picLocks noChangeAspect="1" noChangeArrowheads="1"/>
        </xdr:cNvPicPr>
      </xdr:nvPicPr>
      <xdr:blipFill>
        <a:blip xmlns:r="http://schemas.openxmlformats.org/officeDocument/2006/relationships" r:embed="rId313"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651</xdr:row>
      <xdr:rowOff>38100</xdr:rowOff>
    </xdr:from>
    <xdr:to>
      <xdr:col>2</xdr:col>
      <xdr:colOff>403860</xdr:colOff>
      <xdr:row>651</xdr:row>
      <xdr:rowOff>403860</xdr:rowOff>
    </xdr:to>
    <xdr:pic>
      <xdr:nvPicPr>
        <xdr:cNvPr id="1338" name="Picture 314">
          <a:extLst>
            <a:ext uri="{FF2B5EF4-FFF2-40B4-BE49-F238E27FC236}">
              <a16:creationId xmlns:a16="http://schemas.microsoft.com/office/drawing/2014/main" id="{00000000-0008-0000-0000-00003A050000}"/>
            </a:ext>
          </a:extLst>
        </xdr:cNvPr>
        <xdr:cNvPicPr>
          <a:picLocks noChangeAspect="1" noChangeArrowheads="1"/>
        </xdr:cNvPicPr>
      </xdr:nvPicPr>
      <xdr:blipFill>
        <a:blip xmlns:r="http://schemas.openxmlformats.org/officeDocument/2006/relationships" r:embed="rId314"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653</xdr:row>
      <xdr:rowOff>38100</xdr:rowOff>
    </xdr:from>
    <xdr:to>
      <xdr:col>2</xdr:col>
      <xdr:colOff>260604</xdr:colOff>
      <xdr:row>653</xdr:row>
      <xdr:rowOff>403860</xdr:rowOff>
    </xdr:to>
    <xdr:pic>
      <xdr:nvPicPr>
        <xdr:cNvPr id="1339" name="Picture 315">
          <a:extLst>
            <a:ext uri="{FF2B5EF4-FFF2-40B4-BE49-F238E27FC236}">
              <a16:creationId xmlns:a16="http://schemas.microsoft.com/office/drawing/2014/main" id="{00000000-0008-0000-0000-00003B050000}"/>
            </a:ext>
          </a:extLst>
        </xdr:cNvPr>
        <xdr:cNvPicPr>
          <a:picLocks noChangeAspect="1" noChangeArrowheads="1"/>
        </xdr:cNvPicPr>
      </xdr:nvPicPr>
      <xdr:blipFill>
        <a:blip xmlns:r="http://schemas.openxmlformats.org/officeDocument/2006/relationships" r:embed="rId315" cstate="print"/>
        <a:srcRect/>
        <a:stretch>
          <a:fillRect/>
        </a:stretch>
      </xdr:blipFill>
      <xdr:spPr bwMode="auto">
        <a:xfrm>
          <a:off x="0" y="0"/>
          <a:ext cx="222504" cy="365760"/>
        </a:xfrm>
        <a:prstGeom prst="rect">
          <a:avLst/>
        </a:prstGeom>
        <a:noFill/>
      </xdr:spPr>
    </xdr:pic>
    <xdr:clientData/>
  </xdr:twoCellAnchor>
  <xdr:twoCellAnchor editAs="oneCell">
    <xdr:from>
      <xdr:col>2</xdr:col>
      <xdr:colOff>38100</xdr:colOff>
      <xdr:row>655</xdr:row>
      <xdr:rowOff>38100</xdr:rowOff>
    </xdr:from>
    <xdr:to>
      <xdr:col>2</xdr:col>
      <xdr:colOff>751332</xdr:colOff>
      <xdr:row>655</xdr:row>
      <xdr:rowOff>769620</xdr:rowOff>
    </xdr:to>
    <xdr:pic>
      <xdr:nvPicPr>
        <xdr:cNvPr id="1340" name="Picture 316">
          <a:extLst>
            <a:ext uri="{FF2B5EF4-FFF2-40B4-BE49-F238E27FC236}">
              <a16:creationId xmlns:a16="http://schemas.microsoft.com/office/drawing/2014/main" id="{00000000-0008-0000-0000-00003C050000}"/>
            </a:ext>
          </a:extLst>
        </xdr:cNvPr>
        <xdr:cNvPicPr>
          <a:picLocks noChangeAspect="1" noChangeArrowheads="1"/>
        </xdr:cNvPicPr>
      </xdr:nvPicPr>
      <xdr:blipFill>
        <a:blip xmlns:r="http://schemas.openxmlformats.org/officeDocument/2006/relationships" r:embed="rId316" cstate="print"/>
        <a:srcRect/>
        <a:stretch>
          <a:fillRect/>
        </a:stretch>
      </xdr:blipFill>
      <xdr:spPr bwMode="auto">
        <a:xfrm>
          <a:off x="0" y="0"/>
          <a:ext cx="713232" cy="731520"/>
        </a:xfrm>
        <a:prstGeom prst="rect">
          <a:avLst/>
        </a:prstGeom>
        <a:noFill/>
      </xdr:spPr>
    </xdr:pic>
    <xdr:clientData/>
  </xdr:twoCellAnchor>
  <xdr:twoCellAnchor editAs="oneCell">
    <xdr:from>
      <xdr:col>2</xdr:col>
      <xdr:colOff>38100</xdr:colOff>
      <xdr:row>656</xdr:row>
      <xdr:rowOff>38100</xdr:rowOff>
    </xdr:from>
    <xdr:to>
      <xdr:col>2</xdr:col>
      <xdr:colOff>1181100</xdr:colOff>
      <xdr:row>656</xdr:row>
      <xdr:rowOff>514350</xdr:rowOff>
    </xdr:to>
    <xdr:pic>
      <xdr:nvPicPr>
        <xdr:cNvPr id="1341" name="Picture 317">
          <a:extLst>
            <a:ext uri="{FF2B5EF4-FFF2-40B4-BE49-F238E27FC236}">
              <a16:creationId xmlns:a16="http://schemas.microsoft.com/office/drawing/2014/main" id="{00000000-0008-0000-0000-00003D050000}"/>
            </a:ext>
          </a:extLst>
        </xdr:cNvPr>
        <xdr:cNvPicPr>
          <a:picLocks noChangeAspect="1" noChangeArrowheads="1"/>
        </xdr:cNvPicPr>
      </xdr:nvPicPr>
      <xdr:blipFill>
        <a:blip xmlns:r="http://schemas.openxmlformats.org/officeDocument/2006/relationships" r:embed="rId317" cstate="print"/>
        <a:srcRect/>
        <a:stretch>
          <a:fillRect/>
        </a:stretch>
      </xdr:blipFill>
      <xdr:spPr bwMode="auto">
        <a:xfrm>
          <a:off x="0" y="0"/>
          <a:ext cx="1143000" cy="476250"/>
        </a:xfrm>
        <a:prstGeom prst="rect">
          <a:avLst/>
        </a:prstGeom>
        <a:noFill/>
      </xdr:spPr>
    </xdr:pic>
    <xdr:clientData/>
  </xdr:twoCellAnchor>
  <xdr:twoCellAnchor editAs="oneCell">
    <xdr:from>
      <xdr:col>2</xdr:col>
      <xdr:colOff>38100</xdr:colOff>
      <xdr:row>657</xdr:row>
      <xdr:rowOff>38100</xdr:rowOff>
    </xdr:from>
    <xdr:to>
      <xdr:col>2</xdr:col>
      <xdr:colOff>1181100</xdr:colOff>
      <xdr:row>657</xdr:row>
      <xdr:rowOff>809625</xdr:rowOff>
    </xdr:to>
    <xdr:pic>
      <xdr:nvPicPr>
        <xdr:cNvPr id="1342" name="Picture 318">
          <a:extLst>
            <a:ext uri="{FF2B5EF4-FFF2-40B4-BE49-F238E27FC236}">
              <a16:creationId xmlns:a16="http://schemas.microsoft.com/office/drawing/2014/main" id="{00000000-0008-0000-0000-00003E050000}"/>
            </a:ext>
          </a:extLst>
        </xdr:cNvPr>
        <xdr:cNvPicPr>
          <a:picLocks noChangeAspect="1" noChangeArrowheads="1"/>
        </xdr:cNvPicPr>
      </xdr:nvPicPr>
      <xdr:blipFill>
        <a:blip xmlns:r="http://schemas.openxmlformats.org/officeDocument/2006/relationships" r:embed="rId318" cstate="print"/>
        <a:srcRect/>
        <a:stretch>
          <a:fillRect/>
        </a:stretch>
      </xdr:blipFill>
      <xdr:spPr bwMode="auto">
        <a:xfrm>
          <a:off x="0" y="0"/>
          <a:ext cx="1143000" cy="771525"/>
        </a:xfrm>
        <a:prstGeom prst="rect">
          <a:avLst/>
        </a:prstGeom>
        <a:noFill/>
      </xdr:spPr>
    </xdr:pic>
    <xdr:clientData/>
  </xdr:twoCellAnchor>
  <xdr:twoCellAnchor editAs="oneCell">
    <xdr:from>
      <xdr:col>2</xdr:col>
      <xdr:colOff>38100</xdr:colOff>
      <xdr:row>658</xdr:row>
      <xdr:rowOff>38100</xdr:rowOff>
    </xdr:from>
    <xdr:to>
      <xdr:col>2</xdr:col>
      <xdr:colOff>923925</xdr:colOff>
      <xdr:row>658</xdr:row>
      <xdr:rowOff>1181100</xdr:rowOff>
    </xdr:to>
    <xdr:pic>
      <xdr:nvPicPr>
        <xdr:cNvPr id="1343" name="Picture 319">
          <a:extLst>
            <a:ext uri="{FF2B5EF4-FFF2-40B4-BE49-F238E27FC236}">
              <a16:creationId xmlns:a16="http://schemas.microsoft.com/office/drawing/2014/main" id="{00000000-0008-0000-0000-00003F050000}"/>
            </a:ext>
          </a:extLst>
        </xdr:cNvPr>
        <xdr:cNvPicPr>
          <a:picLocks noChangeAspect="1" noChangeArrowheads="1"/>
        </xdr:cNvPicPr>
      </xdr:nvPicPr>
      <xdr:blipFill>
        <a:blip xmlns:r="http://schemas.openxmlformats.org/officeDocument/2006/relationships" r:embed="rId319" cstate="print"/>
        <a:srcRect/>
        <a:stretch>
          <a:fillRect/>
        </a:stretch>
      </xdr:blipFill>
      <xdr:spPr bwMode="auto">
        <a:xfrm>
          <a:off x="0" y="0"/>
          <a:ext cx="885825" cy="1143000"/>
        </a:xfrm>
        <a:prstGeom prst="rect">
          <a:avLst/>
        </a:prstGeom>
        <a:noFill/>
      </xdr:spPr>
    </xdr:pic>
    <xdr:clientData/>
  </xdr:twoCellAnchor>
  <xdr:twoCellAnchor editAs="oneCell">
    <xdr:from>
      <xdr:col>2</xdr:col>
      <xdr:colOff>38100</xdr:colOff>
      <xdr:row>660</xdr:row>
      <xdr:rowOff>38100</xdr:rowOff>
    </xdr:from>
    <xdr:to>
      <xdr:col>2</xdr:col>
      <xdr:colOff>769620</xdr:colOff>
      <xdr:row>660</xdr:row>
      <xdr:rowOff>213724</xdr:rowOff>
    </xdr:to>
    <xdr:pic>
      <xdr:nvPicPr>
        <xdr:cNvPr id="1344" name="Picture 320">
          <a:extLst>
            <a:ext uri="{FF2B5EF4-FFF2-40B4-BE49-F238E27FC236}">
              <a16:creationId xmlns:a16="http://schemas.microsoft.com/office/drawing/2014/main" id="{00000000-0008-0000-0000-000040050000}"/>
            </a:ext>
          </a:extLst>
        </xdr:cNvPr>
        <xdr:cNvPicPr>
          <a:picLocks noChangeAspect="1" noChangeArrowheads="1"/>
        </xdr:cNvPicPr>
      </xdr:nvPicPr>
      <xdr:blipFill>
        <a:blip xmlns:r="http://schemas.openxmlformats.org/officeDocument/2006/relationships" r:embed="rId320" cstate="print"/>
        <a:srcRect/>
        <a:stretch>
          <a:fillRect/>
        </a:stretch>
      </xdr:blipFill>
      <xdr:spPr bwMode="auto">
        <a:xfrm>
          <a:off x="0" y="0"/>
          <a:ext cx="731520" cy="175624"/>
        </a:xfrm>
        <a:prstGeom prst="rect">
          <a:avLst/>
        </a:prstGeom>
        <a:noFill/>
      </xdr:spPr>
    </xdr:pic>
    <xdr:clientData/>
  </xdr:twoCellAnchor>
  <xdr:twoCellAnchor editAs="oneCell">
    <xdr:from>
      <xdr:col>2</xdr:col>
      <xdr:colOff>38100</xdr:colOff>
      <xdr:row>661</xdr:row>
      <xdr:rowOff>38100</xdr:rowOff>
    </xdr:from>
    <xdr:to>
      <xdr:col>2</xdr:col>
      <xdr:colOff>1562100</xdr:colOff>
      <xdr:row>661</xdr:row>
      <xdr:rowOff>1320800</xdr:rowOff>
    </xdr:to>
    <xdr:pic>
      <xdr:nvPicPr>
        <xdr:cNvPr id="1345" name="Picture 321">
          <a:extLst>
            <a:ext uri="{FF2B5EF4-FFF2-40B4-BE49-F238E27FC236}">
              <a16:creationId xmlns:a16="http://schemas.microsoft.com/office/drawing/2014/main" id="{00000000-0008-0000-0000-000041050000}"/>
            </a:ext>
          </a:extLst>
        </xdr:cNvPr>
        <xdr:cNvPicPr>
          <a:picLocks noChangeAspect="1" noChangeArrowheads="1"/>
        </xdr:cNvPicPr>
      </xdr:nvPicPr>
      <xdr:blipFill>
        <a:blip xmlns:r="http://schemas.openxmlformats.org/officeDocument/2006/relationships" r:embed="rId321" cstate="print"/>
        <a:srcRect/>
        <a:stretch>
          <a:fillRect/>
        </a:stretch>
      </xdr:blipFill>
      <xdr:spPr bwMode="auto">
        <a:xfrm>
          <a:off x="0" y="0"/>
          <a:ext cx="1524000" cy="1282700"/>
        </a:xfrm>
        <a:prstGeom prst="rect">
          <a:avLst/>
        </a:prstGeom>
        <a:noFill/>
      </xdr:spPr>
    </xdr:pic>
    <xdr:clientData/>
  </xdr:twoCellAnchor>
  <xdr:twoCellAnchor editAs="oneCell">
    <xdr:from>
      <xdr:col>2</xdr:col>
      <xdr:colOff>38100</xdr:colOff>
      <xdr:row>667</xdr:row>
      <xdr:rowOff>38100</xdr:rowOff>
    </xdr:from>
    <xdr:to>
      <xdr:col>2</xdr:col>
      <xdr:colOff>929640</xdr:colOff>
      <xdr:row>667</xdr:row>
      <xdr:rowOff>952500</xdr:rowOff>
    </xdr:to>
    <xdr:pic>
      <xdr:nvPicPr>
        <xdr:cNvPr id="1346" name="Picture 322">
          <a:extLst>
            <a:ext uri="{FF2B5EF4-FFF2-40B4-BE49-F238E27FC236}">
              <a16:creationId xmlns:a16="http://schemas.microsoft.com/office/drawing/2014/main" id="{00000000-0008-0000-0000-000042050000}"/>
            </a:ext>
          </a:extLst>
        </xdr:cNvPr>
        <xdr:cNvPicPr>
          <a:picLocks noChangeAspect="1" noChangeArrowheads="1"/>
        </xdr:cNvPicPr>
      </xdr:nvPicPr>
      <xdr:blipFill>
        <a:blip xmlns:r="http://schemas.openxmlformats.org/officeDocument/2006/relationships" r:embed="rId322" cstate="print"/>
        <a:srcRect/>
        <a:stretch>
          <a:fillRect/>
        </a:stretch>
      </xdr:blipFill>
      <xdr:spPr bwMode="auto">
        <a:xfrm>
          <a:off x="0" y="0"/>
          <a:ext cx="891540" cy="914400"/>
        </a:xfrm>
        <a:prstGeom prst="rect">
          <a:avLst/>
        </a:prstGeom>
        <a:noFill/>
      </xdr:spPr>
    </xdr:pic>
    <xdr:clientData/>
  </xdr:twoCellAnchor>
  <xdr:twoCellAnchor editAs="oneCell">
    <xdr:from>
      <xdr:col>2</xdr:col>
      <xdr:colOff>38100</xdr:colOff>
      <xdr:row>668</xdr:row>
      <xdr:rowOff>38100</xdr:rowOff>
    </xdr:from>
    <xdr:to>
      <xdr:col>2</xdr:col>
      <xdr:colOff>1181100</xdr:colOff>
      <xdr:row>668</xdr:row>
      <xdr:rowOff>1181100</xdr:rowOff>
    </xdr:to>
    <xdr:pic>
      <xdr:nvPicPr>
        <xdr:cNvPr id="1347" name="Picture 323">
          <a:extLst>
            <a:ext uri="{FF2B5EF4-FFF2-40B4-BE49-F238E27FC236}">
              <a16:creationId xmlns:a16="http://schemas.microsoft.com/office/drawing/2014/main" id="{00000000-0008-0000-0000-000043050000}"/>
            </a:ext>
          </a:extLst>
        </xdr:cNvPr>
        <xdr:cNvPicPr>
          <a:picLocks noChangeAspect="1" noChangeArrowheads="1"/>
        </xdr:cNvPicPr>
      </xdr:nvPicPr>
      <xdr:blipFill>
        <a:blip xmlns:r="http://schemas.openxmlformats.org/officeDocument/2006/relationships" r:embed="rId32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670</xdr:row>
      <xdr:rowOff>38100</xdr:rowOff>
    </xdr:from>
    <xdr:to>
      <xdr:col>2</xdr:col>
      <xdr:colOff>403860</xdr:colOff>
      <xdr:row>670</xdr:row>
      <xdr:rowOff>129540</xdr:rowOff>
    </xdr:to>
    <xdr:pic>
      <xdr:nvPicPr>
        <xdr:cNvPr id="1348" name="Picture 324">
          <a:extLst>
            <a:ext uri="{FF2B5EF4-FFF2-40B4-BE49-F238E27FC236}">
              <a16:creationId xmlns:a16="http://schemas.microsoft.com/office/drawing/2014/main" id="{00000000-0008-0000-0000-000044050000}"/>
            </a:ext>
          </a:extLst>
        </xdr:cNvPr>
        <xdr:cNvPicPr>
          <a:picLocks noChangeAspect="1" noChangeArrowheads="1"/>
        </xdr:cNvPicPr>
      </xdr:nvPicPr>
      <xdr:blipFill>
        <a:blip xmlns:r="http://schemas.openxmlformats.org/officeDocument/2006/relationships" r:embed="rId324" cstate="print"/>
        <a:srcRect/>
        <a:stretch>
          <a:fillRect/>
        </a:stretch>
      </xdr:blipFill>
      <xdr:spPr bwMode="auto">
        <a:xfrm>
          <a:off x="0" y="0"/>
          <a:ext cx="365760" cy="91440"/>
        </a:xfrm>
        <a:prstGeom prst="rect">
          <a:avLst/>
        </a:prstGeom>
        <a:noFill/>
      </xdr:spPr>
    </xdr:pic>
    <xdr:clientData/>
  </xdr:twoCellAnchor>
  <xdr:twoCellAnchor editAs="oneCell">
    <xdr:from>
      <xdr:col>2</xdr:col>
      <xdr:colOff>38100</xdr:colOff>
      <xdr:row>677</xdr:row>
      <xdr:rowOff>38100</xdr:rowOff>
    </xdr:from>
    <xdr:to>
      <xdr:col>2</xdr:col>
      <xdr:colOff>1181100</xdr:colOff>
      <xdr:row>677</xdr:row>
      <xdr:rowOff>1181100</xdr:rowOff>
    </xdr:to>
    <xdr:pic>
      <xdr:nvPicPr>
        <xdr:cNvPr id="1349" name="Picture 325">
          <a:extLst>
            <a:ext uri="{FF2B5EF4-FFF2-40B4-BE49-F238E27FC236}">
              <a16:creationId xmlns:a16="http://schemas.microsoft.com/office/drawing/2014/main" id="{00000000-0008-0000-0000-000045050000}"/>
            </a:ext>
          </a:extLst>
        </xdr:cNvPr>
        <xdr:cNvPicPr>
          <a:picLocks noChangeAspect="1" noChangeArrowheads="1"/>
        </xdr:cNvPicPr>
      </xdr:nvPicPr>
      <xdr:blipFill>
        <a:blip xmlns:r="http://schemas.openxmlformats.org/officeDocument/2006/relationships" r:embed="rId325"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678</xdr:row>
      <xdr:rowOff>38100</xdr:rowOff>
    </xdr:from>
    <xdr:to>
      <xdr:col>2</xdr:col>
      <xdr:colOff>800100</xdr:colOff>
      <xdr:row>678</xdr:row>
      <xdr:rowOff>800100</xdr:rowOff>
    </xdr:to>
    <xdr:pic>
      <xdr:nvPicPr>
        <xdr:cNvPr id="1350" name="Picture 326">
          <a:extLst>
            <a:ext uri="{FF2B5EF4-FFF2-40B4-BE49-F238E27FC236}">
              <a16:creationId xmlns:a16="http://schemas.microsoft.com/office/drawing/2014/main" id="{00000000-0008-0000-0000-000046050000}"/>
            </a:ext>
          </a:extLst>
        </xdr:cNvPr>
        <xdr:cNvPicPr>
          <a:picLocks noChangeAspect="1" noChangeArrowheads="1"/>
        </xdr:cNvPicPr>
      </xdr:nvPicPr>
      <xdr:blipFill>
        <a:blip xmlns:r="http://schemas.openxmlformats.org/officeDocument/2006/relationships" r:embed="rId326" cstate="print"/>
        <a:srcRect/>
        <a:stretch>
          <a:fillRect/>
        </a:stretch>
      </xdr:blipFill>
      <xdr:spPr bwMode="auto">
        <a:xfrm>
          <a:off x="0" y="0"/>
          <a:ext cx="762000" cy="762000"/>
        </a:xfrm>
        <a:prstGeom prst="rect">
          <a:avLst/>
        </a:prstGeom>
        <a:noFill/>
      </xdr:spPr>
    </xdr:pic>
    <xdr:clientData/>
  </xdr:twoCellAnchor>
  <xdr:twoCellAnchor editAs="oneCell">
    <xdr:from>
      <xdr:col>2</xdr:col>
      <xdr:colOff>38100</xdr:colOff>
      <xdr:row>679</xdr:row>
      <xdr:rowOff>38100</xdr:rowOff>
    </xdr:from>
    <xdr:to>
      <xdr:col>2</xdr:col>
      <xdr:colOff>1181100</xdr:colOff>
      <xdr:row>679</xdr:row>
      <xdr:rowOff>628650</xdr:rowOff>
    </xdr:to>
    <xdr:pic>
      <xdr:nvPicPr>
        <xdr:cNvPr id="1351" name="Picture 327">
          <a:extLst>
            <a:ext uri="{FF2B5EF4-FFF2-40B4-BE49-F238E27FC236}">
              <a16:creationId xmlns:a16="http://schemas.microsoft.com/office/drawing/2014/main" id="{00000000-0008-0000-0000-000047050000}"/>
            </a:ext>
          </a:extLst>
        </xdr:cNvPr>
        <xdr:cNvPicPr>
          <a:picLocks noChangeAspect="1" noChangeArrowheads="1"/>
        </xdr:cNvPicPr>
      </xdr:nvPicPr>
      <xdr:blipFill>
        <a:blip xmlns:r="http://schemas.openxmlformats.org/officeDocument/2006/relationships" r:embed="rId327" cstate="print"/>
        <a:srcRect/>
        <a:stretch>
          <a:fillRect/>
        </a:stretch>
      </xdr:blipFill>
      <xdr:spPr bwMode="auto">
        <a:xfrm>
          <a:off x="0" y="0"/>
          <a:ext cx="1143000" cy="590550"/>
        </a:xfrm>
        <a:prstGeom prst="rect">
          <a:avLst/>
        </a:prstGeom>
        <a:noFill/>
      </xdr:spPr>
    </xdr:pic>
    <xdr:clientData/>
  </xdr:twoCellAnchor>
  <xdr:twoCellAnchor editAs="oneCell">
    <xdr:from>
      <xdr:col>2</xdr:col>
      <xdr:colOff>38100</xdr:colOff>
      <xdr:row>680</xdr:row>
      <xdr:rowOff>38100</xdr:rowOff>
    </xdr:from>
    <xdr:to>
      <xdr:col>2</xdr:col>
      <xdr:colOff>403860</xdr:colOff>
      <xdr:row>680</xdr:row>
      <xdr:rowOff>403860</xdr:rowOff>
    </xdr:to>
    <xdr:pic>
      <xdr:nvPicPr>
        <xdr:cNvPr id="1352" name="Picture 328">
          <a:extLst>
            <a:ext uri="{FF2B5EF4-FFF2-40B4-BE49-F238E27FC236}">
              <a16:creationId xmlns:a16="http://schemas.microsoft.com/office/drawing/2014/main" id="{00000000-0008-0000-0000-000048050000}"/>
            </a:ext>
          </a:extLst>
        </xdr:cNvPr>
        <xdr:cNvPicPr>
          <a:picLocks noChangeAspect="1" noChangeArrowheads="1"/>
        </xdr:cNvPicPr>
      </xdr:nvPicPr>
      <xdr:blipFill>
        <a:blip xmlns:r="http://schemas.openxmlformats.org/officeDocument/2006/relationships" r:embed="rId328"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682</xdr:row>
      <xdr:rowOff>38100</xdr:rowOff>
    </xdr:from>
    <xdr:to>
      <xdr:col>2</xdr:col>
      <xdr:colOff>1152525</xdr:colOff>
      <xdr:row>682</xdr:row>
      <xdr:rowOff>1181100</xdr:rowOff>
    </xdr:to>
    <xdr:pic>
      <xdr:nvPicPr>
        <xdr:cNvPr id="1353" name="Picture 329">
          <a:extLst>
            <a:ext uri="{FF2B5EF4-FFF2-40B4-BE49-F238E27FC236}">
              <a16:creationId xmlns:a16="http://schemas.microsoft.com/office/drawing/2014/main" id="{00000000-0008-0000-0000-000049050000}"/>
            </a:ext>
          </a:extLst>
        </xdr:cNvPr>
        <xdr:cNvPicPr>
          <a:picLocks noChangeAspect="1" noChangeArrowheads="1"/>
        </xdr:cNvPicPr>
      </xdr:nvPicPr>
      <xdr:blipFill>
        <a:blip xmlns:r="http://schemas.openxmlformats.org/officeDocument/2006/relationships" r:embed="rId329" cstate="print"/>
        <a:srcRect/>
        <a:stretch>
          <a:fillRect/>
        </a:stretch>
      </xdr:blipFill>
      <xdr:spPr bwMode="auto">
        <a:xfrm>
          <a:off x="0" y="0"/>
          <a:ext cx="1114425" cy="1143000"/>
        </a:xfrm>
        <a:prstGeom prst="rect">
          <a:avLst/>
        </a:prstGeom>
        <a:noFill/>
      </xdr:spPr>
    </xdr:pic>
    <xdr:clientData/>
  </xdr:twoCellAnchor>
  <xdr:twoCellAnchor editAs="oneCell">
    <xdr:from>
      <xdr:col>2</xdr:col>
      <xdr:colOff>38100</xdr:colOff>
      <xdr:row>683</xdr:row>
      <xdr:rowOff>38100</xdr:rowOff>
    </xdr:from>
    <xdr:to>
      <xdr:col>2</xdr:col>
      <xdr:colOff>857250</xdr:colOff>
      <xdr:row>683</xdr:row>
      <xdr:rowOff>1181100</xdr:rowOff>
    </xdr:to>
    <xdr:pic>
      <xdr:nvPicPr>
        <xdr:cNvPr id="1354" name="Picture 330">
          <a:extLst>
            <a:ext uri="{FF2B5EF4-FFF2-40B4-BE49-F238E27FC236}">
              <a16:creationId xmlns:a16="http://schemas.microsoft.com/office/drawing/2014/main" id="{00000000-0008-0000-0000-00004A050000}"/>
            </a:ext>
          </a:extLst>
        </xdr:cNvPr>
        <xdr:cNvPicPr>
          <a:picLocks noChangeAspect="1" noChangeArrowheads="1"/>
        </xdr:cNvPicPr>
      </xdr:nvPicPr>
      <xdr:blipFill>
        <a:blip xmlns:r="http://schemas.openxmlformats.org/officeDocument/2006/relationships" r:embed="rId330" cstate="print"/>
        <a:srcRect/>
        <a:stretch>
          <a:fillRect/>
        </a:stretch>
      </xdr:blipFill>
      <xdr:spPr bwMode="auto">
        <a:xfrm>
          <a:off x="0" y="0"/>
          <a:ext cx="819150" cy="1143000"/>
        </a:xfrm>
        <a:prstGeom prst="rect">
          <a:avLst/>
        </a:prstGeom>
        <a:noFill/>
      </xdr:spPr>
    </xdr:pic>
    <xdr:clientData/>
  </xdr:twoCellAnchor>
  <xdr:twoCellAnchor editAs="oneCell">
    <xdr:from>
      <xdr:col>2</xdr:col>
      <xdr:colOff>38100</xdr:colOff>
      <xdr:row>686</xdr:row>
      <xdr:rowOff>38100</xdr:rowOff>
    </xdr:from>
    <xdr:to>
      <xdr:col>2</xdr:col>
      <xdr:colOff>453780</xdr:colOff>
      <xdr:row>686</xdr:row>
      <xdr:rowOff>453780</xdr:rowOff>
    </xdr:to>
    <xdr:pic>
      <xdr:nvPicPr>
        <xdr:cNvPr id="1355" name="Picture 331">
          <a:extLst>
            <a:ext uri="{FF2B5EF4-FFF2-40B4-BE49-F238E27FC236}">
              <a16:creationId xmlns:a16="http://schemas.microsoft.com/office/drawing/2014/main" id="{00000000-0008-0000-0000-00004B050000}"/>
            </a:ext>
          </a:extLst>
        </xdr:cNvPr>
        <xdr:cNvPicPr>
          <a:picLocks noChangeAspect="1" noChangeArrowheads="1"/>
        </xdr:cNvPicPr>
      </xdr:nvPicPr>
      <xdr:blipFill>
        <a:blip xmlns:r="http://schemas.openxmlformats.org/officeDocument/2006/relationships" r:embed="rId331" cstate="print"/>
        <a:srcRect/>
        <a:stretch>
          <a:fillRect/>
        </a:stretch>
      </xdr:blipFill>
      <xdr:spPr bwMode="auto">
        <a:xfrm>
          <a:off x="0" y="0"/>
          <a:ext cx="415680" cy="415680"/>
        </a:xfrm>
        <a:prstGeom prst="rect">
          <a:avLst/>
        </a:prstGeom>
        <a:noFill/>
      </xdr:spPr>
    </xdr:pic>
    <xdr:clientData/>
  </xdr:twoCellAnchor>
  <xdr:twoCellAnchor editAs="oneCell">
    <xdr:from>
      <xdr:col>2</xdr:col>
      <xdr:colOff>38100</xdr:colOff>
      <xdr:row>687</xdr:row>
      <xdr:rowOff>38100</xdr:rowOff>
    </xdr:from>
    <xdr:to>
      <xdr:col>2</xdr:col>
      <xdr:colOff>1181100</xdr:colOff>
      <xdr:row>687</xdr:row>
      <xdr:rowOff>1181100</xdr:rowOff>
    </xdr:to>
    <xdr:pic>
      <xdr:nvPicPr>
        <xdr:cNvPr id="1356" name="Picture 332">
          <a:extLst>
            <a:ext uri="{FF2B5EF4-FFF2-40B4-BE49-F238E27FC236}">
              <a16:creationId xmlns:a16="http://schemas.microsoft.com/office/drawing/2014/main" id="{00000000-0008-0000-0000-00004C050000}"/>
            </a:ext>
          </a:extLst>
        </xdr:cNvPr>
        <xdr:cNvPicPr>
          <a:picLocks noChangeAspect="1" noChangeArrowheads="1"/>
        </xdr:cNvPicPr>
      </xdr:nvPicPr>
      <xdr:blipFill>
        <a:blip xmlns:r="http://schemas.openxmlformats.org/officeDocument/2006/relationships" r:embed="rId33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688</xdr:row>
      <xdr:rowOff>38100</xdr:rowOff>
    </xdr:from>
    <xdr:to>
      <xdr:col>2</xdr:col>
      <xdr:colOff>800100</xdr:colOff>
      <xdr:row>688</xdr:row>
      <xdr:rowOff>1181100</xdr:rowOff>
    </xdr:to>
    <xdr:pic>
      <xdr:nvPicPr>
        <xdr:cNvPr id="1357" name="Picture 333">
          <a:extLst>
            <a:ext uri="{FF2B5EF4-FFF2-40B4-BE49-F238E27FC236}">
              <a16:creationId xmlns:a16="http://schemas.microsoft.com/office/drawing/2014/main" id="{00000000-0008-0000-0000-00004D050000}"/>
            </a:ext>
          </a:extLst>
        </xdr:cNvPr>
        <xdr:cNvPicPr>
          <a:picLocks noChangeAspect="1" noChangeArrowheads="1"/>
        </xdr:cNvPicPr>
      </xdr:nvPicPr>
      <xdr:blipFill>
        <a:blip xmlns:r="http://schemas.openxmlformats.org/officeDocument/2006/relationships" r:embed="rId333" cstate="print"/>
        <a:srcRect/>
        <a:stretch>
          <a:fillRect/>
        </a:stretch>
      </xdr:blipFill>
      <xdr:spPr bwMode="auto">
        <a:xfrm>
          <a:off x="0" y="0"/>
          <a:ext cx="762000" cy="1143000"/>
        </a:xfrm>
        <a:prstGeom prst="rect">
          <a:avLst/>
        </a:prstGeom>
        <a:noFill/>
      </xdr:spPr>
    </xdr:pic>
    <xdr:clientData/>
  </xdr:twoCellAnchor>
  <xdr:twoCellAnchor editAs="oneCell">
    <xdr:from>
      <xdr:col>2</xdr:col>
      <xdr:colOff>38100</xdr:colOff>
      <xdr:row>689</xdr:row>
      <xdr:rowOff>38100</xdr:rowOff>
    </xdr:from>
    <xdr:to>
      <xdr:col>2</xdr:col>
      <xdr:colOff>370332</xdr:colOff>
      <xdr:row>689</xdr:row>
      <xdr:rowOff>403860</xdr:rowOff>
    </xdr:to>
    <xdr:pic>
      <xdr:nvPicPr>
        <xdr:cNvPr id="1358" name="Picture 334">
          <a:extLst>
            <a:ext uri="{FF2B5EF4-FFF2-40B4-BE49-F238E27FC236}">
              <a16:creationId xmlns:a16="http://schemas.microsoft.com/office/drawing/2014/main" id="{00000000-0008-0000-0000-00004E050000}"/>
            </a:ext>
          </a:extLst>
        </xdr:cNvPr>
        <xdr:cNvPicPr>
          <a:picLocks noChangeAspect="1" noChangeArrowheads="1"/>
        </xdr:cNvPicPr>
      </xdr:nvPicPr>
      <xdr:blipFill>
        <a:blip xmlns:r="http://schemas.openxmlformats.org/officeDocument/2006/relationships" r:embed="rId334" cstate="print"/>
        <a:srcRect/>
        <a:stretch>
          <a:fillRect/>
        </a:stretch>
      </xdr:blipFill>
      <xdr:spPr bwMode="auto">
        <a:xfrm>
          <a:off x="0" y="0"/>
          <a:ext cx="332232" cy="365760"/>
        </a:xfrm>
        <a:prstGeom prst="rect">
          <a:avLst/>
        </a:prstGeom>
        <a:noFill/>
      </xdr:spPr>
    </xdr:pic>
    <xdr:clientData/>
  </xdr:twoCellAnchor>
  <xdr:twoCellAnchor editAs="oneCell">
    <xdr:from>
      <xdr:col>2</xdr:col>
      <xdr:colOff>38100</xdr:colOff>
      <xdr:row>690</xdr:row>
      <xdr:rowOff>38100</xdr:rowOff>
    </xdr:from>
    <xdr:to>
      <xdr:col>2</xdr:col>
      <xdr:colOff>379476</xdr:colOff>
      <xdr:row>690</xdr:row>
      <xdr:rowOff>403860</xdr:rowOff>
    </xdr:to>
    <xdr:pic>
      <xdr:nvPicPr>
        <xdr:cNvPr id="1359" name="Picture 335">
          <a:extLst>
            <a:ext uri="{FF2B5EF4-FFF2-40B4-BE49-F238E27FC236}">
              <a16:creationId xmlns:a16="http://schemas.microsoft.com/office/drawing/2014/main" id="{00000000-0008-0000-0000-00004F050000}"/>
            </a:ext>
          </a:extLst>
        </xdr:cNvPr>
        <xdr:cNvPicPr>
          <a:picLocks noChangeAspect="1" noChangeArrowheads="1"/>
        </xdr:cNvPicPr>
      </xdr:nvPicPr>
      <xdr:blipFill>
        <a:blip xmlns:r="http://schemas.openxmlformats.org/officeDocument/2006/relationships" r:embed="rId335" cstate="print"/>
        <a:srcRect/>
        <a:stretch>
          <a:fillRect/>
        </a:stretch>
      </xdr:blipFill>
      <xdr:spPr bwMode="auto">
        <a:xfrm>
          <a:off x="0" y="0"/>
          <a:ext cx="341376" cy="365760"/>
        </a:xfrm>
        <a:prstGeom prst="rect">
          <a:avLst/>
        </a:prstGeom>
        <a:noFill/>
      </xdr:spPr>
    </xdr:pic>
    <xdr:clientData/>
  </xdr:twoCellAnchor>
  <xdr:twoCellAnchor editAs="oneCell">
    <xdr:from>
      <xdr:col>2</xdr:col>
      <xdr:colOff>38100</xdr:colOff>
      <xdr:row>691</xdr:row>
      <xdr:rowOff>38100</xdr:rowOff>
    </xdr:from>
    <xdr:to>
      <xdr:col>2</xdr:col>
      <xdr:colOff>1181220</xdr:colOff>
      <xdr:row>691</xdr:row>
      <xdr:rowOff>1114538</xdr:rowOff>
    </xdr:to>
    <xdr:pic>
      <xdr:nvPicPr>
        <xdr:cNvPr id="1360" name="Picture 336">
          <a:extLst>
            <a:ext uri="{FF2B5EF4-FFF2-40B4-BE49-F238E27FC236}">
              <a16:creationId xmlns:a16="http://schemas.microsoft.com/office/drawing/2014/main" id="{00000000-0008-0000-0000-000050050000}"/>
            </a:ext>
          </a:extLst>
        </xdr:cNvPr>
        <xdr:cNvPicPr>
          <a:picLocks noChangeAspect="1" noChangeArrowheads="1"/>
        </xdr:cNvPicPr>
      </xdr:nvPicPr>
      <xdr:blipFill>
        <a:blip xmlns:r="http://schemas.openxmlformats.org/officeDocument/2006/relationships" r:embed="rId336" cstate="print"/>
        <a:srcRect/>
        <a:stretch>
          <a:fillRect/>
        </a:stretch>
      </xdr:blipFill>
      <xdr:spPr bwMode="auto">
        <a:xfrm>
          <a:off x="0" y="0"/>
          <a:ext cx="1143120" cy="1076438"/>
        </a:xfrm>
        <a:prstGeom prst="rect">
          <a:avLst/>
        </a:prstGeom>
        <a:noFill/>
      </xdr:spPr>
    </xdr:pic>
    <xdr:clientData/>
  </xdr:twoCellAnchor>
  <xdr:twoCellAnchor editAs="oneCell">
    <xdr:from>
      <xdr:col>2</xdr:col>
      <xdr:colOff>38100</xdr:colOff>
      <xdr:row>695</xdr:row>
      <xdr:rowOff>38100</xdr:rowOff>
    </xdr:from>
    <xdr:to>
      <xdr:col>2</xdr:col>
      <xdr:colOff>1181100</xdr:colOff>
      <xdr:row>695</xdr:row>
      <xdr:rowOff>1181100</xdr:rowOff>
    </xdr:to>
    <xdr:pic>
      <xdr:nvPicPr>
        <xdr:cNvPr id="1361" name="Picture 337">
          <a:extLst>
            <a:ext uri="{FF2B5EF4-FFF2-40B4-BE49-F238E27FC236}">
              <a16:creationId xmlns:a16="http://schemas.microsoft.com/office/drawing/2014/main" id="{00000000-0008-0000-0000-000051050000}"/>
            </a:ext>
          </a:extLst>
        </xdr:cNvPr>
        <xdr:cNvPicPr>
          <a:picLocks noChangeAspect="1" noChangeArrowheads="1"/>
        </xdr:cNvPicPr>
      </xdr:nvPicPr>
      <xdr:blipFill>
        <a:blip xmlns:r="http://schemas.openxmlformats.org/officeDocument/2006/relationships" r:embed="rId33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698</xdr:row>
      <xdr:rowOff>38100</xdr:rowOff>
    </xdr:from>
    <xdr:to>
      <xdr:col>2</xdr:col>
      <xdr:colOff>800100</xdr:colOff>
      <xdr:row>698</xdr:row>
      <xdr:rowOff>355600</xdr:rowOff>
    </xdr:to>
    <xdr:pic>
      <xdr:nvPicPr>
        <xdr:cNvPr id="1362" name="Picture 338">
          <a:extLst>
            <a:ext uri="{FF2B5EF4-FFF2-40B4-BE49-F238E27FC236}">
              <a16:creationId xmlns:a16="http://schemas.microsoft.com/office/drawing/2014/main" id="{00000000-0008-0000-0000-000052050000}"/>
            </a:ext>
          </a:extLst>
        </xdr:cNvPr>
        <xdr:cNvPicPr>
          <a:picLocks noChangeAspect="1" noChangeArrowheads="1"/>
        </xdr:cNvPicPr>
      </xdr:nvPicPr>
      <xdr:blipFill>
        <a:blip xmlns:r="http://schemas.openxmlformats.org/officeDocument/2006/relationships" r:embed="rId338" cstate="print"/>
        <a:srcRect/>
        <a:stretch>
          <a:fillRect/>
        </a:stretch>
      </xdr:blipFill>
      <xdr:spPr bwMode="auto">
        <a:xfrm>
          <a:off x="0" y="0"/>
          <a:ext cx="762000" cy="317500"/>
        </a:xfrm>
        <a:prstGeom prst="rect">
          <a:avLst/>
        </a:prstGeom>
        <a:noFill/>
      </xdr:spPr>
    </xdr:pic>
    <xdr:clientData/>
  </xdr:twoCellAnchor>
  <xdr:twoCellAnchor editAs="oneCell">
    <xdr:from>
      <xdr:col>2</xdr:col>
      <xdr:colOff>38100</xdr:colOff>
      <xdr:row>702</xdr:row>
      <xdr:rowOff>38100</xdr:rowOff>
    </xdr:from>
    <xdr:to>
      <xdr:col>2</xdr:col>
      <xdr:colOff>1181100</xdr:colOff>
      <xdr:row>702</xdr:row>
      <xdr:rowOff>962025</xdr:rowOff>
    </xdr:to>
    <xdr:pic>
      <xdr:nvPicPr>
        <xdr:cNvPr id="1363" name="Picture 339">
          <a:extLst>
            <a:ext uri="{FF2B5EF4-FFF2-40B4-BE49-F238E27FC236}">
              <a16:creationId xmlns:a16="http://schemas.microsoft.com/office/drawing/2014/main" id="{00000000-0008-0000-0000-000053050000}"/>
            </a:ext>
          </a:extLst>
        </xdr:cNvPr>
        <xdr:cNvPicPr>
          <a:picLocks noChangeAspect="1" noChangeArrowheads="1"/>
        </xdr:cNvPicPr>
      </xdr:nvPicPr>
      <xdr:blipFill>
        <a:blip xmlns:r="http://schemas.openxmlformats.org/officeDocument/2006/relationships" r:embed="rId339" cstate="print"/>
        <a:srcRect/>
        <a:stretch>
          <a:fillRect/>
        </a:stretch>
      </xdr:blipFill>
      <xdr:spPr bwMode="auto">
        <a:xfrm>
          <a:off x="0" y="0"/>
          <a:ext cx="1143000" cy="923925"/>
        </a:xfrm>
        <a:prstGeom prst="rect">
          <a:avLst/>
        </a:prstGeom>
        <a:noFill/>
      </xdr:spPr>
    </xdr:pic>
    <xdr:clientData/>
  </xdr:twoCellAnchor>
  <xdr:twoCellAnchor editAs="oneCell">
    <xdr:from>
      <xdr:col>2</xdr:col>
      <xdr:colOff>38100</xdr:colOff>
      <xdr:row>703</xdr:row>
      <xdr:rowOff>38100</xdr:rowOff>
    </xdr:from>
    <xdr:to>
      <xdr:col>2</xdr:col>
      <xdr:colOff>1181100</xdr:colOff>
      <xdr:row>703</xdr:row>
      <xdr:rowOff>1181100</xdr:rowOff>
    </xdr:to>
    <xdr:pic>
      <xdr:nvPicPr>
        <xdr:cNvPr id="1364" name="Picture 340">
          <a:extLst>
            <a:ext uri="{FF2B5EF4-FFF2-40B4-BE49-F238E27FC236}">
              <a16:creationId xmlns:a16="http://schemas.microsoft.com/office/drawing/2014/main" id="{00000000-0008-0000-0000-000054050000}"/>
            </a:ext>
          </a:extLst>
        </xdr:cNvPr>
        <xdr:cNvPicPr>
          <a:picLocks noChangeAspect="1" noChangeArrowheads="1"/>
        </xdr:cNvPicPr>
      </xdr:nvPicPr>
      <xdr:blipFill>
        <a:blip xmlns:r="http://schemas.openxmlformats.org/officeDocument/2006/relationships" r:embed="rId340"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707</xdr:row>
      <xdr:rowOff>38100</xdr:rowOff>
    </xdr:from>
    <xdr:to>
      <xdr:col>2</xdr:col>
      <xdr:colOff>403860</xdr:colOff>
      <xdr:row>707</xdr:row>
      <xdr:rowOff>403860</xdr:rowOff>
    </xdr:to>
    <xdr:pic>
      <xdr:nvPicPr>
        <xdr:cNvPr id="1365" name="Picture 341">
          <a:extLst>
            <a:ext uri="{FF2B5EF4-FFF2-40B4-BE49-F238E27FC236}">
              <a16:creationId xmlns:a16="http://schemas.microsoft.com/office/drawing/2014/main" id="{00000000-0008-0000-0000-000055050000}"/>
            </a:ext>
          </a:extLst>
        </xdr:cNvPr>
        <xdr:cNvPicPr>
          <a:picLocks noChangeAspect="1" noChangeArrowheads="1"/>
        </xdr:cNvPicPr>
      </xdr:nvPicPr>
      <xdr:blipFill>
        <a:blip xmlns:r="http://schemas.openxmlformats.org/officeDocument/2006/relationships" r:embed="rId341"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713</xdr:row>
      <xdr:rowOff>38100</xdr:rowOff>
    </xdr:from>
    <xdr:to>
      <xdr:col>2</xdr:col>
      <xdr:colOff>1181100</xdr:colOff>
      <xdr:row>713</xdr:row>
      <xdr:rowOff>1181100</xdr:rowOff>
    </xdr:to>
    <xdr:pic>
      <xdr:nvPicPr>
        <xdr:cNvPr id="1366" name="Picture 342">
          <a:extLst>
            <a:ext uri="{FF2B5EF4-FFF2-40B4-BE49-F238E27FC236}">
              <a16:creationId xmlns:a16="http://schemas.microsoft.com/office/drawing/2014/main" id="{00000000-0008-0000-0000-000056050000}"/>
            </a:ext>
          </a:extLst>
        </xdr:cNvPr>
        <xdr:cNvPicPr>
          <a:picLocks noChangeAspect="1" noChangeArrowheads="1"/>
        </xdr:cNvPicPr>
      </xdr:nvPicPr>
      <xdr:blipFill>
        <a:blip xmlns:r="http://schemas.openxmlformats.org/officeDocument/2006/relationships" r:embed="rId34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714</xdr:row>
      <xdr:rowOff>38100</xdr:rowOff>
    </xdr:from>
    <xdr:to>
      <xdr:col>2</xdr:col>
      <xdr:colOff>1181100</xdr:colOff>
      <xdr:row>714</xdr:row>
      <xdr:rowOff>1181100</xdr:rowOff>
    </xdr:to>
    <xdr:pic>
      <xdr:nvPicPr>
        <xdr:cNvPr id="1367" name="Picture 343">
          <a:extLst>
            <a:ext uri="{FF2B5EF4-FFF2-40B4-BE49-F238E27FC236}">
              <a16:creationId xmlns:a16="http://schemas.microsoft.com/office/drawing/2014/main" id="{00000000-0008-0000-0000-000057050000}"/>
            </a:ext>
          </a:extLst>
        </xdr:cNvPr>
        <xdr:cNvPicPr>
          <a:picLocks noChangeAspect="1" noChangeArrowheads="1"/>
        </xdr:cNvPicPr>
      </xdr:nvPicPr>
      <xdr:blipFill>
        <a:blip xmlns:r="http://schemas.openxmlformats.org/officeDocument/2006/relationships" r:embed="rId34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716</xdr:row>
      <xdr:rowOff>38100</xdr:rowOff>
    </xdr:from>
    <xdr:to>
      <xdr:col>2</xdr:col>
      <xdr:colOff>403860</xdr:colOff>
      <xdr:row>716</xdr:row>
      <xdr:rowOff>403860</xdr:rowOff>
    </xdr:to>
    <xdr:pic>
      <xdr:nvPicPr>
        <xdr:cNvPr id="1368" name="Picture 344">
          <a:extLst>
            <a:ext uri="{FF2B5EF4-FFF2-40B4-BE49-F238E27FC236}">
              <a16:creationId xmlns:a16="http://schemas.microsoft.com/office/drawing/2014/main" id="{00000000-0008-0000-0000-000058050000}"/>
            </a:ext>
          </a:extLst>
        </xdr:cNvPr>
        <xdr:cNvPicPr>
          <a:picLocks noChangeAspect="1" noChangeArrowheads="1"/>
        </xdr:cNvPicPr>
      </xdr:nvPicPr>
      <xdr:blipFill>
        <a:blip xmlns:r="http://schemas.openxmlformats.org/officeDocument/2006/relationships" r:embed="rId344"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719</xdr:row>
      <xdr:rowOff>38100</xdr:rowOff>
    </xdr:from>
    <xdr:to>
      <xdr:col>2</xdr:col>
      <xdr:colOff>861060</xdr:colOff>
      <xdr:row>719</xdr:row>
      <xdr:rowOff>952500</xdr:rowOff>
    </xdr:to>
    <xdr:pic>
      <xdr:nvPicPr>
        <xdr:cNvPr id="1369" name="Picture 345">
          <a:extLst>
            <a:ext uri="{FF2B5EF4-FFF2-40B4-BE49-F238E27FC236}">
              <a16:creationId xmlns:a16="http://schemas.microsoft.com/office/drawing/2014/main" id="{00000000-0008-0000-0000-000059050000}"/>
            </a:ext>
          </a:extLst>
        </xdr:cNvPr>
        <xdr:cNvPicPr>
          <a:picLocks noChangeAspect="1" noChangeArrowheads="1"/>
        </xdr:cNvPicPr>
      </xdr:nvPicPr>
      <xdr:blipFill>
        <a:blip xmlns:r="http://schemas.openxmlformats.org/officeDocument/2006/relationships" r:embed="rId345" cstate="print"/>
        <a:srcRect/>
        <a:stretch>
          <a:fillRect/>
        </a:stretch>
      </xdr:blipFill>
      <xdr:spPr bwMode="auto">
        <a:xfrm>
          <a:off x="0" y="0"/>
          <a:ext cx="822960" cy="914400"/>
        </a:xfrm>
        <a:prstGeom prst="rect">
          <a:avLst/>
        </a:prstGeom>
        <a:noFill/>
      </xdr:spPr>
    </xdr:pic>
    <xdr:clientData/>
  </xdr:twoCellAnchor>
  <xdr:twoCellAnchor editAs="oneCell">
    <xdr:from>
      <xdr:col>2</xdr:col>
      <xdr:colOff>38100</xdr:colOff>
      <xdr:row>721</xdr:row>
      <xdr:rowOff>38100</xdr:rowOff>
    </xdr:from>
    <xdr:to>
      <xdr:col>2</xdr:col>
      <xdr:colOff>1562100</xdr:colOff>
      <xdr:row>721</xdr:row>
      <xdr:rowOff>1562100</xdr:rowOff>
    </xdr:to>
    <xdr:pic>
      <xdr:nvPicPr>
        <xdr:cNvPr id="1370" name="Picture 346">
          <a:extLst>
            <a:ext uri="{FF2B5EF4-FFF2-40B4-BE49-F238E27FC236}">
              <a16:creationId xmlns:a16="http://schemas.microsoft.com/office/drawing/2014/main" id="{00000000-0008-0000-0000-00005A050000}"/>
            </a:ext>
          </a:extLst>
        </xdr:cNvPr>
        <xdr:cNvPicPr>
          <a:picLocks noChangeAspect="1" noChangeArrowheads="1"/>
        </xdr:cNvPicPr>
      </xdr:nvPicPr>
      <xdr:blipFill>
        <a:blip xmlns:r="http://schemas.openxmlformats.org/officeDocument/2006/relationships" r:embed="rId346"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722</xdr:row>
      <xdr:rowOff>38100</xdr:rowOff>
    </xdr:from>
    <xdr:to>
      <xdr:col>2</xdr:col>
      <xdr:colOff>1181100</xdr:colOff>
      <xdr:row>722</xdr:row>
      <xdr:rowOff>1181100</xdr:rowOff>
    </xdr:to>
    <xdr:pic>
      <xdr:nvPicPr>
        <xdr:cNvPr id="1371" name="Picture 347">
          <a:extLst>
            <a:ext uri="{FF2B5EF4-FFF2-40B4-BE49-F238E27FC236}">
              <a16:creationId xmlns:a16="http://schemas.microsoft.com/office/drawing/2014/main" id="{00000000-0008-0000-0000-00005B050000}"/>
            </a:ext>
          </a:extLst>
        </xdr:cNvPr>
        <xdr:cNvPicPr>
          <a:picLocks noChangeAspect="1" noChangeArrowheads="1"/>
        </xdr:cNvPicPr>
      </xdr:nvPicPr>
      <xdr:blipFill>
        <a:blip xmlns:r="http://schemas.openxmlformats.org/officeDocument/2006/relationships" r:embed="rId34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725</xdr:row>
      <xdr:rowOff>38100</xdr:rowOff>
    </xdr:from>
    <xdr:to>
      <xdr:col>2</xdr:col>
      <xdr:colOff>929640</xdr:colOff>
      <xdr:row>725</xdr:row>
      <xdr:rowOff>952500</xdr:rowOff>
    </xdr:to>
    <xdr:pic>
      <xdr:nvPicPr>
        <xdr:cNvPr id="1372" name="Picture 348">
          <a:extLst>
            <a:ext uri="{FF2B5EF4-FFF2-40B4-BE49-F238E27FC236}">
              <a16:creationId xmlns:a16="http://schemas.microsoft.com/office/drawing/2014/main" id="{00000000-0008-0000-0000-00005C050000}"/>
            </a:ext>
          </a:extLst>
        </xdr:cNvPr>
        <xdr:cNvPicPr>
          <a:picLocks noChangeAspect="1" noChangeArrowheads="1"/>
        </xdr:cNvPicPr>
      </xdr:nvPicPr>
      <xdr:blipFill>
        <a:blip xmlns:r="http://schemas.openxmlformats.org/officeDocument/2006/relationships" r:embed="rId348" cstate="print"/>
        <a:srcRect/>
        <a:stretch>
          <a:fillRect/>
        </a:stretch>
      </xdr:blipFill>
      <xdr:spPr bwMode="auto">
        <a:xfrm>
          <a:off x="0" y="0"/>
          <a:ext cx="891540" cy="914400"/>
        </a:xfrm>
        <a:prstGeom prst="rect">
          <a:avLst/>
        </a:prstGeom>
        <a:noFill/>
      </xdr:spPr>
    </xdr:pic>
    <xdr:clientData/>
  </xdr:twoCellAnchor>
  <xdr:twoCellAnchor editAs="oneCell">
    <xdr:from>
      <xdr:col>2</xdr:col>
      <xdr:colOff>38100</xdr:colOff>
      <xdr:row>727</xdr:row>
      <xdr:rowOff>38100</xdr:rowOff>
    </xdr:from>
    <xdr:to>
      <xdr:col>2</xdr:col>
      <xdr:colOff>491031</xdr:colOff>
      <xdr:row>727</xdr:row>
      <xdr:rowOff>546060</xdr:rowOff>
    </xdr:to>
    <xdr:pic>
      <xdr:nvPicPr>
        <xdr:cNvPr id="1373" name="Picture 349">
          <a:extLst>
            <a:ext uri="{FF2B5EF4-FFF2-40B4-BE49-F238E27FC236}">
              <a16:creationId xmlns:a16="http://schemas.microsoft.com/office/drawing/2014/main" id="{00000000-0008-0000-0000-00005D050000}"/>
            </a:ext>
          </a:extLst>
        </xdr:cNvPr>
        <xdr:cNvPicPr>
          <a:picLocks noChangeAspect="1" noChangeArrowheads="1"/>
        </xdr:cNvPicPr>
      </xdr:nvPicPr>
      <xdr:blipFill>
        <a:blip xmlns:r="http://schemas.openxmlformats.org/officeDocument/2006/relationships" r:embed="rId349" cstate="print"/>
        <a:srcRect/>
        <a:stretch>
          <a:fillRect/>
        </a:stretch>
      </xdr:blipFill>
      <xdr:spPr bwMode="auto">
        <a:xfrm>
          <a:off x="0" y="0"/>
          <a:ext cx="452931" cy="507960"/>
        </a:xfrm>
        <a:prstGeom prst="rect">
          <a:avLst/>
        </a:prstGeom>
        <a:noFill/>
      </xdr:spPr>
    </xdr:pic>
    <xdr:clientData/>
  </xdr:twoCellAnchor>
  <xdr:twoCellAnchor editAs="oneCell">
    <xdr:from>
      <xdr:col>2</xdr:col>
      <xdr:colOff>38100</xdr:colOff>
      <xdr:row>730</xdr:row>
      <xdr:rowOff>38100</xdr:rowOff>
    </xdr:from>
    <xdr:to>
      <xdr:col>2</xdr:col>
      <xdr:colOff>1181100</xdr:colOff>
      <xdr:row>730</xdr:row>
      <xdr:rowOff>933450</xdr:rowOff>
    </xdr:to>
    <xdr:pic>
      <xdr:nvPicPr>
        <xdr:cNvPr id="1374" name="Picture 350">
          <a:extLst>
            <a:ext uri="{FF2B5EF4-FFF2-40B4-BE49-F238E27FC236}">
              <a16:creationId xmlns:a16="http://schemas.microsoft.com/office/drawing/2014/main" id="{00000000-0008-0000-0000-00005E050000}"/>
            </a:ext>
          </a:extLst>
        </xdr:cNvPr>
        <xdr:cNvPicPr>
          <a:picLocks noChangeAspect="1" noChangeArrowheads="1"/>
        </xdr:cNvPicPr>
      </xdr:nvPicPr>
      <xdr:blipFill>
        <a:blip xmlns:r="http://schemas.openxmlformats.org/officeDocument/2006/relationships" r:embed="rId350" cstate="print"/>
        <a:srcRect/>
        <a:stretch>
          <a:fillRect/>
        </a:stretch>
      </xdr:blipFill>
      <xdr:spPr bwMode="auto">
        <a:xfrm>
          <a:off x="0" y="0"/>
          <a:ext cx="1143000" cy="895350"/>
        </a:xfrm>
        <a:prstGeom prst="rect">
          <a:avLst/>
        </a:prstGeom>
        <a:noFill/>
      </xdr:spPr>
    </xdr:pic>
    <xdr:clientData/>
  </xdr:twoCellAnchor>
  <xdr:twoCellAnchor editAs="oneCell">
    <xdr:from>
      <xdr:col>2</xdr:col>
      <xdr:colOff>38100</xdr:colOff>
      <xdr:row>731</xdr:row>
      <xdr:rowOff>38100</xdr:rowOff>
    </xdr:from>
    <xdr:to>
      <xdr:col>2</xdr:col>
      <xdr:colOff>1047750</xdr:colOff>
      <xdr:row>731</xdr:row>
      <xdr:rowOff>1181100</xdr:rowOff>
    </xdr:to>
    <xdr:pic>
      <xdr:nvPicPr>
        <xdr:cNvPr id="1375" name="Picture 351">
          <a:extLst>
            <a:ext uri="{FF2B5EF4-FFF2-40B4-BE49-F238E27FC236}">
              <a16:creationId xmlns:a16="http://schemas.microsoft.com/office/drawing/2014/main" id="{00000000-0008-0000-0000-00005F050000}"/>
            </a:ext>
          </a:extLst>
        </xdr:cNvPr>
        <xdr:cNvPicPr>
          <a:picLocks noChangeAspect="1" noChangeArrowheads="1"/>
        </xdr:cNvPicPr>
      </xdr:nvPicPr>
      <xdr:blipFill>
        <a:blip xmlns:r="http://schemas.openxmlformats.org/officeDocument/2006/relationships" r:embed="rId351" cstate="print"/>
        <a:srcRect/>
        <a:stretch>
          <a:fillRect/>
        </a:stretch>
      </xdr:blipFill>
      <xdr:spPr bwMode="auto">
        <a:xfrm>
          <a:off x="0" y="0"/>
          <a:ext cx="1009650" cy="1143000"/>
        </a:xfrm>
        <a:prstGeom prst="rect">
          <a:avLst/>
        </a:prstGeom>
        <a:noFill/>
      </xdr:spPr>
    </xdr:pic>
    <xdr:clientData/>
  </xdr:twoCellAnchor>
  <xdr:twoCellAnchor editAs="oneCell">
    <xdr:from>
      <xdr:col>2</xdr:col>
      <xdr:colOff>38100</xdr:colOff>
      <xdr:row>734</xdr:row>
      <xdr:rowOff>38100</xdr:rowOff>
    </xdr:from>
    <xdr:to>
      <xdr:col>2</xdr:col>
      <xdr:colOff>770340</xdr:colOff>
      <xdr:row>734</xdr:row>
      <xdr:rowOff>233364</xdr:rowOff>
    </xdr:to>
    <xdr:pic>
      <xdr:nvPicPr>
        <xdr:cNvPr id="1376" name="Picture 352">
          <a:extLst>
            <a:ext uri="{FF2B5EF4-FFF2-40B4-BE49-F238E27FC236}">
              <a16:creationId xmlns:a16="http://schemas.microsoft.com/office/drawing/2014/main" id="{00000000-0008-0000-0000-000060050000}"/>
            </a:ext>
          </a:extLst>
        </xdr:cNvPr>
        <xdr:cNvPicPr>
          <a:picLocks noChangeAspect="1" noChangeArrowheads="1"/>
        </xdr:cNvPicPr>
      </xdr:nvPicPr>
      <xdr:blipFill>
        <a:blip xmlns:r="http://schemas.openxmlformats.org/officeDocument/2006/relationships" r:embed="rId352" cstate="print"/>
        <a:srcRect/>
        <a:stretch>
          <a:fillRect/>
        </a:stretch>
      </xdr:blipFill>
      <xdr:spPr bwMode="auto">
        <a:xfrm>
          <a:off x="0" y="0"/>
          <a:ext cx="732240" cy="195264"/>
        </a:xfrm>
        <a:prstGeom prst="rect">
          <a:avLst/>
        </a:prstGeom>
        <a:noFill/>
      </xdr:spPr>
    </xdr:pic>
    <xdr:clientData/>
  </xdr:twoCellAnchor>
  <xdr:twoCellAnchor editAs="oneCell">
    <xdr:from>
      <xdr:col>2</xdr:col>
      <xdr:colOff>38100</xdr:colOff>
      <xdr:row>736</xdr:row>
      <xdr:rowOff>38100</xdr:rowOff>
    </xdr:from>
    <xdr:to>
      <xdr:col>2</xdr:col>
      <xdr:colOff>1181100</xdr:colOff>
      <xdr:row>736</xdr:row>
      <xdr:rowOff>1181100</xdr:rowOff>
    </xdr:to>
    <xdr:pic>
      <xdr:nvPicPr>
        <xdr:cNvPr id="1377" name="Picture 353">
          <a:extLst>
            <a:ext uri="{FF2B5EF4-FFF2-40B4-BE49-F238E27FC236}">
              <a16:creationId xmlns:a16="http://schemas.microsoft.com/office/drawing/2014/main" id="{00000000-0008-0000-0000-000061050000}"/>
            </a:ext>
          </a:extLst>
        </xdr:cNvPr>
        <xdr:cNvPicPr>
          <a:picLocks noChangeAspect="1" noChangeArrowheads="1"/>
        </xdr:cNvPicPr>
      </xdr:nvPicPr>
      <xdr:blipFill>
        <a:blip xmlns:r="http://schemas.openxmlformats.org/officeDocument/2006/relationships" r:embed="rId353"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742</xdr:row>
      <xdr:rowOff>38100</xdr:rowOff>
    </xdr:from>
    <xdr:to>
      <xdr:col>2</xdr:col>
      <xdr:colOff>403860</xdr:colOff>
      <xdr:row>742</xdr:row>
      <xdr:rowOff>120396</xdr:rowOff>
    </xdr:to>
    <xdr:pic>
      <xdr:nvPicPr>
        <xdr:cNvPr id="1378" name="Picture 354">
          <a:extLst>
            <a:ext uri="{FF2B5EF4-FFF2-40B4-BE49-F238E27FC236}">
              <a16:creationId xmlns:a16="http://schemas.microsoft.com/office/drawing/2014/main" id="{00000000-0008-0000-0000-000062050000}"/>
            </a:ext>
          </a:extLst>
        </xdr:cNvPr>
        <xdr:cNvPicPr>
          <a:picLocks noChangeAspect="1" noChangeArrowheads="1"/>
        </xdr:cNvPicPr>
      </xdr:nvPicPr>
      <xdr:blipFill>
        <a:blip xmlns:r="http://schemas.openxmlformats.org/officeDocument/2006/relationships" r:embed="rId354" cstate="print"/>
        <a:srcRect/>
        <a:stretch>
          <a:fillRect/>
        </a:stretch>
      </xdr:blipFill>
      <xdr:spPr bwMode="auto">
        <a:xfrm>
          <a:off x="0" y="0"/>
          <a:ext cx="365760" cy="82296"/>
        </a:xfrm>
        <a:prstGeom prst="rect">
          <a:avLst/>
        </a:prstGeom>
        <a:noFill/>
      </xdr:spPr>
    </xdr:pic>
    <xdr:clientData/>
  </xdr:twoCellAnchor>
  <xdr:twoCellAnchor editAs="oneCell">
    <xdr:from>
      <xdr:col>2</xdr:col>
      <xdr:colOff>38100</xdr:colOff>
      <xdr:row>743</xdr:row>
      <xdr:rowOff>38100</xdr:rowOff>
    </xdr:from>
    <xdr:to>
      <xdr:col>2</xdr:col>
      <xdr:colOff>952500</xdr:colOff>
      <xdr:row>743</xdr:row>
      <xdr:rowOff>563880</xdr:rowOff>
    </xdr:to>
    <xdr:pic>
      <xdr:nvPicPr>
        <xdr:cNvPr id="1379" name="Picture 355">
          <a:extLst>
            <a:ext uri="{FF2B5EF4-FFF2-40B4-BE49-F238E27FC236}">
              <a16:creationId xmlns:a16="http://schemas.microsoft.com/office/drawing/2014/main" id="{00000000-0008-0000-0000-000063050000}"/>
            </a:ext>
          </a:extLst>
        </xdr:cNvPr>
        <xdr:cNvPicPr>
          <a:picLocks noChangeAspect="1" noChangeArrowheads="1"/>
        </xdr:cNvPicPr>
      </xdr:nvPicPr>
      <xdr:blipFill>
        <a:blip xmlns:r="http://schemas.openxmlformats.org/officeDocument/2006/relationships" r:embed="rId355" cstate="print"/>
        <a:srcRect/>
        <a:stretch>
          <a:fillRect/>
        </a:stretch>
      </xdr:blipFill>
      <xdr:spPr bwMode="auto">
        <a:xfrm>
          <a:off x="0" y="0"/>
          <a:ext cx="914400" cy="525780"/>
        </a:xfrm>
        <a:prstGeom prst="rect">
          <a:avLst/>
        </a:prstGeom>
        <a:noFill/>
      </xdr:spPr>
    </xdr:pic>
    <xdr:clientData/>
  </xdr:twoCellAnchor>
  <xdr:twoCellAnchor editAs="oneCell">
    <xdr:from>
      <xdr:col>2</xdr:col>
      <xdr:colOff>38100</xdr:colOff>
      <xdr:row>744</xdr:row>
      <xdr:rowOff>38100</xdr:rowOff>
    </xdr:from>
    <xdr:to>
      <xdr:col>2</xdr:col>
      <xdr:colOff>1181100</xdr:colOff>
      <xdr:row>744</xdr:row>
      <xdr:rowOff>1181100</xdr:rowOff>
    </xdr:to>
    <xdr:pic>
      <xdr:nvPicPr>
        <xdr:cNvPr id="1380" name="Picture 356">
          <a:extLst>
            <a:ext uri="{FF2B5EF4-FFF2-40B4-BE49-F238E27FC236}">
              <a16:creationId xmlns:a16="http://schemas.microsoft.com/office/drawing/2014/main" id="{00000000-0008-0000-0000-000064050000}"/>
            </a:ext>
          </a:extLst>
        </xdr:cNvPr>
        <xdr:cNvPicPr>
          <a:picLocks noChangeAspect="1" noChangeArrowheads="1"/>
        </xdr:cNvPicPr>
      </xdr:nvPicPr>
      <xdr:blipFill>
        <a:blip xmlns:r="http://schemas.openxmlformats.org/officeDocument/2006/relationships" r:embed="rId356"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747</xdr:row>
      <xdr:rowOff>38100</xdr:rowOff>
    </xdr:from>
    <xdr:to>
      <xdr:col>2</xdr:col>
      <xdr:colOff>1181100</xdr:colOff>
      <xdr:row>747</xdr:row>
      <xdr:rowOff>419100</xdr:rowOff>
    </xdr:to>
    <xdr:pic>
      <xdr:nvPicPr>
        <xdr:cNvPr id="1381" name="Picture 357">
          <a:extLst>
            <a:ext uri="{FF2B5EF4-FFF2-40B4-BE49-F238E27FC236}">
              <a16:creationId xmlns:a16="http://schemas.microsoft.com/office/drawing/2014/main" id="{00000000-0008-0000-0000-000065050000}"/>
            </a:ext>
          </a:extLst>
        </xdr:cNvPr>
        <xdr:cNvPicPr>
          <a:picLocks noChangeAspect="1" noChangeArrowheads="1"/>
        </xdr:cNvPicPr>
      </xdr:nvPicPr>
      <xdr:blipFill>
        <a:blip xmlns:r="http://schemas.openxmlformats.org/officeDocument/2006/relationships" r:embed="rId357" cstate="print"/>
        <a:srcRect/>
        <a:stretch>
          <a:fillRect/>
        </a:stretch>
      </xdr:blipFill>
      <xdr:spPr bwMode="auto">
        <a:xfrm>
          <a:off x="0" y="0"/>
          <a:ext cx="1143000" cy="381000"/>
        </a:xfrm>
        <a:prstGeom prst="rect">
          <a:avLst/>
        </a:prstGeom>
        <a:noFill/>
      </xdr:spPr>
    </xdr:pic>
    <xdr:clientData/>
  </xdr:twoCellAnchor>
  <xdr:twoCellAnchor editAs="oneCell">
    <xdr:from>
      <xdr:col>2</xdr:col>
      <xdr:colOff>38100</xdr:colOff>
      <xdr:row>748</xdr:row>
      <xdr:rowOff>38100</xdr:rowOff>
    </xdr:from>
    <xdr:to>
      <xdr:col>2</xdr:col>
      <xdr:colOff>1181100</xdr:colOff>
      <xdr:row>748</xdr:row>
      <xdr:rowOff>638175</xdr:rowOff>
    </xdr:to>
    <xdr:pic>
      <xdr:nvPicPr>
        <xdr:cNvPr id="1382" name="Picture 358">
          <a:extLst>
            <a:ext uri="{FF2B5EF4-FFF2-40B4-BE49-F238E27FC236}">
              <a16:creationId xmlns:a16="http://schemas.microsoft.com/office/drawing/2014/main" id="{00000000-0008-0000-0000-000066050000}"/>
            </a:ext>
          </a:extLst>
        </xdr:cNvPr>
        <xdr:cNvPicPr>
          <a:picLocks noChangeAspect="1" noChangeArrowheads="1"/>
        </xdr:cNvPicPr>
      </xdr:nvPicPr>
      <xdr:blipFill>
        <a:blip xmlns:r="http://schemas.openxmlformats.org/officeDocument/2006/relationships" r:embed="rId358" cstate="print"/>
        <a:srcRect/>
        <a:stretch>
          <a:fillRect/>
        </a:stretch>
      </xdr:blipFill>
      <xdr:spPr bwMode="auto">
        <a:xfrm>
          <a:off x="0" y="0"/>
          <a:ext cx="1143000" cy="600075"/>
        </a:xfrm>
        <a:prstGeom prst="rect">
          <a:avLst/>
        </a:prstGeom>
        <a:noFill/>
      </xdr:spPr>
    </xdr:pic>
    <xdr:clientData/>
  </xdr:twoCellAnchor>
  <xdr:twoCellAnchor editAs="oneCell">
    <xdr:from>
      <xdr:col>2</xdr:col>
      <xdr:colOff>38100</xdr:colOff>
      <xdr:row>750</xdr:row>
      <xdr:rowOff>38100</xdr:rowOff>
    </xdr:from>
    <xdr:to>
      <xdr:col>2</xdr:col>
      <xdr:colOff>403860</xdr:colOff>
      <xdr:row>750</xdr:row>
      <xdr:rowOff>184404</xdr:rowOff>
    </xdr:to>
    <xdr:pic>
      <xdr:nvPicPr>
        <xdr:cNvPr id="1383" name="Picture 359">
          <a:extLst>
            <a:ext uri="{FF2B5EF4-FFF2-40B4-BE49-F238E27FC236}">
              <a16:creationId xmlns:a16="http://schemas.microsoft.com/office/drawing/2014/main" id="{00000000-0008-0000-0000-000067050000}"/>
            </a:ext>
          </a:extLst>
        </xdr:cNvPr>
        <xdr:cNvPicPr>
          <a:picLocks noChangeAspect="1" noChangeArrowheads="1"/>
        </xdr:cNvPicPr>
      </xdr:nvPicPr>
      <xdr:blipFill>
        <a:blip xmlns:r="http://schemas.openxmlformats.org/officeDocument/2006/relationships" r:embed="rId359" cstate="print"/>
        <a:srcRect/>
        <a:stretch>
          <a:fillRect/>
        </a:stretch>
      </xdr:blipFill>
      <xdr:spPr bwMode="auto">
        <a:xfrm>
          <a:off x="0" y="0"/>
          <a:ext cx="365760" cy="146304"/>
        </a:xfrm>
        <a:prstGeom prst="rect">
          <a:avLst/>
        </a:prstGeom>
        <a:noFill/>
      </xdr:spPr>
    </xdr:pic>
    <xdr:clientData/>
  </xdr:twoCellAnchor>
  <xdr:twoCellAnchor editAs="oneCell">
    <xdr:from>
      <xdr:col>2</xdr:col>
      <xdr:colOff>38100</xdr:colOff>
      <xdr:row>751</xdr:row>
      <xdr:rowOff>38100</xdr:rowOff>
    </xdr:from>
    <xdr:to>
      <xdr:col>2</xdr:col>
      <xdr:colOff>403860</xdr:colOff>
      <xdr:row>751</xdr:row>
      <xdr:rowOff>166116</xdr:rowOff>
    </xdr:to>
    <xdr:pic>
      <xdr:nvPicPr>
        <xdr:cNvPr id="1384" name="Picture 360">
          <a:extLst>
            <a:ext uri="{FF2B5EF4-FFF2-40B4-BE49-F238E27FC236}">
              <a16:creationId xmlns:a16="http://schemas.microsoft.com/office/drawing/2014/main" id="{00000000-0008-0000-0000-000068050000}"/>
            </a:ext>
          </a:extLst>
        </xdr:cNvPr>
        <xdr:cNvPicPr>
          <a:picLocks noChangeAspect="1" noChangeArrowheads="1"/>
        </xdr:cNvPicPr>
      </xdr:nvPicPr>
      <xdr:blipFill>
        <a:blip xmlns:r="http://schemas.openxmlformats.org/officeDocument/2006/relationships" r:embed="rId360" cstate="print"/>
        <a:srcRect/>
        <a:stretch>
          <a:fillRect/>
        </a:stretch>
      </xdr:blipFill>
      <xdr:spPr bwMode="auto">
        <a:xfrm>
          <a:off x="0" y="0"/>
          <a:ext cx="365760" cy="128016"/>
        </a:xfrm>
        <a:prstGeom prst="rect">
          <a:avLst/>
        </a:prstGeom>
        <a:noFill/>
      </xdr:spPr>
    </xdr:pic>
    <xdr:clientData/>
  </xdr:twoCellAnchor>
  <xdr:twoCellAnchor editAs="oneCell">
    <xdr:from>
      <xdr:col>2</xdr:col>
      <xdr:colOff>38100</xdr:colOff>
      <xdr:row>752</xdr:row>
      <xdr:rowOff>38100</xdr:rowOff>
    </xdr:from>
    <xdr:to>
      <xdr:col>2</xdr:col>
      <xdr:colOff>1181100</xdr:colOff>
      <xdr:row>752</xdr:row>
      <xdr:rowOff>1181100</xdr:rowOff>
    </xdr:to>
    <xdr:pic>
      <xdr:nvPicPr>
        <xdr:cNvPr id="1385" name="Picture 361">
          <a:extLst>
            <a:ext uri="{FF2B5EF4-FFF2-40B4-BE49-F238E27FC236}">
              <a16:creationId xmlns:a16="http://schemas.microsoft.com/office/drawing/2014/main" id="{00000000-0008-0000-0000-000069050000}"/>
            </a:ext>
          </a:extLst>
        </xdr:cNvPr>
        <xdr:cNvPicPr>
          <a:picLocks noChangeAspect="1" noChangeArrowheads="1"/>
        </xdr:cNvPicPr>
      </xdr:nvPicPr>
      <xdr:blipFill>
        <a:blip xmlns:r="http://schemas.openxmlformats.org/officeDocument/2006/relationships" r:embed="rId361"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761</xdr:row>
      <xdr:rowOff>38100</xdr:rowOff>
    </xdr:from>
    <xdr:to>
      <xdr:col>2</xdr:col>
      <xdr:colOff>1181100</xdr:colOff>
      <xdr:row>761</xdr:row>
      <xdr:rowOff>1181100</xdr:rowOff>
    </xdr:to>
    <xdr:pic>
      <xdr:nvPicPr>
        <xdr:cNvPr id="1386" name="Picture 362">
          <a:extLst>
            <a:ext uri="{FF2B5EF4-FFF2-40B4-BE49-F238E27FC236}">
              <a16:creationId xmlns:a16="http://schemas.microsoft.com/office/drawing/2014/main" id="{00000000-0008-0000-0000-00006A050000}"/>
            </a:ext>
          </a:extLst>
        </xdr:cNvPr>
        <xdr:cNvPicPr>
          <a:picLocks noChangeAspect="1" noChangeArrowheads="1"/>
        </xdr:cNvPicPr>
      </xdr:nvPicPr>
      <xdr:blipFill>
        <a:blip xmlns:r="http://schemas.openxmlformats.org/officeDocument/2006/relationships" r:embed="rId36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763</xdr:row>
      <xdr:rowOff>38100</xdr:rowOff>
    </xdr:from>
    <xdr:to>
      <xdr:col>2</xdr:col>
      <xdr:colOff>933450</xdr:colOff>
      <xdr:row>763</xdr:row>
      <xdr:rowOff>1181100</xdr:rowOff>
    </xdr:to>
    <xdr:pic>
      <xdr:nvPicPr>
        <xdr:cNvPr id="1387" name="Picture 363">
          <a:extLst>
            <a:ext uri="{FF2B5EF4-FFF2-40B4-BE49-F238E27FC236}">
              <a16:creationId xmlns:a16="http://schemas.microsoft.com/office/drawing/2014/main" id="{00000000-0008-0000-0000-00006B050000}"/>
            </a:ext>
          </a:extLst>
        </xdr:cNvPr>
        <xdr:cNvPicPr>
          <a:picLocks noChangeAspect="1" noChangeArrowheads="1"/>
        </xdr:cNvPicPr>
      </xdr:nvPicPr>
      <xdr:blipFill>
        <a:blip xmlns:r="http://schemas.openxmlformats.org/officeDocument/2006/relationships" r:embed="rId363" cstate="print"/>
        <a:srcRect/>
        <a:stretch>
          <a:fillRect/>
        </a:stretch>
      </xdr:blipFill>
      <xdr:spPr bwMode="auto">
        <a:xfrm>
          <a:off x="0" y="0"/>
          <a:ext cx="895350" cy="1143000"/>
        </a:xfrm>
        <a:prstGeom prst="rect">
          <a:avLst/>
        </a:prstGeom>
        <a:noFill/>
      </xdr:spPr>
    </xdr:pic>
    <xdr:clientData/>
  </xdr:twoCellAnchor>
  <xdr:twoCellAnchor editAs="oneCell">
    <xdr:from>
      <xdr:col>2</xdr:col>
      <xdr:colOff>38100</xdr:colOff>
      <xdr:row>764</xdr:row>
      <xdr:rowOff>38100</xdr:rowOff>
    </xdr:from>
    <xdr:to>
      <xdr:col>2</xdr:col>
      <xdr:colOff>800100</xdr:colOff>
      <xdr:row>764</xdr:row>
      <xdr:rowOff>304800</xdr:rowOff>
    </xdr:to>
    <xdr:pic>
      <xdr:nvPicPr>
        <xdr:cNvPr id="1388" name="Picture 364">
          <a:extLst>
            <a:ext uri="{FF2B5EF4-FFF2-40B4-BE49-F238E27FC236}">
              <a16:creationId xmlns:a16="http://schemas.microsoft.com/office/drawing/2014/main" id="{00000000-0008-0000-0000-00006C050000}"/>
            </a:ext>
          </a:extLst>
        </xdr:cNvPr>
        <xdr:cNvPicPr>
          <a:picLocks noChangeAspect="1" noChangeArrowheads="1"/>
        </xdr:cNvPicPr>
      </xdr:nvPicPr>
      <xdr:blipFill>
        <a:blip xmlns:r="http://schemas.openxmlformats.org/officeDocument/2006/relationships" r:embed="rId364" cstate="print"/>
        <a:srcRect/>
        <a:stretch>
          <a:fillRect/>
        </a:stretch>
      </xdr:blipFill>
      <xdr:spPr bwMode="auto">
        <a:xfrm>
          <a:off x="0" y="0"/>
          <a:ext cx="762000" cy="266700"/>
        </a:xfrm>
        <a:prstGeom prst="rect">
          <a:avLst/>
        </a:prstGeom>
        <a:noFill/>
      </xdr:spPr>
    </xdr:pic>
    <xdr:clientData/>
  </xdr:twoCellAnchor>
  <xdr:twoCellAnchor editAs="oneCell">
    <xdr:from>
      <xdr:col>2</xdr:col>
      <xdr:colOff>38100</xdr:colOff>
      <xdr:row>766</xdr:row>
      <xdr:rowOff>38100</xdr:rowOff>
    </xdr:from>
    <xdr:to>
      <xdr:col>2</xdr:col>
      <xdr:colOff>1181100</xdr:colOff>
      <xdr:row>766</xdr:row>
      <xdr:rowOff>1066800</xdr:rowOff>
    </xdr:to>
    <xdr:pic>
      <xdr:nvPicPr>
        <xdr:cNvPr id="1389" name="Picture 365">
          <a:extLst>
            <a:ext uri="{FF2B5EF4-FFF2-40B4-BE49-F238E27FC236}">
              <a16:creationId xmlns:a16="http://schemas.microsoft.com/office/drawing/2014/main" id="{00000000-0008-0000-0000-00006D050000}"/>
            </a:ext>
          </a:extLst>
        </xdr:cNvPr>
        <xdr:cNvPicPr>
          <a:picLocks noChangeAspect="1" noChangeArrowheads="1"/>
        </xdr:cNvPicPr>
      </xdr:nvPicPr>
      <xdr:blipFill>
        <a:blip xmlns:r="http://schemas.openxmlformats.org/officeDocument/2006/relationships" r:embed="rId365" cstate="print"/>
        <a:srcRect/>
        <a:stretch>
          <a:fillRect/>
        </a:stretch>
      </xdr:blipFill>
      <xdr:spPr bwMode="auto">
        <a:xfrm>
          <a:off x="0" y="0"/>
          <a:ext cx="1143000" cy="1028700"/>
        </a:xfrm>
        <a:prstGeom prst="rect">
          <a:avLst/>
        </a:prstGeom>
        <a:noFill/>
      </xdr:spPr>
    </xdr:pic>
    <xdr:clientData/>
  </xdr:twoCellAnchor>
  <xdr:twoCellAnchor editAs="oneCell">
    <xdr:from>
      <xdr:col>2</xdr:col>
      <xdr:colOff>38100</xdr:colOff>
      <xdr:row>779</xdr:row>
      <xdr:rowOff>38100</xdr:rowOff>
    </xdr:from>
    <xdr:to>
      <xdr:col>2</xdr:col>
      <xdr:colOff>1562100</xdr:colOff>
      <xdr:row>779</xdr:row>
      <xdr:rowOff>1562100</xdr:rowOff>
    </xdr:to>
    <xdr:pic>
      <xdr:nvPicPr>
        <xdr:cNvPr id="1390" name="Picture 366">
          <a:extLst>
            <a:ext uri="{FF2B5EF4-FFF2-40B4-BE49-F238E27FC236}">
              <a16:creationId xmlns:a16="http://schemas.microsoft.com/office/drawing/2014/main" id="{00000000-0008-0000-0000-00006E050000}"/>
            </a:ext>
          </a:extLst>
        </xdr:cNvPr>
        <xdr:cNvPicPr>
          <a:picLocks noChangeAspect="1" noChangeArrowheads="1"/>
        </xdr:cNvPicPr>
      </xdr:nvPicPr>
      <xdr:blipFill>
        <a:blip xmlns:r="http://schemas.openxmlformats.org/officeDocument/2006/relationships" r:embed="rId366"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780</xdr:row>
      <xdr:rowOff>38100</xdr:rowOff>
    </xdr:from>
    <xdr:to>
      <xdr:col>2</xdr:col>
      <xdr:colOff>1181100</xdr:colOff>
      <xdr:row>780</xdr:row>
      <xdr:rowOff>1181100</xdr:rowOff>
    </xdr:to>
    <xdr:pic>
      <xdr:nvPicPr>
        <xdr:cNvPr id="1391" name="Picture 367">
          <a:extLst>
            <a:ext uri="{FF2B5EF4-FFF2-40B4-BE49-F238E27FC236}">
              <a16:creationId xmlns:a16="http://schemas.microsoft.com/office/drawing/2014/main" id="{00000000-0008-0000-0000-00006F050000}"/>
            </a:ext>
          </a:extLst>
        </xdr:cNvPr>
        <xdr:cNvPicPr>
          <a:picLocks noChangeAspect="1" noChangeArrowheads="1"/>
        </xdr:cNvPicPr>
      </xdr:nvPicPr>
      <xdr:blipFill>
        <a:blip xmlns:r="http://schemas.openxmlformats.org/officeDocument/2006/relationships" r:embed="rId367"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781</xdr:row>
      <xdr:rowOff>38100</xdr:rowOff>
    </xdr:from>
    <xdr:to>
      <xdr:col>2</xdr:col>
      <xdr:colOff>769620</xdr:colOff>
      <xdr:row>781</xdr:row>
      <xdr:rowOff>256116</xdr:rowOff>
    </xdr:to>
    <xdr:pic>
      <xdr:nvPicPr>
        <xdr:cNvPr id="1392" name="Picture 368">
          <a:extLst>
            <a:ext uri="{FF2B5EF4-FFF2-40B4-BE49-F238E27FC236}">
              <a16:creationId xmlns:a16="http://schemas.microsoft.com/office/drawing/2014/main" id="{00000000-0008-0000-0000-000070050000}"/>
            </a:ext>
          </a:extLst>
        </xdr:cNvPr>
        <xdr:cNvPicPr>
          <a:picLocks noChangeAspect="1" noChangeArrowheads="1"/>
        </xdr:cNvPicPr>
      </xdr:nvPicPr>
      <xdr:blipFill>
        <a:blip xmlns:r="http://schemas.openxmlformats.org/officeDocument/2006/relationships" r:embed="rId368" cstate="print"/>
        <a:srcRect/>
        <a:stretch>
          <a:fillRect/>
        </a:stretch>
      </xdr:blipFill>
      <xdr:spPr bwMode="auto">
        <a:xfrm>
          <a:off x="0" y="0"/>
          <a:ext cx="731520" cy="218016"/>
        </a:xfrm>
        <a:prstGeom prst="rect">
          <a:avLst/>
        </a:prstGeom>
        <a:noFill/>
      </xdr:spPr>
    </xdr:pic>
    <xdr:clientData/>
  </xdr:twoCellAnchor>
  <xdr:twoCellAnchor editAs="oneCell">
    <xdr:from>
      <xdr:col>2</xdr:col>
      <xdr:colOff>38100</xdr:colOff>
      <xdr:row>783</xdr:row>
      <xdr:rowOff>38100</xdr:rowOff>
    </xdr:from>
    <xdr:to>
      <xdr:col>2</xdr:col>
      <xdr:colOff>704850</xdr:colOff>
      <xdr:row>783</xdr:row>
      <xdr:rowOff>1181100</xdr:rowOff>
    </xdr:to>
    <xdr:pic>
      <xdr:nvPicPr>
        <xdr:cNvPr id="1393" name="Picture 369">
          <a:extLst>
            <a:ext uri="{FF2B5EF4-FFF2-40B4-BE49-F238E27FC236}">
              <a16:creationId xmlns:a16="http://schemas.microsoft.com/office/drawing/2014/main" id="{00000000-0008-0000-0000-000071050000}"/>
            </a:ext>
          </a:extLst>
        </xdr:cNvPr>
        <xdr:cNvPicPr>
          <a:picLocks noChangeAspect="1" noChangeArrowheads="1"/>
        </xdr:cNvPicPr>
      </xdr:nvPicPr>
      <xdr:blipFill>
        <a:blip xmlns:r="http://schemas.openxmlformats.org/officeDocument/2006/relationships" r:embed="rId369" cstate="print"/>
        <a:srcRect/>
        <a:stretch>
          <a:fillRect/>
        </a:stretch>
      </xdr:blipFill>
      <xdr:spPr bwMode="auto">
        <a:xfrm>
          <a:off x="0" y="0"/>
          <a:ext cx="666750" cy="1143000"/>
        </a:xfrm>
        <a:prstGeom prst="rect">
          <a:avLst/>
        </a:prstGeom>
        <a:noFill/>
      </xdr:spPr>
    </xdr:pic>
    <xdr:clientData/>
  </xdr:twoCellAnchor>
  <xdr:twoCellAnchor editAs="oneCell">
    <xdr:from>
      <xdr:col>2</xdr:col>
      <xdr:colOff>38100</xdr:colOff>
      <xdr:row>784</xdr:row>
      <xdr:rowOff>38100</xdr:rowOff>
    </xdr:from>
    <xdr:to>
      <xdr:col>2</xdr:col>
      <xdr:colOff>1562100</xdr:colOff>
      <xdr:row>784</xdr:row>
      <xdr:rowOff>1562100</xdr:rowOff>
    </xdr:to>
    <xdr:pic>
      <xdr:nvPicPr>
        <xdr:cNvPr id="1394" name="Picture 370">
          <a:extLst>
            <a:ext uri="{FF2B5EF4-FFF2-40B4-BE49-F238E27FC236}">
              <a16:creationId xmlns:a16="http://schemas.microsoft.com/office/drawing/2014/main" id="{00000000-0008-0000-0000-000072050000}"/>
            </a:ext>
          </a:extLst>
        </xdr:cNvPr>
        <xdr:cNvPicPr>
          <a:picLocks noChangeAspect="1" noChangeArrowheads="1"/>
        </xdr:cNvPicPr>
      </xdr:nvPicPr>
      <xdr:blipFill>
        <a:blip xmlns:r="http://schemas.openxmlformats.org/officeDocument/2006/relationships" r:embed="rId370"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786</xdr:row>
      <xdr:rowOff>38100</xdr:rowOff>
    </xdr:from>
    <xdr:to>
      <xdr:col>2</xdr:col>
      <xdr:colOff>403860</xdr:colOff>
      <xdr:row>786</xdr:row>
      <xdr:rowOff>181356</xdr:rowOff>
    </xdr:to>
    <xdr:pic>
      <xdr:nvPicPr>
        <xdr:cNvPr id="1395" name="Picture 371">
          <a:extLst>
            <a:ext uri="{FF2B5EF4-FFF2-40B4-BE49-F238E27FC236}">
              <a16:creationId xmlns:a16="http://schemas.microsoft.com/office/drawing/2014/main" id="{00000000-0008-0000-0000-000073050000}"/>
            </a:ext>
          </a:extLst>
        </xdr:cNvPr>
        <xdr:cNvPicPr>
          <a:picLocks noChangeAspect="1" noChangeArrowheads="1"/>
        </xdr:cNvPicPr>
      </xdr:nvPicPr>
      <xdr:blipFill>
        <a:blip xmlns:r="http://schemas.openxmlformats.org/officeDocument/2006/relationships" r:embed="rId371" cstate="print"/>
        <a:srcRect/>
        <a:stretch>
          <a:fillRect/>
        </a:stretch>
      </xdr:blipFill>
      <xdr:spPr bwMode="auto">
        <a:xfrm>
          <a:off x="0" y="0"/>
          <a:ext cx="365760" cy="143256"/>
        </a:xfrm>
        <a:prstGeom prst="rect">
          <a:avLst/>
        </a:prstGeom>
        <a:noFill/>
      </xdr:spPr>
    </xdr:pic>
    <xdr:clientData/>
  </xdr:twoCellAnchor>
  <xdr:twoCellAnchor editAs="oneCell">
    <xdr:from>
      <xdr:col>2</xdr:col>
      <xdr:colOff>38100</xdr:colOff>
      <xdr:row>787</xdr:row>
      <xdr:rowOff>38100</xdr:rowOff>
    </xdr:from>
    <xdr:to>
      <xdr:col>2</xdr:col>
      <xdr:colOff>1181100</xdr:colOff>
      <xdr:row>787</xdr:row>
      <xdr:rowOff>1181100</xdr:rowOff>
    </xdr:to>
    <xdr:pic>
      <xdr:nvPicPr>
        <xdr:cNvPr id="1396" name="Picture 372">
          <a:extLst>
            <a:ext uri="{FF2B5EF4-FFF2-40B4-BE49-F238E27FC236}">
              <a16:creationId xmlns:a16="http://schemas.microsoft.com/office/drawing/2014/main" id="{00000000-0008-0000-0000-000074050000}"/>
            </a:ext>
          </a:extLst>
        </xdr:cNvPr>
        <xdr:cNvPicPr>
          <a:picLocks noChangeAspect="1" noChangeArrowheads="1"/>
        </xdr:cNvPicPr>
      </xdr:nvPicPr>
      <xdr:blipFill>
        <a:blip xmlns:r="http://schemas.openxmlformats.org/officeDocument/2006/relationships" r:embed="rId37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788</xdr:row>
      <xdr:rowOff>38100</xdr:rowOff>
    </xdr:from>
    <xdr:to>
      <xdr:col>2</xdr:col>
      <xdr:colOff>403860</xdr:colOff>
      <xdr:row>788</xdr:row>
      <xdr:rowOff>135636</xdr:rowOff>
    </xdr:to>
    <xdr:pic>
      <xdr:nvPicPr>
        <xdr:cNvPr id="1397" name="Picture 373">
          <a:extLst>
            <a:ext uri="{FF2B5EF4-FFF2-40B4-BE49-F238E27FC236}">
              <a16:creationId xmlns:a16="http://schemas.microsoft.com/office/drawing/2014/main" id="{00000000-0008-0000-0000-000075050000}"/>
            </a:ext>
          </a:extLst>
        </xdr:cNvPr>
        <xdr:cNvPicPr>
          <a:picLocks noChangeAspect="1" noChangeArrowheads="1"/>
        </xdr:cNvPicPr>
      </xdr:nvPicPr>
      <xdr:blipFill>
        <a:blip xmlns:r="http://schemas.openxmlformats.org/officeDocument/2006/relationships" r:embed="rId373" cstate="print"/>
        <a:srcRect/>
        <a:stretch>
          <a:fillRect/>
        </a:stretch>
      </xdr:blipFill>
      <xdr:spPr bwMode="auto">
        <a:xfrm>
          <a:off x="0" y="0"/>
          <a:ext cx="365760" cy="97536"/>
        </a:xfrm>
        <a:prstGeom prst="rect">
          <a:avLst/>
        </a:prstGeom>
        <a:noFill/>
      </xdr:spPr>
    </xdr:pic>
    <xdr:clientData/>
  </xdr:twoCellAnchor>
  <xdr:twoCellAnchor editAs="oneCell">
    <xdr:from>
      <xdr:col>2</xdr:col>
      <xdr:colOff>38100</xdr:colOff>
      <xdr:row>789</xdr:row>
      <xdr:rowOff>38100</xdr:rowOff>
    </xdr:from>
    <xdr:to>
      <xdr:col>2</xdr:col>
      <xdr:colOff>769620</xdr:colOff>
      <xdr:row>789</xdr:row>
      <xdr:rowOff>263652</xdr:rowOff>
    </xdr:to>
    <xdr:pic>
      <xdr:nvPicPr>
        <xdr:cNvPr id="1398" name="Picture 374">
          <a:extLst>
            <a:ext uri="{FF2B5EF4-FFF2-40B4-BE49-F238E27FC236}">
              <a16:creationId xmlns:a16="http://schemas.microsoft.com/office/drawing/2014/main" id="{00000000-0008-0000-0000-000076050000}"/>
            </a:ext>
          </a:extLst>
        </xdr:cNvPr>
        <xdr:cNvPicPr>
          <a:picLocks noChangeAspect="1" noChangeArrowheads="1"/>
        </xdr:cNvPicPr>
      </xdr:nvPicPr>
      <xdr:blipFill>
        <a:blip xmlns:r="http://schemas.openxmlformats.org/officeDocument/2006/relationships" r:embed="rId374" cstate="print"/>
        <a:srcRect/>
        <a:stretch>
          <a:fillRect/>
        </a:stretch>
      </xdr:blipFill>
      <xdr:spPr bwMode="auto">
        <a:xfrm>
          <a:off x="0" y="0"/>
          <a:ext cx="731520" cy="225552"/>
        </a:xfrm>
        <a:prstGeom prst="rect">
          <a:avLst/>
        </a:prstGeom>
        <a:noFill/>
      </xdr:spPr>
    </xdr:pic>
    <xdr:clientData/>
  </xdr:twoCellAnchor>
  <xdr:twoCellAnchor editAs="oneCell">
    <xdr:from>
      <xdr:col>2</xdr:col>
      <xdr:colOff>38100</xdr:colOff>
      <xdr:row>793</xdr:row>
      <xdr:rowOff>38100</xdr:rowOff>
    </xdr:from>
    <xdr:to>
      <xdr:col>2</xdr:col>
      <xdr:colOff>1181100</xdr:colOff>
      <xdr:row>793</xdr:row>
      <xdr:rowOff>609600</xdr:rowOff>
    </xdr:to>
    <xdr:pic>
      <xdr:nvPicPr>
        <xdr:cNvPr id="1399" name="Picture 375">
          <a:extLst>
            <a:ext uri="{FF2B5EF4-FFF2-40B4-BE49-F238E27FC236}">
              <a16:creationId xmlns:a16="http://schemas.microsoft.com/office/drawing/2014/main" id="{00000000-0008-0000-0000-000077050000}"/>
            </a:ext>
          </a:extLst>
        </xdr:cNvPr>
        <xdr:cNvPicPr>
          <a:picLocks noChangeAspect="1" noChangeArrowheads="1"/>
        </xdr:cNvPicPr>
      </xdr:nvPicPr>
      <xdr:blipFill>
        <a:blip xmlns:r="http://schemas.openxmlformats.org/officeDocument/2006/relationships" r:embed="rId375" cstate="print"/>
        <a:srcRect/>
        <a:stretch>
          <a:fillRect/>
        </a:stretch>
      </xdr:blipFill>
      <xdr:spPr bwMode="auto">
        <a:xfrm>
          <a:off x="0" y="0"/>
          <a:ext cx="1143000" cy="571500"/>
        </a:xfrm>
        <a:prstGeom prst="rect">
          <a:avLst/>
        </a:prstGeom>
        <a:noFill/>
      </xdr:spPr>
    </xdr:pic>
    <xdr:clientData/>
  </xdr:twoCellAnchor>
  <xdr:twoCellAnchor editAs="oneCell">
    <xdr:from>
      <xdr:col>2</xdr:col>
      <xdr:colOff>38100</xdr:colOff>
      <xdr:row>794</xdr:row>
      <xdr:rowOff>38100</xdr:rowOff>
    </xdr:from>
    <xdr:to>
      <xdr:col>2</xdr:col>
      <xdr:colOff>403860</xdr:colOff>
      <xdr:row>794</xdr:row>
      <xdr:rowOff>403860</xdr:rowOff>
    </xdr:to>
    <xdr:pic>
      <xdr:nvPicPr>
        <xdr:cNvPr id="1400" name="Picture 376">
          <a:extLst>
            <a:ext uri="{FF2B5EF4-FFF2-40B4-BE49-F238E27FC236}">
              <a16:creationId xmlns:a16="http://schemas.microsoft.com/office/drawing/2014/main" id="{00000000-0008-0000-0000-000078050000}"/>
            </a:ext>
          </a:extLst>
        </xdr:cNvPr>
        <xdr:cNvPicPr>
          <a:picLocks noChangeAspect="1" noChangeArrowheads="1"/>
        </xdr:cNvPicPr>
      </xdr:nvPicPr>
      <xdr:blipFill>
        <a:blip xmlns:r="http://schemas.openxmlformats.org/officeDocument/2006/relationships" r:embed="rId376"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795</xdr:row>
      <xdr:rowOff>38100</xdr:rowOff>
    </xdr:from>
    <xdr:to>
      <xdr:col>2</xdr:col>
      <xdr:colOff>1181100</xdr:colOff>
      <xdr:row>795</xdr:row>
      <xdr:rowOff>447675</xdr:rowOff>
    </xdr:to>
    <xdr:pic>
      <xdr:nvPicPr>
        <xdr:cNvPr id="1401" name="Picture 377">
          <a:extLst>
            <a:ext uri="{FF2B5EF4-FFF2-40B4-BE49-F238E27FC236}">
              <a16:creationId xmlns:a16="http://schemas.microsoft.com/office/drawing/2014/main" id="{00000000-0008-0000-0000-000079050000}"/>
            </a:ext>
          </a:extLst>
        </xdr:cNvPr>
        <xdr:cNvPicPr>
          <a:picLocks noChangeAspect="1" noChangeArrowheads="1"/>
        </xdr:cNvPicPr>
      </xdr:nvPicPr>
      <xdr:blipFill>
        <a:blip xmlns:r="http://schemas.openxmlformats.org/officeDocument/2006/relationships" r:embed="rId377" cstate="print"/>
        <a:srcRect/>
        <a:stretch>
          <a:fillRect/>
        </a:stretch>
      </xdr:blipFill>
      <xdr:spPr bwMode="auto">
        <a:xfrm>
          <a:off x="0" y="0"/>
          <a:ext cx="1143000" cy="409575"/>
        </a:xfrm>
        <a:prstGeom prst="rect">
          <a:avLst/>
        </a:prstGeom>
        <a:noFill/>
      </xdr:spPr>
    </xdr:pic>
    <xdr:clientData/>
  </xdr:twoCellAnchor>
  <xdr:twoCellAnchor editAs="oneCell">
    <xdr:from>
      <xdr:col>2</xdr:col>
      <xdr:colOff>38100</xdr:colOff>
      <xdr:row>799</xdr:row>
      <xdr:rowOff>38100</xdr:rowOff>
    </xdr:from>
    <xdr:to>
      <xdr:col>2</xdr:col>
      <xdr:colOff>1181100</xdr:colOff>
      <xdr:row>799</xdr:row>
      <xdr:rowOff>1181100</xdr:rowOff>
    </xdr:to>
    <xdr:pic>
      <xdr:nvPicPr>
        <xdr:cNvPr id="1402" name="Picture 378">
          <a:extLst>
            <a:ext uri="{FF2B5EF4-FFF2-40B4-BE49-F238E27FC236}">
              <a16:creationId xmlns:a16="http://schemas.microsoft.com/office/drawing/2014/main" id="{00000000-0008-0000-0000-00007A050000}"/>
            </a:ext>
          </a:extLst>
        </xdr:cNvPr>
        <xdr:cNvPicPr>
          <a:picLocks noChangeAspect="1" noChangeArrowheads="1"/>
        </xdr:cNvPicPr>
      </xdr:nvPicPr>
      <xdr:blipFill>
        <a:blip xmlns:r="http://schemas.openxmlformats.org/officeDocument/2006/relationships" r:embed="rId37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800</xdr:row>
      <xdr:rowOff>38100</xdr:rowOff>
    </xdr:from>
    <xdr:to>
      <xdr:col>2</xdr:col>
      <xdr:colOff>1181100</xdr:colOff>
      <xdr:row>800</xdr:row>
      <xdr:rowOff>1181100</xdr:rowOff>
    </xdr:to>
    <xdr:pic>
      <xdr:nvPicPr>
        <xdr:cNvPr id="1403" name="Picture 379">
          <a:extLst>
            <a:ext uri="{FF2B5EF4-FFF2-40B4-BE49-F238E27FC236}">
              <a16:creationId xmlns:a16="http://schemas.microsoft.com/office/drawing/2014/main" id="{00000000-0008-0000-0000-00007B050000}"/>
            </a:ext>
          </a:extLst>
        </xdr:cNvPr>
        <xdr:cNvPicPr>
          <a:picLocks noChangeAspect="1" noChangeArrowheads="1"/>
        </xdr:cNvPicPr>
      </xdr:nvPicPr>
      <xdr:blipFill>
        <a:blip xmlns:r="http://schemas.openxmlformats.org/officeDocument/2006/relationships" r:embed="rId379"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801</xdr:row>
      <xdr:rowOff>38100</xdr:rowOff>
    </xdr:from>
    <xdr:to>
      <xdr:col>2</xdr:col>
      <xdr:colOff>1181100</xdr:colOff>
      <xdr:row>801</xdr:row>
      <xdr:rowOff>590550</xdr:rowOff>
    </xdr:to>
    <xdr:pic>
      <xdr:nvPicPr>
        <xdr:cNvPr id="1404" name="Picture 380">
          <a:extLst>
            <a:ext uri="{FF2B5EF4-FFF2-40B4-BE49-F238E27FC236}">
              <a16:creationId xmlns:a16="http://schemas.microsoft.com/office/drawing/2014/main" id="{00000000-0008-0000-0000-00007C050000}"/>
            </a:ext>
          </a:extLst>
        </xdr:cNvPr>
        <xdr:cNvPicPr>
          <a:picLocks noChangeAspect="1" noChangeArrowheads="1"/>
        </xdr:cNvPicPr>
      </xdr:nvPicPr>
      <xdr:blipFill>
        <a:blip xmlns:r="http://schemas.openxmlformats.org/officeDocument/2006/relationships" r:embed="rId380" cstate="print"/>
        <a:srcRect/>
        <a:stretch>
          <a:fillRect/>
        </a:stretch>
      </xdr:blipFill>
      <xdr:spPr bwMode="auto">
        <a:xfrm>
          <a:off x="0" y="0"/>
          <a:ext cx="1143000" cy="552450"/>
        </a:xfrm>
        <a:prstGeom prst="rect">
          <a:avLst/>
        </a:prstGeom>
        <a:noFill/>
      </xdr:spPr>
    </xdr:pic>
    <xdr:clientData/>
  </xdr:twoCellAnchor>
  <xdr:twoCellAnchor editAs="oneCell">
    <xdr:from>
      <xdr:col>2</xdr:col>
      <xdr:colOff>38100</xdr:colOff>
      <xdr:row>802</xdr:row>
      <xdr:rowOff>38100</xdr:rowOff>
    </xdr:from>
    <xdr:to>
      <xdr:col>2</xdr:col>
      <xdr:colOff>1181100</xdr:colOff>
      <xdr:row>802</xdr:row>
      <xdr:rowOff>704850</xdr:rowOff>
    </xdr:to>
    <xdr:pic>
      <xdr:nvPicPr>
        <xdr:cNvPr id="1405" name="Picture 381">
          <a:extLst>
            <a:ext uri="{FF2B5EF4-FFF2-40B4-BE49-F238E27FC236}">
              <a16:creationId xmlns:a16="http://schemas.microsoft.com/office/drawing/2014/main" id="{00000000-0008-0000-0000-00007D050000}"/>
            </a:ext>
          </a:extLst>
        </xdr:cNvPr>
        <xdr:cNvPicPr>
          <a:picLocks noChangeAspect="1" noChangeArrowheads="1"/>
        </xdr:cNvPicPr>
      </xdr:nvPicPr>
      <xdr:blipFill>
        <a:blip xmlns:r="http://schemas.openxmlformats.org/officeDocument/2006/relationships" r:embed="rId381" cstate="print"/>
        <a:srcRect/>
        <a:stretch>
          <a:fillRect/>
        </a:stretch>
      </xdr:blipFill>
      <xdr:spPr bwMode="auto">
        <a:xfrm>
          <a:off x="0" y="0"/>
          <a:ext cx="1143000" cy="666750"/>
        </a:xfrm>
        <a:prstGeom prst="rect">
          <a:avLst/>
        </a:prstGeom>
        <a:noFill/>
      </xdr:spPr>
    </xdr:pic>
    <xdr:clientData/>
  </xdr:twoCellAnchor>
  <xdr:twoCellAnchor editAs="oneCell">
    <xdr:from>
      <xdr:col>2</xdr:col>
      <xdr:colOff>38100</xdr:colOff>
      <xdr:row>803</xdr:row>
      <xdr:rowOff>38100</xdr:rowOff>
    </xdr:from>
    <xdr:to>
      <xdr:col>2</xdr:col>
      <xdr:colOff>1181100</xdr:colOff>
      <xdr:row>803</xdr:row>
      <xdr:rowOff>533400</xdr:rowOff>
    </xdr:to>
    <xdr:pic>
      <xdr:nvPicPr>
        <xdr:cNvPr id="1406" name="Picture 382">
          <a:extLst>
            <a:ext uri="{FF2B5EF4-FFF2-40B4-BE49-F238E27FC236}">
              <a16:creationId xmlns:a16="http://schemas.microsoft.com/office/drawing/2014/main" id="{00000000-0008-0000-0000-00007E050000}"/>
            </a:ext>
          </a:extLst>
        </xdr:cNvPr>
        <xdr:cNvPicPr>
          <a:picLocks noChangeAspect="1" noChangeArrowheads="1"/>
        </xdr:cNvPicPr>
      </xdr:nvPicPr>
      <xdr:blipFill>
        <a:blip xmlns:r="http://schemas.openxmlformats.org/officeDocument/2006/relationships" r:embed="rId382" cstate="print"/>
        <a:srcRect/>
        <a:stretch>
          <a:fillRect/>
        </a:stretch>
      </xdr:blipFill>
      <xdr:spPr bwMode="auto">
        <a:xfrm>
          <a:off x="0" y="0"/>
          <a:ext cx="1143000" cy="495300"/>
        </a:xfrm>
        <a:prstGeom prst="rect">
          <a:avLst/>
        </a:prstGeom>
        <a:noFill/>
      </xdr:spPr>
    </xdr:pic>
    <xdr:clientData/>
  </xdr:twoCellAnchor>
  <xdr:twoCellAnchor editAs="oneCell">
    <xdr:from>
      <xdr:col>2</xdr:col>
      <xdr:colOff>38100</xdr:colOff>
      <xdr:row>804</xdr:row>
      <xdr:rowOff>38100</xdr:rowOff>
    </xdr:from>
    <xdr:to>
      <xdr:col>2</xdr:col>
      <xdr:colOff>1181100</xdr:colOff>
      <xdr:row>804</xdr:row>
      <xdr:rowOff>638175</xdr:rowOff>
    </xdr:to>
    <xdr:pic>
      <xdr:nvPicPr>
        <xdr:cNvPr id="1407" name="Picture 383">
          <a:extLst>
            <a:ext uri="{FF2B5EF4-FFF2-40B4-BE49-F238E27FC236}">
              <a16:creationId xmlns:a16="http://schemas.microsoft.com/office/drawing/2014/main" id="{00000000-0008-0000-0000-00007F050000}"/>
            </a:ext>
          </a:extLst>
        </xdr:cNvPr>
        <xdr:cNvPicPr>
          <a:picLocks noChangeAspect="1" noChangeArrowheads="1"/>
        </xdr:cNvPicPr>
      </xdr:nvPicPr>
      <xdr:blipFill>
        <a:blip xmlns:r="http://schemas.openxmlformats.org/officeDocument/2006/relationships" r:embed="rId383" cstate="print"/>
        <a:srcRect/>
        <a:stretch>
          <a:fillRect/>
        </a:stretch>
      </xdr:blipFill>
      <xdr:spPr bwMode="auto">
        <a:xfrm>
          <a:off x="0" y="0"/>
          <a:ext cx="1143000" cy="600075"/>
        </a:xfrm>
        <a:prstGeom prst="rect">
          <a:avLst/>
        </a:prstGeom>
        <a:noFill/>
      </xdr:spPr>
    </xdr:pic>
    <xdr:clientData/>
  </xdr:twoCellAnchor>
  <xdr:twoCellAnchor editAs="oneCell">
    <xdr:from>
      <xdr:col>2</xdr:col>
      <xdr:colOff>38100</xdr:colOff>
      <xdr:row>805</xdr:row>
      <xdr:rowOff>38100</xdr:rowOff>
    </xdr:from>
    <xdr:to>
      <xdr:col>2</xdr:col>
      <xdr:colOff>1181100</xdr:colOff>
      <xdr:row>805</xdr:row>
      <xdr:rowOff>1123950</xdr:rowOff>
    </xdr:to>
    <xdr:pic>
      <xdr:nvPicPr>
        <xdr:cNvPr id="1408" name="Picture 384">
          <a:extLst>
            <a:ext uri="{FF2B5EF4-FFF2-40B4-BE49-F238E27FC236}">
              <a16:creationId xmlns:a16="http://schemas.microsoft.com/office/drawing/2014/main" id="{00000000-0008-0000-0000-000080050000}"/>
            </a:ext>
          </a:extLst>
        </xdr:cNvPr>
        <xdr:cNvPicPr>
          <a:picLocks noChangeAspect="1" noChangeArrowheads="1"/>
        </xdr:cNvPicPr>
      </xdr:nvPicPr>
      <xdr:blipFill>
        <a:blip xmlns:r="http://schemas.openxmlformats.org/officeDocument/2006/relationships" r:embed="rId384" cstate="print"/>
        <a:srcRect/>
        <a:stretch>
          <a:fillRect/>
        </a:stretch>
      </xdr:blipFill>
      <xdr:spPr bwMode="auto">
        <a:xfrm>
          <a:off x="0" y="0"/>
          <a:ext cx="1143000" cy="1085850"/>
        </a:xfrm>
        <a:prstGeom prst="rect">
          <a:avLst/>
        </a:prstGeom>
        <a:noFill/>
      </xdr:spPr>
    </xdr:pic>
    <xdr:clientData/>
  </xdr:twoCellAnchor>
  <xdr:twoCellAnchor editAs="oneCell">
    <xdr:from>
      <xdr:col>2</xdr:col>
      <xdr:colOff>38100</xdr:colOff>
      <xdr:row>806</xdr:row>
      <xdr:rowOff>38100</xdr:rowOff>
    </xdr:from>
    <xdr:to>
      <xdr:col>2</xdr:col>
      <xdr:colOff>403860</xdr:colOff>
      <xdr:row>806</xdr:row>
      <xdr:rowOff>403860</xdr:rowOff>
    </xdr:to>
    <xdr:pic>
      <xdr:nvPicPr>
        <xdr:cNvPr id="1409" name="Picture 385">
          <a:extLst>
            <a:ext uri="{FF2B5EF4-FFF2-40B4-BE49-F238E27FC236}">
              <a16:creationId xmlns:a16="http://schemas.microsoft.com/office/drawing/2014/main" id="{00000000-0008-0000-0000-000081050000}"/>
            </a:ext>
          </a:extLst>
        </xdr:cNvPr>
        <xdr:cNvPicPr>
          <a:picLocks noChangeAspect="1" noChangeArrowheads="1"/>
        </xdr:cNvPicPr>
      </xdr:nvPicPr>
      <xdr:blipFill>
        <a:blip xmlns:r="http://schemas.openxmlformats.org/officeDocument/2006/relationships" r:embed="rId385"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807</xdr:row>
      <xdr:rowOff>38100</xdr:rowOff>
    </xdr:from>
    <xdr:to>
      <xdr:col>2</xdr:col>
      <xdr:colOff>1181100</xdr:colOff>
      <xdr:row>807</xdr:row>
      <xdr:rowOff>590550</xdr:rowOff>
    </xdr:to>
    <xdr:pic>
      <xdr:nvPicPr>
        <xdr:cNvPr id="1410" name="Picture 386">
          <a:extLst>
            <a:ext uri="{FF2B5EF4-FFF2-40B4-BE49-F238E27FC236}">
              <a16:creationId xmlns:a16="http://schemas.microsoft.com/office/drawing/2014/main" id="{00000000-0008-0000-0000-000082050000}"/>
            </a:ext>
          </a:extLst>
        </xdr:cNvPr>
        <xdr:cNvPicPr>
          <a:picLocks noChangeAspect="1" noChangeArrowheads="1"/>
        </xdr:cNvPicPr>
      </xdr:nvPicPr>
      <xdr:blipFill>
        <a:blip xmlns:r="http://schemas.openxmlformats.org/officeDocument/2006/relationships" r:embed="rId386" cstate="print"/>
        <a:srcRect/>
        <a:stretch>
          <a:fillRect/>
        </a:stretch>
      </xdr:blipFill>
      <xdr:spPr bwMode="auto">
        <a:xfrm>
          <a:off x="0" y="0"/>
          <a:ext cx="1143000" cy="552450"/>
        </a:xfrm>
        <a:prstGeom prst="rect">
          <a:avLst/>
        </a:prstGeom>
        <a:noFill/>
      </xdr:spPr>
    </xdr:pic>
    <xdr:clientData/>
  </xdr:twoCellAnchor>
  <xdr:twoCellAnchor editAs="oneCell">
    <xdr:from>
      <xdr:col>2</xdr:col>
      <xdr:colOff>38100</xdr:colOff>
      <xdr:row>808</xdr:row>
      <xdr:rowOff>38100</xdr:rowOff>
    </xdr:from>
    <xdr:to>
      <xdr:col>2</xdr:col>
      <xdr:colOff>1181100</xdr:colOff>
      <xdr:row>808</xdr:row>
      <xdr:rowOff>609600</xdr:rowOff>
    </xdr:to>
    <xdr:pic>
      <xdr:nvPicPr>
        <xdr:cNvPr id="1411" name="Picture 387">
          <a:extLst>
            <a:ext uri="{FF2B5EF4-FFF2-40B4-BE49-F238E27FC236}">
              <a16:creationId xmlns:a16="http://schemas.microsoft.com/office/drawing/2014/main" id="{00000000-0008-0000-0000-000083050000}"/>
            </a:ext>
          </a:extLst>
        </xdr:cNvPr>
        <xdr:cNvPicPr>
          <a:picLocks noChangeAspect="1" noChangeArrowheads="1"/>
        </xdr:cNvPicPr>
      </xdr:nvPicPr>
      <xdr:blipFill>
        <a:blip xmlns:r="http://schemas.openxmlformats.org/officeDocument/2006/relationships" r:embed="rId387" cstate="print"/>
        <a:srcRect/>
        <a:stretch>
          <a:fillRect/>
        </a:stretch>
      </xdr:blipFill>
      <xdr:spPr bwMode="auto">
        <a:xfrm>
          <a:off x="0" y="0"/>
          <a:ext cx="1143000" cy="571500"/>
        </a:xfrm>
        <a:prstGeom prst="rect">
          <a:avLst/>
        </a:prstGeom>
        <a:noFill/>
      </xdr:spPr>
    </xdr:pic>
    <xdr:clientData/>
  </xdr:twoCellAnchor>
  <xdr:twoCellAnchor editAs="oneCell">
    <xdr:from>
      <xdr:col>2</xdr:col>
      <xdr:colOff>38100</xdr:colOff>
      <xdr:row>809</xdr:row>
      <xdr:rowOff>38100</xdr:rowOff>
    </xdr:from>
    <xdr:to>
      <xdr:col>2</xdr:col>
      <xdr:colOff>403860</xdr:colOff>
      <xdr:row>809</xdr:row>
      <xdr:rowOff>400812</xdr:rowOff>
    </xdr:to>
    <xdr:pic>
      <xdr:nvPicPr>
        <xdr:cNvPr id="1412" name="Picture 388">
          <a:extLst>
            <a:ext uri="{FF2B5EF4-FFF2-40B4-BE49-F238E27FC236}">
              <a16:creationId xmlns:a16="http://schemas.microsoft.com/office/drawing/2014/main" id="{00000000-0008-0000-0000-000084050000}"/>
            </a:ext>
          </a:extLst>
        </xdr:cNvPr>
        <xdr:cNvPicPr>
          <a:picLocks noChangeAspect="1" noChangeArrowheads="1"/>
        </xdr:cNvPicPr>
      </xdr:nvPicPr>
      <xdr:blipFill>
        <a:blip xmlns:r="http://schemas.openxmlformats.org/officeDocument/2006/relationships" r:embed="rId388" cstate="print"/>
        <a:srcRect/>
        <a:stretch>
          <a:fillRect/>
        </a:stretch>
      </xdr:blipFill>
      <xdr:spPr bwMode="auto">
        <a:xfrm>
          <a:off x="0" y="0"/>
          <a:ext cx="365760" cy="362712"/>
        </a:xfrm>
        <a:prstGeom prst="rect">
          <a:avLst/>
        </a:prstGeom>
        <a:noFill/>
      </xdr:spPr>
    </xdr:pic>
    <xdr:clientData/>
  </xdr:twoCellAnchor>
  <xdr:twoCellAnchor editAs="oneCell">
    <xdr:from>
      <xdr:col>2</xdr:col>
      <xdr:colOff>38100</xdr:colOff>
      <xdr:row>810</xdr:row>
      <xdr:rowOff>38100</xdr:rowOff>
    </xdr:from>
    <xdr:to>
      <xdr:col>2</xdr:col>
      <xdr:colOff>404220</xdr:colOff>
      <xdr:row>810</xdr:row>
      <xdr:rowOff>404220</xdr:rowOff>
    </xdr:to>
    <xdr:pic>
      <xdr:nvPicPr>
        <xdr:cNvPr id="1413" name="Picture 389">
          <a:extLst>
            <a:ext uri="{FF2B5EF4-FFF2-40B4-BE49-F238E27FC236}">
              <a16:creationId xmlns:a16="http://schemas.microsoft.com/office/drawing/2014/main" id="{00000000-0008-0000-0000-000085050000}"/>
            </a:ext>
          </a:extLst>
        </xdr:cNvPr>
        <xdr:cNvPicPr>
          <a:picLocks noChangeAspect="1" noChangeArrowheads="1"/>
        </xdr:cNvPicPr>
      </xdr:nvPicPr>
      <xdr:blipFill>
        <a:blip xmlns:r="http://schemas.openxmlformats.org/officeDocument/2006/relationships" r:embed="rId389" cstate="print"/>
        <a:srcRect/>
        <a:stretch>
          <a:fillRect/>
        </a:stretch>
      </xdr:blipFill>
      <xdr:spPr bwMode="auto">
        <a:xfrm>
          <a:off x="0" y="0"/>
          <a:ext cx="366120" cy="366120"/>
        </a:xfrm>
        <a:prstGeom prst="rect">
          <a:avLst/>
        </a:prstGeom>
        <a:noFill/>
      </xdr:spPr>
    </xdr:pic>
    <xdr:clientData/>
  </xdr:twoCellAnchor>
  <xdr:twoCellAnchor editAs="oneCell">
    <xdr:from>
      <xdr:col>2</xdr:col>
      <xdr:colOff>38100</xdr:colOff>
      <xdr:row>811</xdr:row>
      <xdr:rowOff>38100</xdr:rowOff>
    </xdr:from>
    <xdr:to>
      <xdr:col>2</xdr:col>
      <xdr:colOff>769620</xdr:colOff>
      <xdr:row>811</xdr:row>
      <xdr:rowOff>769620</xdr:rowOff>
    </xdr:to>
    <xdr:pic>
      <xdr:nvPicPr>
        <xdr:cNvPr id="1414" name="Picture 390">
          <a:extLst>
            <a:ext uri="{FF2B5EF4-FFF2-40B4-BE49-F238E27FC236}">
              <a16:creationId xmlns:a16="http://schemas.microsoft.com/office/drawing/2014/main" id="{00000000-0008-0000-0000-000086050000}"/>
            </a:ext>
          </a:extLst>
        </xdr:cNvPr>
        <xdr:cNvPicPr>
          <a:picLocks noChangeAspect="1" noChangeArrowheads="1"/>
        </xdr:cNvPicPr>
      </xdr:nvPicPr>
      <xdr:blipFill>
        <a:blip xmlns:r="http://schemas.openxmlformats.org/officeDocument/2006/relationships" r:embed="rId390"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812</xdr:row>
      <xdr:rowOff>38100</xdr:rowOff>
    </xdr:from>
    <xdr:to>
      <xdr:col>2</xdr:col>
      <xdr:colOff>404220</xdr:colOff>
      <xdr:row>812</xdr:row>
      <xdr:rowOff>404220</xdr:rowOff>
    </xdr:to>
    <xdr:pic>
      <xdr:nvPicPr>
        <xdr:cNvPr id="1415" name="Picture 391">
          <a:extLst>
            <a:ext uri="{FF2B5EF4-FFF2-40B4-BE49-F238E27FC236}">
              <a16:creationId xmlns:a16="http://schemas.microsoft.com/office/drawing/2014/main" id="{00000000-0008-0000-0000-000087050000}"/>
            </a:ext>
          </a:extLst>
        </xdr:cNvPr>
        <xdr:cNvPicPr>
          <a:picLocks noChangeAspect="1" noChangeArrowheads="1"/>
        </xdr:cNvPicPr>
      </xdr:nvPicPr>
      <xdr:blipFill>
        <a:blip xmlns:r="http://schemas.openxmlformats.org/officeDocument/2006/relationships" r:embed="rId391" cstate="print"/>
        <a:srcRect/>
        <a:stretch>
          <a:fillRect/>
        </a:stretch>
      </xdr:blipFill>
      <xdr:spPr bwMode="auto">
        <a:xfrm>
          <a:off x="0" y="0"/>
          <a:ext cx="366120" cy="366120"/>
        </a:xfrm>
        <a:prstGeom prst="rect">
          <a:avLst/>
        </a:prstGeom>
        <a:noFill/>
      </xdr:spPr>
    </xdr:pic>
    <xdr:clientData/>
  </xdr:twoCellAnchor>
  <xdr:twoCellAnchor editAs="oneCell">
    <xdr:from>
      <xdr:col>2</xdr:col>
      <xdr:colOff>38100</xdr:colOff>
      <xdr:row>815</xdr:row>
      <xdr:rowOff>38100</xdr:rowOff>
    </xdr:from>
    <xdr:to>
      <xdr:col>2</xdr:col>
      <xdr:colOff>1181100</xdr:colOff>
      <xdr:row>815</xdr:row>
      <xdr:rowOff>1181100</xdr:rowOff>
    </xdr:to>
    <xdr:pic>
      <xdr:nvPicPr>
        <xdr:cNvPr id="1416" name="Picture 392">
          <a:extLst>
            <a:ext uri="{FF2B5EF4-FFF2-40B4-BE49-F238E27FC236}">
              <a16:creationId xmlns:a16="http://schemas.microsoft.com/office/drawing/2014/main" id="{00000000-0008-0000-0000-000088050000}"/>
            </a:ext>
          </a:extLst>
        </xdr:cNvPr>
        <xdr:cNvPicPr>
          <a:picLocks noChangeAspect="1" noChangeArrowheads="1"/>
        </xdr:cNvPicPr>
      </xdr:nvPicPr>
      <xdr:blipFill>
        <a:blip xmlns:r="http://schemas.openxmlformats.org/officeDocument/2006/relationships" r:embed="rId39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820</xdr:row>
      <xdr:rowOff>38100</xdr:rowOff>
    </xdr:from>
    <xdr:to>
      <xdr:col>2</xdr:col>
      <xdr:colOff>1181100</xdr:colOff>
      <xdr:row>820</xdr:row>
      <xdr:rowOff>895350</xdr:rowOff>
    </xdr:to>
    <xdr:pic>
      <xdr:nvPicPr>
        <xdr:cNvPr id="1417" name="Picture 393">
          <a:extLst>
            <a:ext uri="{FF2B5EF4-FFF2-40B4-BE49-F238E27FC236}">
              <a16:creationId xmlns:a16="http://schemas.microsoft.com/office/drawing/2014/main" id="{00000000-0008-0000-0000-000089050000}"/>
            </a:ext>
          </a:extLst>
        </xdr:cNvPr>
        <xdr:cNvPicPr>
          <a:picLocks noChangeAspect="1" noChangeArrowheads="1"/>
        </xdr:cNvPicPr>
      </xdr:nvPicPr>
      <xdr:blipFill>
        <a:blip xmlns:r="http://schemas.openxmlformats.org/officeDocument/2006/relationships" r:embed="rId393" cstate="print"/>
        <a:srcRect/>
        <a:stretch>
          <a:fillRect/>
        </a:stretch>
      </xdr:blipFill>
      <xdr:spPr bwMode="auto">
        <a:xfrm>
          <a:off x="0" y="0"/>
          <a:ext cx="1143000" cy="857250"/>
        </a:xfrm>
        <a:prstGeom prst="rect">
          <a:avLst/>
        </a:prstGeom>
        <a:noFill/>
      </xdr:spPr>
    </xdr:pic>
    <xdr:clientData/>
  </xdr:twoCellAnchor>
  <xdr:twoCellAnchor editAs="oneCell">
    <xdr:from>
      <xdr:col>2</xdr:col>
      <xdr:colOff>38100</xdr:colOff>
      <xdr:row>826</xdr:row>
      <xdr:rowOff>38100</xdr:rowOff>
    </xdr:from>
    <xdr:to>
      <xdr:col>2</xdr:col>
      <xdr:colOff>1181100</xdr:colOff>
      <xdr:row>826</xdr:row>
      <xdr:rowOff>771525</xdr:rowOff>
    </xdr:to>
    <xdr:pic>
      <xdr:nvPicPr>
        <xdr:cNvPr id="1418" name="Picture 394">
          <a:extLst>
            <a:ext uri="{FF2B5EF4-FFF2-40B4-BE49-F238E27FC236}">
              <a16:creationId xmlns:a16="http://schemas.microsoft.com/office/drawing/2014/main" id="{00000000-0008-0000-0000-00008A050000}"/>
            </a:ext>
          </a:extLst>
        </xdr:cNvPr>
        <xdr:cNvPicPr>
          <a:picLocks noChangeAspect="1" noChangeArrowheads="1"/>
        </xdr:cNvPicPr>
      </xdr:nvPicPr>
      <xdr:blipFill>
        <a:blip xmlns:r="http://schemas.openxmlformats.org/officeDocument/2006/relationships" r:embed="rId394" cstate="print"/>
        <a:srcRect/>
        <a:stretch>
          <a:fillRect/>
        </a:stretch>
      </xdr:blipFill>
      <xdr:spPr bwMode="auto">
        <a:xfrm>
          <a:off x="0" y="0"/>
          <a:ext cx="1143000" cy="733425"/>
        </a:xfrm>
        <a:prstGeom prst="rect">
          <a:avLst/>
        </a:prstGeom>
        <a:noFill/>
      </xdr:spPr>
    </xdr:pic>
    <xdr:clientData/>
  </xdr:twoCellAnchor>
  <xdr:twoCellAnchor editAs="oneCell">
    <xdr:from>
      <xdr:col>2</xdr:col>
      <xdr:colOff>38100</xdr:colOff>
      <xdr:row>834</xdr:row>
      <xdr:rowOff>38100</xdr:rowOff>
    </xdr:from>
    <xdr:to>
      <xdr:col>2</xdr:col>
      <xdr:colOff>1562100</xdr:colOff>
      <xdr:row>834</xdr:row>
      <xdr:rowOff>1549400</xdr:rowOff>
    </xdr:to>
    <xdr:pic>
      <xdr:nvPicPr>
        <xdr:cNvPr id="1419" name="Picture 395">
          <a:extLst>
            <a:ext uri="{FF2B5EF4-FFF2-40B4-BE49-F238E27FC236}">
              <a16:creationId xmlns:a16="http://schemas.microsoft.com/office/drawing/2014/main" id="{00000000-0008-0000-0000-00008B050000}"/>
            </a:ext>
          </a:extLst>
        </xdr:cNvPr>
        <xdr:cNvPicPr>
          <a:picLocks noChangeAspect="1" noChangeArrowheads="1"/>
        </xdr:cNvPicPr>
      </xdr:nvPicPr>
      <xdr:blipFill>
        <a:blip xmlns:r="http://schemas.openxmlformats.org/officeDocument/2006/relationships" r:embed="rId395" cstate="print"/>
        <a:srcRect/>
        <a:stretch>
          <a:fillRect/>
        </a:stretch>
      </xdr:blipFill>
      <xdr:spPr bwMode="auto">
        <a:xfrm>
          <a:off x="0" y="0"/>
          <a:ext cx="1524000" cy="1511300"/>
        </a:xfrm>
        <a:prstGeom prst="rect">
          <a:avLst/>
        </a:prstGeom>
        <a:noFill/>
      </xdr:spPr>
    </xdr:pic>
    <xdr:clientData/>
  </xdr:twoCellAnchor>
  <xdr:twoCellAnchor editAs="oneCell">
    <xdr:from>
      <xdr:col>2</xdr:col>
      <xdr:colOff>38100</xdr:colOff>
      <xdr:row>835</xdr:row>
      <xdr:rowOff>38100</xdr:rowOff>
    </xdr:from>
    <xdr:to>
      <xdr:col>2</xdr:col>
      <xdr:colOff>109766100</xdr:colOff>
      <xdr:row>835</xdr:row>
      <xdr:rowOff>66789300</xdr:rowOff>
    </xdr:to>
    <xdr:pic>
      <xdr:nvPicPr>
        <xdr:cNvPr id="1420" name="Picture 396">
          <a:extLst>
            <a:ext uri="{FF2B5EF4-FFF2-40B4-BE49-F238E27FC236}">
              <a16:creationId xmlns:a16="http://schemas.microsoft.com/office/drawing/2014/main" id="{00000000-0008-0000-0000-00008C050000}"/>
            </a:ext>
          </a:extLst>
        </xdr:cNvPr>
        <xdr:cNvPicPr>
          <a:picLocks noChangeAspect="1" noChangeArrowheads="1"/>
        </xdr:cNvPicPr>
      </xdr:nvPicPr>
      <xdr:blipFill>
        <a:blip xmlns:r="http://schemas.openxmlformats.org/officeDocument/2006/relationships" r:embed="rId396" cstate="print"/>
        <a:srcRect/>
        <a:stretch>
          <a:fillRect/>
        </a:stretch>
      </xdr:blipFill>
      <xdr:spPr bwMode="auto">
        <a:xfrm>
          <a:off x="0" y="0"/>
          <a:ext cx="109728000" cy="66751200"/>
        </a:xfrm>
        <a:prstGeom prst="rect">
          <a:avLst/>
        </a:prstGeom>
        <a:noFill/>
      </xdr:spPr>
    </xdr:pic>
    <xdr:clientData/>
  </xdr:twoCellAnchor>
  <xdr:twoCellAnchor editAs="oneCell">
    <xdr:from>
      <xdr:col>2</xdr:col>
      <xdr:colOff>38100</xdr:colOff>
      <xdr:row>839</xdr:row>
      <xdr:rowOff>38100</xdr:rowOff>
    </xdr:from>
    <xdr:to>
      <xdr:col>2</xdr:col>
      <xdr:colOff>1181100</xdr:colOff>
      <xdr:row>839</xdr:row>
      <xdr:rowOff>628650</xdr:rowOff>
    </xdr:to>
    <xdr:pic>
      <xdr:nvPicPr>
        <xdr:cNvPr id="1421" name="Picture 397">
          <a:extLst>
            <a:ext uri="{FF2B5EF4-FFF2-40B4-BE49-F238E27FC236}">
              <a16:creationId xmlns:a16="http://schemas.microsoft.com/office/drawing/2014/main" id="{00000000-0008-0000-0000-00008D050000}"/>
            </a:ext>
          </a:extLst>
        </xdr:cNvPr>
        <xdr:cNvPicPr>
          <a:picLocks noChangeAspect="1" noChangeArrowheads="1"/>
        </xdr:cNvPicPr>
      </xdr:nvPicPr>
      <xdr:blipFill>
        <a:blip xmlns:r="http://schemas.openxmlformats.org/officeDocument/2006/relationships" r:embed="rId397" cstate="print"/>
        <a:srcRect/>
        <a:stretch>
          <a:fillRect/>
        </a:stretch>
      </xdr:blipFill>
      <xdr:spPr bwMode="auto">
        <a:xfrm>
          <a:off x="0" y="0"/>
          <a:ext cx="1143000" cy="590550"/>
        </a:xfrm>
        <a:prstGeom prst="rect">
          <a:avLst/>
        </a:prstGeom>
        <a:noFill/>
      </xdr:spPr>
    </xdr:pic>
    <xdr:clientData/>
  </xdr:twoCellAnchor>
  <xdr:twoCellAnchor editAs="oneCell">
    <xdr:from>
      <xdr:col>2</xdr:col>
      <xdr:colOff>38100</xdr:colOff>
      <xdr:row>840</xdr:row>
      <xdr:rowOff>38100</xdr:rowOff>
    </xdr:from>
    <xdr:to>
      <xdr:col>2</xdr:col>
      <xdr:colOff>1181220</xdr:colOff>
      <xdr:row>840</xdr:row>
      <xdr:rowOff>285776</xdr:rowOff>
    </xdr:to>
    <xdr:pic>
      <xdr:nvPicPr>
        <xdr:cNvPr id="1422" name="Picture 398">
          <a:extLst>
            <a:ext uri="{FF2B5EF4-FFF2-40B4-BE49-F238E27FC236}">
              <a16:creationId xmlns:a16="http://schemas.microsoft.com/office/drawing/2014/main" id="{00000000-0008-0000-0000-00008E050000}"/>
            </a:ext>
          </a:extLst>
        </xdr:cNvPr>
        <xdr:cNvPicPr>
          <a:picLocks noChangeAspect="1" noChangeArrowheads="1"/>
        </xdr:cNvPicPr>
      </xdr:nvPicPr>
      <xdr:blipFill>
        <a:blip xmlns:r="http://schemas.openxmlformats.org/officeDocument/2006/relationships" r:embed="rId398" cstate="print"/>
        <a:srcRect/>
        <a:stretch>
          <a:fillRect/>
        </a:stretch>
      </xdr:blipFill>
      <xdr:spPr bwMode="auto">
        <a:xfrm>
          <a:off x="0" y="0"/>
          <a:ext cx="1143120" cy="247676"/>
        </a:xfrm>
        <a:prstGeom prst="rect">
          <a:avLst/>
        </a:prstGeom>
        <a:noFill/>
      </xdr:spPr>
    </xdr:pic>
    <xdr:clientData/>
  </xdr:twoCellAnchor>
  <xdr:twoCellAnchor editAs="oneCell">
    <xdr:from>
      <xdr:col>2</xdr:col>
      <xdr:colOff>38100</xdr:colOff>
      <xdr:row>843</xdr:row>
      <xdr:rowOff>38100</xdr:rowOff>
    </xdr:from>
    <xdr:to>
      <xdr:col>2</xdr:col>
      <xdr:colOff>403860</xdr:colOff>
      <xdr:row>843</xdr:row>
      <xdr:rowOff>102108</xdr:rowOff>
    </xdr:to>
    <xdr:pic>
      <xdr:nvPicPr>
        <xdr:cNvPr id="1423" name="Picture 399">
          <a:extLst>
            <a:ext uri="{FF2B5EF4-FFF2-40B4-BE49-F238E27FC236}">
              <a16:creationId xmlns:a16="http://schemas.microsoft.com/office/drawing/2014/main" id="{00000000-0008-0000-0000-00008F050000}"/>
            </a:ext>
          </a:extLst>
        </xdr:cNvPr>
        <xdr:cNvPicPr>
          <a:picLocks noChangeAspect="1" noChangeArrowheads="1"/>
        </xdr:cNvPicPr>
      </xdr:nvPicPr>
      <xdr:blipFill>
        <a:blip xmlns:r="http://schemas.openxmlformats.org/officeDocument/2006/relationships" r:embed="rId399" cstate="print"/>
        <a:srcRect/>
        <a:stretch>
          <a:fillRect/>
        </a:stretch>
      </xdr:blipFill>
      <xdr:spPr bwMode="auto">
        <a:xfrm>
          <a:off x="0" y="0"/>
          <a:ext cx="365760" cy="64008"/>
        </a:xfrm>
        <a:prstGeom prst="rect">
          <a:avLst/>
        </a:prstGeom>
        <a:noFill/>
      </xdr:spPr>
    </xdr:pic>
    <xdr:clientData/>
  </xdr:twoCellAnchor>
  <xdr:twoCellAnchor editAs="oneCell">
    <xdr:from>
      <xdr:col>2</xdr:col>
      <xdr:colOff>38100</xdr:colOff>
      <xdr:row>844</xdr:row>
      <xdr:rowOff>38100</xdr:rowOff>
    </xdr:from>
    <xdr:to>
      <xdr:col>2</xdr:col>
      <xdr:colOff>769620</xdr:colOff>
      <xdr:row>844</xdr:row>
      <xdr:rowOff>556260</xdr:rowOff>
    </xdr:to>
    <xdr:pic>
      <xdr:nvPicPr>
        <xdr:cNvPr id="1424" name="Picture 400">
          <a:extLst>
            <a:ext uri="{FF2B5EF4-FFF2-40B4-BE49-F238E27FC236}">
              <a16:creationId xmlns:a16="http://schemas.microsoft.com/office/drawing/2014/main" id="{00000000-0008-0000-0000-000090050000}"/>
            </a:ext>
          </a:extLst>
        </xdr:cNvPr>
        <xdr:cNvPicPr>
          <a:picLocks noChangeAspect="1" noChangeArrowheads="1"/>
        </xdr:cNvPicPr>
      </xdr:nvPicPr>
      <xdr:blipFill>
        <a:blip xmlns:r="http://schemas.openxmlformats.org/officeDocument/2006/relationships" r:embed="rId400" cstate="print"/>
        <a:srcRect/>
        <a:stretch>
          <a:fillRect/>
        </a:stretch>
      </xdr:blipFill>
      <xdr:spPr bwMode="auto">
        <a:xfrm>
          <a:off x="0" y="0"/>
          <a:ext cx="731520" cy="518160"/>
        </a:xfrm>
        <a:prstGeom prst="rect">
          <a:avLst/>
        </a:prstGeom>
        <a:noFill/>
      </xdr:spPr>
    </xdr:pic>
    <xdr:clientData/>
  </xdr:twoCellAnchor>
  <xdr:twoCellAnchor editAs="oneCell">
    <xdr:from>
      <xdr:col>2</xdr:col>
      <xdr:colOff>38100</xdr:colOff>
      <xdr:row>845</xdr:row>
      <xdr:rowOff>38100</xdr:rowOff>
    </xdr:from>
    <xdr:to>
      <xdr:col>2</xdr:col>
      <xdr:colOff>452220</xdr:colOff>
      <xdr:row>845</xdr:row>
      <xdr:rowOff>452220</xdr:rowOff>
    </xdr:to>
    <xdr:pic>
      <xdr:nvPicPr>
        <xdr:cNvPr id="1425" name="Picture 401">
          <a:extLst>
            <a:ext uri="{FF2B5EF4-FFF2-40B4-BE49-F238E27FC236}">
              <a16:creationId xmlns:a16="http://schemas.microsoft.com/office/drawing/2014/main" id="{00000000-0008-0000-0000-000091050000}"/>
            </a:ext>
          </a:extLst>
        </xdr:cNvPr>
        <xdr:cNvPicPr>
          <a:picLocks noChangeAspect="1" noChangeArrowheads="1"/>
        </xdr:cNvPicPr>
      </xdr:nvPicPr>
      <xdr:blipFill>
        <a:blip xmlns:r="http://schemas.openxmlformats.org/officeDocument/2006/relationships" r:embed="rId401" cstate="print"/>
        <a:srcRect/>
        <a:stretch>
          <a:fillRect/>
        </a:stretch>
      </xdr:blipFill>
      <xdr:spPr bwMode="auto">
        <a:xfrm>
          <a:off x="0" y="0"/>
          <a:ext cx="414120" cy="414120"/>
        </a:xfrm>
        <a:prstGeom prst="rect">
          <a:avLst/>
        </a:prstGeom>
        <a:noFill/>
      </xdr:spPr>
    </xdr:pic>
    <xdr:clientData/>
  </xdr:twoCellAnchor>
  <xdr:twoCellAnchor editAs="oneCell">
    <xdr:from>
      <xdr:col>2</xdr:col>
      <xdr:colOff>38100</xdr:colOff>
      <xdr:row>847</xdr:row>
      <xdr:rowOff>38100</xdr:rowOff>
    </xdr:from>
    <xdr:to>
      <xdr:col>2</xdr:col>
      <xdr:colOff>452220</xdr:colOff>
      <xdr:row>847</xdr:row>
      <xdr:rowOff>452220</xdr:rowOff>
    </xdr:to>
    <xdr:pic>
      <xdr:nvPicPr>
        <xdr:cNvPr id="1426" name="Picture 402">
          <a:extLst>
            <a:ext uri="{FF2B5EF4-FFF2-40B4-BE49-F238E27FC236}">
              <a16:creationId xmlns:a16="http://schemas.microsoft.com/office/drawing/2014/main" id="{00000000-0008-0000-0000-000092050000}"/>
            </a:ext>
          </a:extLst>
        </xdr:cNvPr>
        <xdr:cNvPicPr>
          <a:picLocks noChangeAspect="1" noChangeArrowheads="1"/>
        </xdr:cNvPicPr>
      </xdr:nvPicPr>
      <xdr:blipFill>
        <a:blip xmlns:r="http://schemas.openxmlformats.org/officeDocument/2006/relationships" r:embed="rId402" cstate="print"/>
        <a:srcRect/>
        <a:stretch>
          <a:fillRect/>
        </a:stretch>
      </xdr:blipFill>
      <xdr:spPr bwMode="auto">
        <a:xfrm>
          <a:off x="0" y="0"/>
          <a:ext cx="414120" cy="414120"/>
        </a:xfrm>
        <a:prstGeom prst="rect">
          <a:avLst/>
        </a:prstGeom>
        <a:noFill/>
      </xdr:spPr>
    </xdr:pic>
    <xdr:clientData/>
  </xdr:twoCellAnchor>
  <xdr:twoCellAnchor editAs="oneCell">
    <xdr:from>
      <xdr:col>2</xdr:col>
      <xdr:colOff>38100</xdr:colOff>
      <xdr:row>848</xdr:row>
      <xdr:rowOff>38100</xdr:rowOff>
    </xdr:from>
    <xdr:to>
      <xdr:col>2</xdr:col>
      <xdr:colOff>1181100</xdr:colOff>
      <xdr:row>848</xdr:row>
      <xdr:rowOff>571500</xdr:rowOff>
    </xdr:to>
    <xdr:pic>
      <xdr:nvPicPr>
        <xdr:cNvPr id="1427" name="Picture 403">
          <a:extLst>
            <a:ext uri="{FF2B5EF4-FFF2-40B4-BE49-F238E27FC236}">
              <a16:creationId xmlns:a16="http://schemas.microsoft.com/office/drawing/2014/main" id="{00000000-0008-0000-0000-000093050000}"/>
            </a:ext>
          </a:extLst>
        </xdr:cNvPr>
        <xdr:cNvPicPr>
          <a:picLocks noChangeAspect="1" noChangeArrowheads="1"/>
        </xdr:cNvPicPr>
      </xdr:nvPicPr>
      <xdr:blipFill>
        <a:blip xmlns:r="http://schemas.openxmlformats.org/officeDocument/2006/relationships" r:embed="rId403" cstate="print"/>
        <a:srcRect/>
        <a:stretch>
          <a:fillRect/>
        </a:stretch>
      </xdr:blipFill>
      <xdr:spPr bwMode="auto">
        <a:xfrm>
          <a:off x="0" y="0"/>
          <a:ext cx="1143000" cy="533400"/>
        </a:xfrm>
        <a:prstGeom prst="rect">
          <a:avLst/>
        </a:prstGeom>
        <a:noFill/>
      </xdr:spPr>
    </xdr:pic>
    <xdr:clientData/>
  </xdr:twoCellAnchor>
  <xdr:twoCellAnchor editAs="oneCell">
    <xdr:from>
      <xdr:col>2</xdr:col>
      <xdr:colOff>38100</xdr:colOff>
      <xdr:row>850</xdr:row>
      <xdr:rowOff>38100</xdr:rowOff>
    </xdr:from>
    <xdr:to>
      <xdr:col>2</xdr:col>
      <xdr:colOff>800100</xdr:colOff>
      <xdr:row>850</xdr:row>
      <xdr:rowOff>628650</xdr:rowOff>
    </xdr:to>
    <xdr:pic>
      <xdr:nvPicPr>
        <xdr:cNvPr id="1428" name="Picture 404">
          <a:extLst>
            <a:ext uri="{FF2B5EF4-FFF2-40B4-BE49-F238E27FC236}">
              <a16:creationId xmlns:a16="http://schemas.microsoft.com/office/drawing/2014/main" id="{00000000-0008-0000-0000-000094050000}"/>
            </a:ext>
          </a:extLst>
        </xdr:cNvPr>
        <xdr:cNvPicPr>
          <a:picLocks noChangeAspect="1" noChangeArrowheads="1"/>
        </xdr:cNvPicPr>
      </xdr:nvPicPr>
      <xdr:blipFill>
        <a:blip xmlns:r="http://schemas.openxmlformats.org/officeDocument/2006/relationships" r:embed="rId404" cstate="print"/>
        <a:srcRect/>
        <a:stretch>
          <a:fillRect/>
        </a:stretch>
      </xdr:blipFill>
      <xdr:spPr bwMode="auto">
        <a:xfrm>
          <a:off x="0" y="0"/>
          <a:ext cx="762000" cy="590550"/>
        </a:xfrm>
        <a:prstGeom prst="rect">
          <a:avLst/>
        </a:prstGeom>
        <a:noFill/>
      </xdr:spPr>
    </xdr:pic>
    <xdr:clientData/>
  </xdr:twoCellAnchor>
  <xdr:twoCellAnchor editAs="oneCell">
    <xdr:from>
      <xdr:col>2</xdr:col>
      <xdr:colOff>38100</xdr:colOff>
      <xdr:row>851</xdr:row>
      <xdr:rowOff>38100</xdr:rowOff>
    </xdr:from>
    <xdr:to>
      <xdr:col>2</xdr:col>
      <xdr:colOff>1181100</xdr:colOff>
      <xdr:row>851</xdr:row>
      <xdr:rowOff>742950</xdr:rowOff>
    </xdr:to>
    <xdr:pic>
      <xdr:nvPicPr>
        <xdr:cNvPr id="1429" name="Picture 405">
          <a:extLst>
            <a:ext uri="{FF2B5EF4-FFF2-40B4-BE49-F238E27FC236}">
              <a16:creationId xmlns:a16="http://schemas.microsoft.com/office/drawing/2014/main" id="{00000000-0008-0000-0000-000095050000}"/>
            </a:ext>
          </a:extLst>
        </xdr:cNvPr>
        <xdr:cNvPicPr>
          <a:picLocks noChangeAspect="1" noChangeArrowheads="1"/>
        </xdr:cNvPicPr>
      </xdr:nvPicPr>
      <xdr:blipFill>
        <a:blip xmlns:r="http://schemas.openxmlformats.org/officeDocument/2006/relationships" r:embed="rId405" cstate="print"/>
        <a:srcRect/>
        <a:stretch>
          <a:fillRect/>
        </a:stretch>
      </xdr:blipFill>
      <xdr:spPr bwMode="auto">
        <a:xfrm>
          <a:off x="0" y="0"/>
          <a:ext cx="1143000" cy="704850"/>
        </a:xfrm>
        <a:prstGeom prst="rect">
          <a:avLst/>
        </a:prstGeom>
        <a:noFill/>
      </xdr:spPr>
    </xdr:pic>
    <xdr:clientData/>
  </xdr:twoCellAnchor>
  <xdr:twoCellAnchor editAs="oneCell">
    <xdr:from>
      <xdr:col>2</xdr:col>
      <xdr:colOff>38100</xdr:colOff>
      <xdr:row>853</xdr:row>
      <xdr:rowOff>38100</xdr:rowOff>
    </xdr:from>
    <xdr:to>
      <xdr:col>2</xdr:col>
      <xdr:colOff>1181100</xdr:colOff>
      <xdr:row>853</xdr:row>
      <xdr:rowOff>485775</xdr:rowOff>
    </xdr:to>
    <xdr:pic>
      <xdr:nvPicPr>
        <xdr:cNvPr id="1430" name="Picture 406">
          <a:extLst>
            <a:ext uri="{FF2B5EF4-FFF2-40B4-BE49-F238E27FC236}">
              <a16:creationId xmlns:a16="http://schemas.microsoft.com/office/drawing/2014/main" id="{00000000-0008-0000-0000-000096050000}"/>
            </a:ext>
          </a:extLst>
        </xdr:cNvPr>
        <xdr:cNvPicPr>
          <a:picLocks noChangeAspect="1" noChangeArrowheads="1"/>
        </xdr:cNvPicPr>
      </xdr:nvPicPr>
      <xdr:blipFill>
        <a:blip xmlns:r="http://schemas.openxmlformats.org/officeDocument/2006/relationships" r:embed="rId406" cstate="print"/>
        <a:srcRect/>
        <a:stretch>
          <a:fillRect/>
        </a:stretch>
      </xdr:blipFill>
      <xdr:spPr bwMode="auto">
        <a:xfrm>
          <a:off x="0" y="0"/>
          <a:ext cx="1143000" cy="447675"/>
        </a:xfrm>
        <a:prstGeom prst="rect">
          <a:avLst/>
        </a:prstGeom>
        <a:noFill/>
      </xdr:spPr>
    </xdr:pic>
    <xdr:clientData/>
  </xdr:twoCellAnchor>
  <xdr:twoCellAnchor editAs="oneCell">
    <xdr:from>
      <xdr:col>2</xdr:col>
      <xdr:colOff>38100</xdr:colOff>
      <xdr:row>857</xdr:row>
      <xdr:rowOff>38100</xdr:rowOff>
    </xdr:from>
    <xdr:to>
      <xdr:col>2</xdr:col>
      <xdr:colOff>1181100</xdr:colOff>
      <xdr:row>857</xdr:row>
      <xdr:rowOff>828675</xdr:rowOff>
    </xdr:to>
    <xdr:pic>
      <xdr:nvPicPr>
        <xdr:cNvPr id="1431" name="Picture 407">
          <a:extLst>
            <a:ext uri="{FF2B5EF4-FFF2-40B4-BE49-F238E27FC236}">
              <a16:creationId xmlns:a16="http://schemas.microsoft.com/office/drawing/2014/main" id="{00000000-0008-0000-0000-000097050000}"/>
            </a:ext>
          </a:extLst>
        </xdr:cNvPr>
        <xdr:cNvPicPr>
          <a:picLocks noChangeAspect="1" noChangeArrowheads="1"/>
        </xdr:cNvPicPr>
      </xdr:nvPicPr>
      <xdr:blipFill>
        <a:blip xmlns:r="http://schemas.openxmlformats.org/officeDocument/2006/relationships" r:embed="rId407" cstate="print"/>
        <a:srcRect/>
        <a:stretch>
          <a:fillRect/>
        </a:stretch>
      </xdr:blipFill>
      <xdr:spPr bwMode="auto">
        <a:xfrm>
          <a:off x="0" y="0"/>
          <a:ext cx="1143000" cy="790575"/>
        </a:xfrm>
        <a:prstGeom prst="rect">
          <a:avLst/>
        </a:prstGeom>
        <a:noFill/>
      </xdr:spPr>
    </xdr:pic>
    <xdr:clientData/>
  </xdr:twoCellAnchor>
  <xdr:twoCellAnchor editAs="oneCell">
    <xdr:from>
      <xdr:col>2</xdr:col>
      <xdr:colOff>38100</xdr:colOff>
      <xdr:row>860</xdr:row>
      <xdr:rowOff>38100</xdr:rowOff>
    </xdr:from>
    <xdr:to>
      <xdr:col>2</xdr:col>
      <xdr:colOff>1181100</xdr:colOff>
      <xdr:row>860</xdr:row>
      <xdr:rowOff>1181100</xdr:rowOff>
    </xdr:to>
    <xdr:pic>
      <xdr:nvPicPr>
        <xdr:cNvPr id="1432" name="Picture 408">
          <a:extLst>
            <a:ext uri="{FF2B5EF4-FFF2-40B4-BE49-F238E27FC236}">
              <a16:creationId xmlns:a16="http://schemas.microsoft.com/office/drawing/2014/main" id="{00000000-0008-0000-0000-000098050000}"/>
            </a:ext>
          </a:extLst>
        </xdr:cNvPr>
        <xdr:cNvPicPr>
          <a:picLocks noChangeAspect="1" noChangeArrowheads="1"/>
        </xdr:cNvPicPr>
      </xdr:nvPicPr>
      <xdr:blipFill>
        <a:blip xmlns:r="http://schemas.openxmlformats.org/officeDocument/2006/relationships" r:embed="rId408"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861</xdr:row>
      <xdr:rowOff>38100</xdr:rowOff>
    </xdr:from>
    <xdr:to>
      <xdr:col>2</xdr:col>
      <xdr:colOff>923925</xdr:colOff>
      <xdr:row>861</xdr:row>
      <xdr:rowOff>1181100</xdr:rowOff>
    </xdr:to>
    <xdr:pic>
      <xdr:nvPicPr>
        <xdr:cNvPr id="1433" name="Picture 409">
          <a:extLst>
            <a:ext uri="{FF2B5EF4-FFF2-40B4-BE49-F238E27FC236}">
              <a16:creationId xmlns:a16="http://schemas.microsoft.com/office/drawing/2014/main" id="{00000000-0008-0000-0000-000099050000}"/>
            </a:ext>
          </a:extLst>
        </xdr:cNvPr>
        <xdr:cNvPicPr>
          <a:picLocks noChangeAspect="1" noChangeArrowheads="1"/>
        </xdr:cNvPicPr>
      </xdr:nvPicPr>
      <xdr:blipFill>
        <a:blip xmlns:r="http://schemas.openxmlformats.org/officeDocument/2006/relationships" r:embed="rId409" cstate="print"/>
        <a:srcRect/>
        <a:stretch>
          <a:fillRect/>
        </a:stretch>
      </xdr:blipFill>
      <xdr:spPr bwMode="auto">
        <a:xfrm>
          <a:off x="0" y="0"/>
          <a:ext cx="885825" cy="1143000"/>
        </a:xfrm>
        <a:prstGeom prst="rect">
          <a:avLst/>
        </a:prstGeom>
        <a:noFill/>
      </xdr:spPr>
    </xdr:pic>
    <xdr:clientData/>
  </xdr:twoCellAnchor>
  <xdr:twoCellAnchor editAs="oneCell">
    <xdr:from>
      <xdr:col>2</xdr:col>
      <xdr:colOff>38100</xdr:colOff>
      <xdr:row>866</xdr:row>
      <xdr:rowOff>38100</xdr:rowOff>
    </xdr:from>
    <xdr:to>
      <xdr:col>2</xdr:col>
      <xdr:colOff>990600</xdr:colOff>
      <xdr:row>866</xdr:row>
      <xdr:rowOff>1181100</xdr:rowOff>
    </xdr:to>
    <xdr:pic>
      <xdr:nvPicPr>
        <xdr:cNvPr id="1434" name="Picture 410">
          <a:extLst>
            <a:ext uri="{FF2B5EF4-FFF2-40B4-BE49-F238E27FC236}">
              <a16:creationId xmlns:a16="http://schemas.microsoft.com/office/drawing/2014/main" id="{00000000-0008-0000-0000-00009A050000}"/>
            </a:ext>
          </a:extLst>
        </xdr:cNvPr>
        <xdr:cNvPicPr>
          <a:picLocks noChangeAspect="1" noChangeArrowheads="1"/>
        </xdr:cNvPicPr>
      </xdr:nvPicPr>
      <xdr:blipFill>
        <a:blip xmlns:r="http://schemas.openxmlformats.org/officeDocument/2006/relationships" r:embed="rId410" cstate="print"/>
        <a:srcRect/>
        <a:stretch>
          <a:fillRect/>
        </a:stretch>
      </xdr:blipFill>
      <xdr:spPr bwMode="auto">
        <a:xfrm>
          <a:off x="0" y="0"/>
          <a:ext cx="952500" cy="1143000"/>
        </a:xfrm>
        <a:prstGeom prst="rect">
          <a:avLst/>
        </a:prstGeom>
        <a:noFill/>
      </xdr:spPr>
    </xdr:pic>
    <xdr:clientData/>
  </xdr:twoCellAnchor>
  <xdr:twoCellAnchor editAs="oneCell">
    <xdr:from>
      <xdr:col>2</xdr:col>
      <xdr:colOff>38100</xdr:colOff>
      <xdr:row>868</xdr:row>
      <xdr:rowOff>38100</xdr:rowOff>
    </xdr:from>
    <xdr:to>
      <xdr:col>2</xdr:col>
      <xdr:colOff>769620</xdr:colOff>
      <xdr:row>868</xdr:row>
      <xdr:rowOff>769620</xdr:rowOff>
    </xdr:to>
    <xdr:pic>
      <xdr:nvPicPr>
        <xdr:cNvPr id="1435" name="Picture 411">
          <a:extLst>
            <a:ext uri="{FF2B5EF4-FFF2-40B4-BE49-F238E27FC236}">
              <a16:creationId xmlns:a16="http://schemas.microsoft.com/office/drawing/2014/main" id="{00000000-0008-0000-0000-00009B050000}"/>
            </a:ext>
          </a:extLst>
        </xdr:cNvPr>
        <xdr:cNvPicPr>
          <a:picLocks noChangeAspect="1" noChangeArrowheads="1"/>
        </xdr:cNvPicPr>
      </xdr:nvPicPr>
      <xdr:blipFill>
        <a:blip xmlns:r="http://schemas.openxmlformats.org/officeDocument/2006/relationships" r:embed="rId411" cstate="print"/>
        <a:srcRect/>
        <a:stretch>
          <a:fillRect/>
        </a:stretch>
      </xdr:blipFill>
      <xdr:spPr bwMode="auto">
        <a:xfrm>
          <a:off x="0" y="0"/>
          <a:ext cx="731520" cy="731520"/>
        </a:xfrm>
        <a:prstGeom prst="rect">
          <a:avLst/>
        </a:prstGeom>
        <a:noFill/>
      </xdr:spPr>
    </xdr:pic>
    <xdr:clientData/>
  </xdr:twoCellAnchor>
  <xdr:twoCellAnchor editAs="oneCell">
    <xdr:from>
      <xdr:col>2</xdr:col>
      <xdr:colOff>38100</xdr:colOff>
      <xdr:row>870</xdr:row>
      <xdr:rowOff>38100</xdr:rowOff>
    </xdr:from>
    <xdr:to>
      <xdr:col>2</xdr:col>
      <xdr:colOff>1181100</xdr:colOff>
      <xdr:row>870</xdr:row>
      <xdr:rowOff>495300</xdr:rowOff>
    </xdr:to>
    <xdr:pic>
      <xdr:nvPicPr>
        <xdr:cNvPr id="1436" name="Picture 412">
          <a:extLst>
            <a:ext uri="{FF2B5EF4-FFF2-40B4-BE49-F238E27FC236}">
              <a16:creationId xmlns:a16="http://schemas.microsoft.com/office/drawing/2014/main" id="{00000000-0008-0000-0000-00009C050000}"/>
            </a:ext>
          </a:extLst>
        </xdr:cNvPr>
        <xdr:cNvPicPr>
          <a:picLocks noChangeAspect="1" noChangeArrowheads="1"/>
        </xdr:cNvPicPr>
      </xdr:nvPicPr>
      <xdr:blipFill>
        <a:blip xmlns:r="http://schemas.openxmlformats.org/officeDocument/2006/relationships" r:embed="rId412" cstate="print"/>
        <a:srcRect/>
        <a:stretch>
          <a:fillRect/>
        </a:stretch>
      </xdr:blipFill>
      <xdr:spPr bwMode="auto">
        <a:xfrm>
          <a:off x="0" y="0"/>
          <a:ext cx="1143000" cy="457200"/>
        </a:xfrm>
        <a:prstGeom prst="rect">
          <a:avLst/>
        </a:prstGeom>
        <a:noFill/>
      </xdr:spPr>
    </xdr:pic>
    <xdr:clientData/>
  </xdr:twoCellAnchor>
  <xdr:twoCellAnchor editAs="oneCell">
    <xdr:from>
      <xdr:col>2</xdr:col>
      <xdr:colOff>38100</xdr:colOff>
      <xdr:row>877</xdr:row>
      <xdr:rowOff>38100</xdr:rowOff>
    </xdr:from>
    <xdr:to>
      <xdr:col>2</xdr:col>
      <xdr:colOff>403860</xdr:colOff>
      <xdr:row>877</xdr:row>
      <xdr:rowOff>403860</xdr:rowOff>
    </xdr:to>
    <xdr:pic>
      <xdr:nvPicPr>
        <xdr:cNvPr id="1437" name="Picture 413">
          <a:extLst>
            <a:ext uri="{FF2B5EF4-FFF2-40B4-BE49-F238E27FC236}">
              <a16:creationId xmlns:a16="http://schemas.microsoft.com/office/drawing/2014/main" id="{00000000-0008-0000-0000-00009D050000}"/>
            </a:ext>
          </a:extLst>
        </xdr:cNvPr>
        <xdr:cNvPicPr>
          <a:picLocks noChangeAspect="1" noChangeArrowheads="1"/>
        </xdr:cNvPicPr>
      </xdr:nvPicPr>
      <xdr:blipFill>
        <a:blip xmlns:r="http://schemas.openxmlformats.org/officeDocument/2006/relationships" r:embed="rId413"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879</xdr:row>
      <xdr:rowOff>38100</xdr:rowOff>
    </xdr:from>
    <xdr:to>
      <xdr:col>2</xdr:col>
      <xdr:colOff>403860</xdr:colOff>
      <xdr:row>879</xdr:row>
      <xdr:rowOff>403860</xdr:rowOff>
    </xdr:to>
    <xdr:pic>
      <xdr:nvPicPr>
        <xdr:cNvPr id="1438" name="Picture 414">
          <a:extLst>
            <a:ext uri="{FF2B5EF4-FFF2-40B4-BE49-F238E27FC236}">
              <a16:creationId xmlns:a16="http://schemas.microsoft.com/office/drawing/2014/main" id="{00000000-0008-0000-0000-00009E050000}"/>
            </a:ext>
          </a:extLst>
        </xdr:cNvPr>
        <xdr:cNvPicPr>
          <a:picLocks noChangeAspect="1" noChangeArrowheads="1"/>
        </xdr:cNvPicPr>
      </xdr:nvPicPr>
      <xdr:blipFill>
        <a:blip xmlns:r="http://schemas.openxmlformats.org/officeDocument/2006/relationships" r:embed="rId414" cstate="print"/>
        <a:srcRect/>
        <a:stretch>
          <a:fillRect/>
        </a:stretch>
      </xdr:blipFill>
      <xdr:spPr bwMode="auto">
        <a:xfrm>
          <a:off x="0" y="0"/>
          <a:ext cx="365760" cy="365760"/>
        </a:xfrm>
        <a:prstGeom prst="rect">
          <a:avLst/>
        </a:prstGeom>
        <a:noFill/>
      </xdr:spPr>
    </xdr:pic>
    <xdr:clientData/>
  </xdr:twoCellAnchor>
  <xdr:twoCellAnchor editAs="oneCell">
    <xdr:from>
      <xdr:col>2</xdr:col>
      <xdr:colOff>38100</xdr:colOff>
      <xdr:row>891</xdr:row>
      <xdr:rowOff>38100</xdr:rowOff>
    </xdr:from>
    <xdr:to>
      <xdr:col>2</xdr:col>
      <xdr:colOff>1181100</xdr:colOff>
      <xdr:row>891</xdr:row>
      <xdr:rowOff>409575</xdr:rowOff>
    </xdr:to>
    <xdr:pic>
      <xdr:nvPicPr>
        <xdr:cNvPr id="1439" name="Picture 415">
          <a:extLst>
            <a:ext uri="{FF2B5EF4-FFF2-40B4-BE49-F238E27FC236}">
              <a16:creationId xmlns:a16="http://schemas.microsoft.com/office/drawing/2014/main" id="{00000000-0008-0000-0000-00009F050000}"/>
            </a:ext>
          </a:extLst>
        </xdr:cNvPr>
        <xdr:cNvPicPr>
          <a:picLocks noChangeAspect="1" noChangeArrowheads="1"/>
        </xdr:cNvPicPr>
      </xdr:nvPicPr>
      <xdr:blipFill>
        <a:blip xmlns:r="http://schemas.openxmlformats.org/officeDocument/2006/relationships" r:embed="rId415" cstate="print"/>
        <a:srcRect/>
        <a:stretch>
          <a:fillRect/>
        </a:stretch>
      </xdr:blipFill>
      <xdr:spPr bwMode="auto">
        <a:xfrm>
          <a:off x="0" y="0"/>
          <a:ext cx="1143000" cy="371475"/>
        </a:xfrm>
        <a:prstGeom prst="rect">
          <a:avLst/>
        </a:prstGeom>
        <a:noFill/>
      </xdr:spPr>
    </xdr:pic>
    <xdr:clientData/>
  </xdr:twoCellAnchor>
  <xdr:twoCellAnchor editAs="oneCell">
    <xdr:from>
      <xdr:col>2</xdr:col>
      <xdr:colOff>38100</xdr:colOff>
      <xdr:row>895</xdr:row>
      <xdr:rowOff>38100</xdr:rowOff>
    </xdr:from>
    <xdr:to>
      <xdr:col>2</xdr:col>
      <xdr:colOff>1181100</xdr:colOff>
      <xdr:row>895</xdr:row>
      <xdr:rowOff>476250</xdr:rowOff>
    </xdr:to>
    <xdr:pic>
      <xdr:nvPicPr>
        <xdr:cNvPr id="1440" name="Picture 416">
          <a:extLst>
            <a:ext uri="{FF2B5EF4-FFF2-40B4-BE49-F238E27FC236}">
              <a16:creationId xmlns:a16="http://schemas.microsoft.com/office/drawing/2014/main" id="{00000000-0008-0000-0000-0000A0050000}"/>
            </a:ext>
          </a:extLst>
        </xdr:cNvPr>
        <xdr:cNvPicPr>
          <a:picLocks noChangeAspect="1" noChangeArrowheads="1"/>
        </xdr:cNvPicPr>
      </xdr:nvPicPr>
      <xdr:blipFill>
        <a:blip xmlns:r="http://schemas.openxmlformats.org/officeDocument/2006/relationships" r:embed="rId416" cstate="print"/>
        <a:srcRect/>
        <a:stretch>
          <a:fillRect/>
        </a:stretch>
      </xdr:blipFill>
      <xdr:spPr bwMode="auto">
        <a:xfrm>
          <a:off x="0" y="0"/>
          <a:ext cx="1143000" cy="438150"/>
        </a:xfrm>
        <a:prstGeom prst="rect">
          <a:avLst/>
        </a:prstGeom>
        <a:noFill/>
      </xdr:spPr>
    </xdr:pic>
    <xdr:clientData/>
  </xdr:twoCellAnchor>
  <xdr:twoCellAnchor editAs="oneCell">
    <xdr:from>
      <xdr:col>2</xdr:col>
      <xdr:colOff>38100</xdr:colOff>
      <xdr:row>896</xdr:row>
      <xdr:rowOff>38100</xdr:rowOff>
    </xdr:from>
    <xdr:to>
      <xdr:col>2</xdr:col>
      <xdr:colOff>1181100</xdr:colOff>
      <xdr:row>896</xdr:row>
      <xdr:rowOff>685800</xdr:rowOff>
    </xdr:to>
    <xdr:pic>
      <xdr:nvPicPr>
        <xdr:cNvPr id="1441" name="Picture 417">
          <a:extLst>
            <a:ext uri="{FF2B5EF4-FFF2-40B4-BE49-F238E27FC236}">
              <a16:creationId xmlns:a16="http://schemas.microsoft.com/office/drawing/2014/main" id="{00000000-0008-0000-0000-0000A1050000}"/>
            </a:ext>
          </a:extLst>
        </xdr:cNvPr>
        <xdr:cNvPicPr>
          <a:picLocks noChangeAspect="1" noChangeArrowheads="1"/>
        </xdr:cNvPicPr>
      </xdr:nvPicPr>
      <xdr:blipFill>
        <a:blip xmlns:r="http://schemas.openxmlformats.org/officeDocument/2006/relationships" r:embed="rId417" cstate="print"/>
        <a:srcRect/>
        <a:stretch>
          <a:fillRect/>
        </a:stretch>
      </xdr:blipFill>
      <xdr:spPr bwMode="auto">
        <a:xfrm>
          <a:off x="0" y="0"/>
          <a:ext cx="1143000" cy="647700"/>
        </a:xfrm>
        <a:prstGeom prst="rect">
          <a:avLst/>
        </a:prstGeom>
        <a:noFill/>
      </xdr:spPr>
    </xdr:pic>
    <xdr:clientData/>
  </xdr:twoCellAnchor>
  <xdr:twoCellAnchor editAs="oneCell">
    <xdr:from>
      <xdr:col>2</xdr:col>
      <xdr:colOff>38100</xdr:colOff>
      <xdr:row>901</xdr:row>
      <xdr:rowOff>38100</xdr:rowOff>
    </xdr:from>
    <xdr:to>
      <xdr:col>2</xdr:col>
      <xdr:colOff>1181100</xdr:colOff>
      <xdr:row>901</xdr:row>
      <xdr:rowOff>333375</xdr:rowOff>
    </xdr:to>
    <xdr:pic>
      <xdr:nvPicPr>
        <xdr:cNvPr id="1442" name="Picture 418">
          <a:extLst>
            <a:ext uri="{FF2B5EF4-FFF2-40B4-BE49-F238E27FC236}">
              <a16:creationId xmlns:a16="http://schemas.microsoft.com/office/drawing/2014/main" id="{00000000-0008-0000-0000-0000A2050000}"/>
            </a:ext>
          </a:extLst>
        </xdr:cNvPr>
        <xdr:cNvPicPr>
          <a:picLocks noChangeAspect="1" noChangeArrowheads="1"/>
        </xdr:cNvPicPr>
      </xdr:nvPicPr>
      <xdr:blipFill>
        <a:blip xmlns:r="http://schemas.openxmlformats.org/officeDocument/2006/relationships" r:embed="rId418" cstate="print"/>
        <a:srcRect/>
        <a:stretch>
          <a:fillRect/>
        </a:stretch>
      </xdr:blipFill>
      <xdr:spPr bwMode="auto">
        <a:xfrm>
          <a:off x="0" y="0"/>
          <a:ext cx="1143000" cy="295275"/>
        </a:xfrm>
        <a:prstGeom prst="rect">
          <a:avLst/>
        </a:prstGeom>
        <a:noFill/>
      </xdr:spPr>
    </xdr:pic>
    <xdr:clientData/>
  </xdr:twoCellAnchor>
  <xdr:twoCellAnchor editAs="oneCell">
    <xdr:from>
      <xdr:col>2</xdr:col>
      <xdr:colOff>38100</xdr:colOff>
      <xdr:row>903</xdr:row>
      <xdr:rowOff>38100</xdr:rowOff>
    </xdr:from>
    <xdr:to>
      <xdr:col>2</xdr:col>
      <xdr:colOff>546060</xdr:colOff>
      <xdr:row>903</xdr:row>
      <xdr:rowOff>372507</xdr:rowOff>
    </xdr:to>
    <xdr:pic>
      <xdr:nvPicPr>
        <xdr:cNvPr id="1443" name="Picture 419">
          <a:extLst>
            <a:ext uri="{FF2B5EF4-FFF2-40B4-BE49-F238E27FC236}">
              <a16:creationId xmlns:a16="http://schemas.microsoft.com/office/drawing/2014/main" id="{00000000-0008-0000-0000-0000A3050000}"/>
            </a:ext>
          </a:extLst>
        </xdr:cNvPr>
        <xdr:cNvPicPr>
          <a:picLocks noChangeAspect="1" noChangeArrowheads="1"/>
        </xdr:cNvPicPr>
      </xdr:nvPicPr>
      <xdr:blipFill>
        <a:blip xmlns:r="http://schemas.openxmlformats.org/officeDocument/2006/relationships" r:embed="rId419" cstate="print"/>
        <a:srcRect/>
        <a:stretch>
          <a:fillRect/>
        </a:stretch>
      </xdr:blipFill>
      <xdr:spPr bwMode="auto">
        <a:xfrm>
          <a:off x="0" y="0"/>
          <a:ext cx="507960" cy="334407"/>
        </a:xfrm>
        <a:prstGeom prst="rect">
          <a:avLst/>
        </a:prstGeom>
        <a:noFill/>
      </xdr:spPr>
    </xdr:pic>
    <xdr:clientData/>
  </xdr:twoCellAnchor>
  <xdr:twoCellAnchor editAs="oneCell">
    <xdr:from>
      <xdr:col>2</xdr:col>
      <xdr:colOff>38100</xdr:colOff>
      <xdr:row>907</xdr:row>
      <xdr:rowOff>38100</xdr:rowOff>
    </xdr:from>
    <xdr:to>
      <xdr:col>2</xdr:col>
      <xdr:colOff>385572</xdr:colOff>
      <xdr:row>907</xdr:row>
      <xdr:rowOff>403860</xdr:rowOff>
    </xdr:to>
    <xdr:pic>
      <xdr:nvPicPr>
        <xdr:cNvPr id="1444" name="Picture 420">
          <a:extLst>
            <a:ext uri="{FF2B5EF4-FFF2-40B4-BE49-F238E27FC236}">
              <a16:creationId xmlns:a16="http://schemas.microsoft.com/office/drawing/2014/main" id="{00000000-0008-0000-0000-0000A4050000}"/>
            </a:ext>
          </a:extLst>
        </xdr:cNvPr>
        <xdr:cNvPicPr>
          <a:picLocks noChangeAspect="1" noChangeArrowheads="1"/>
        </xdr:cNvPicPr>
      </xdr:nvPicPr>
      <xdr:blipFill>
        <a:blip xmlns:r="http://schemas.openxmlformats.org/officeDocument/2006/relationships" r:embed="rId420" cstate="print"/>
        <a:srcRect/>
        <a:stretch>
          <a:fillRect/>
        </a:stretch>
      </xdr:blipFill>
      <xdr:spPr bwMode="auto">
        <a:xfrm>
          <a:off x="0" y="0"/>
          <a:ext cx="347472" cy="365760"/>
        </a:xfrm>
        <a:prstGeom prst="rect">
          <a:avLst/>
        </a:prstGeom>
        <a:noFill/>
      </xdr:spPr>
    </xdr:pic>
    <xdr:clientData/>
  </xdr:twoCellAnchor>
  <xdr:twoCellAnchor editAs="oneCell">
    <xdr:from>
      <xdr:col>2</xdr:col>
      <xdr:colOff>38100</xdr:colOff>
      <xdr:row>910</xdr:row>
      <xdr:rowOff>38100</xdr:rowOff>
    </xdr:from>
    <xdr:to>
      <xdr:col>2</xdr:col>
      <xdr:colOff>1181100</xdr:colOff>
      <xdr:row>910</xdr:row>
      <xdr:rowOff>333375</xdr:rowOff>
    </xdr:to>
    <xdr:pic>
      <xdr:nvPicPr>
        <xdr:cNvPr id="1445" name="Picture 421">
          <a:extLst>
            <a:ext uri="{FF2B5EF4-FFF2-40B4-BE49-F238E27FC236}">
              <a16:creationId xmlns:a16="http://schemas.microsoft.com/office/drawing/2014/main" id="{00000000-0008-0000-0000-0000A5050000}"/>
            </a:ext>
          </a:extLst>
        </xdr:cNvPr>
        <xdr:cNvPicPr>
          <a:picLocks noChangeAspect="1" noChangeArrowheads="1"/>
        </xdr:cNvPicPr>
      </xdr:nvPicPr>
      <xdr:blipFill>
        <a:blip xmlns:r="http://schemas.openxmlformats.org/officeDocument/2006/relationships" r:embed="rId421" cstate="print"/>
        <a:srcRect/>
        <a:stretch>
          <a:fillRect/>
        </a:stretch>
      </xdr:blipFill>
      <xdr:spPr bwMode="auto">
        <a:xfrm>
          <a:off x="0" y="0"/>
          <a:ext cx="1143000" cy="295275"/>
        </a:xfrm>
        <a:prstGeom prst="rect">
          <a:avLst/>
        </a:prstGeom>
        <a:noFill/>
      </xdr:spPr>
    </xdr:pic>
    <xdr:clientData/>
  </xdr:twoCellAnchor>
  <xdr:twoCellAnchor editAs="oneCell">
    <xdr:from>
      <xdr:col>2</xdr:col>
      <xdr:colOff>38100</xdr:colOff>
      <xdr:row>917</xdr:row>
      <xdr:rowOff>38100</xdr:rowOff>
    </xdr:from>
    <xdr:to>
      <xdr:col>2</xdr:col>
      <xdr:colOff>1181100</xdr:colOff>
      <xdr:row>917</xdr:row>
      <xdr:rowOff>1181100</xdr:rowOff>
    </xdr:to>
    <xdr:pic>
      <xdr:nvPicPr>
        <xdr:cNvPr id="1446" name="Picture 422">
          <a:extLst>
            <a:ext uri="{FF2B5EF4-FFF2-40B4-BE49-F238E27FC236}">
              <a16:creationId xmlns:a16="http://schemas.microsoft.com/office/drawing/2014/main" id="{00000000-0008-0000-0000-0000A6050000}"/>
            </a:ext>
          </a:extLst>
        </xdr:cNvPr>
        <xdr:cNvPicPr>
          <a:picLocks noChangeAspect="1" noChangeArrowheads="1"/>
        </xdr:cNvPicPr>
      </xdr:nvPicPr>
      <xdr:blipFill>
        <a:blip xmlns:r="http://schemas.openxmlformats.org/officeDocument/2006/relationships" r:embed="rId422" cstate="print"/>
        <a:srcRect/>
        <a:stretch>
          <a:fillRect/>
        </a:stretch>
      </xdr:blipFill>
      <xdr:spPr bwMode="auto">
        <a:xfrm>
          <a:off x="0" y="0"/>
          <a:ext cx="1143000" cy="1143000"/>
        </a:xfrm>
        <a:prstGeom prst="rect">
          <a:avLst/>
        </a:prstGeom>
        <a:noFill/>
      </xdr:spPr>
    </xdr:pic>
    <xdr:clientData/>
  </xdr:twoCellAnchor>
  <xdr:twoCellAnchor editAs="oneCell">
    <xdr:from>
      <xdr:col>2</xdr:col>
      <xdr:colOff>38100</xdr:colOff>
      <xdr:row>918</xdr:row>
      <xdr:rowOff>38100</xdr:rowOff>
    </xdr:from>
    <xdr:to>
      <xdr:col>2</xdr:col>
      <xdr:colOff>1181100</xdr:colOff>
      <xdr:row>918</xdr:row>
      <xdr:rowOff>342900</xdr:rowOff>
    </xdr:to>
    <xdr:pic>
      <xdr:nvPicPr>
        <xdr:cNvPr id="1447" name="Picture 423">
          <a:extLst>
            <a:ext uri="{FF2B5EF4-FFF2-40B4-BE49-F238E27FC236}">
              <a16:creationId xmlns:a16="http://schemas.microsoft.com/office/drawing/2014/main" id="{00000000-0008-0000-0000-0000A7050000}"/>
            </a:ext>
          </a:extLst>
        </xdr:cNvPr>
        <xdr:cNvPicPr>
          <a:picLocks noChangeAspect="1" noChangeArrowheads="1"/>
        </xdr:cNvPicPr>
      </xdr:nvPicPr>
      <xdr:blipFill>
        <a:blip xmlns:r="http://schemas.openxmlformats.org/officeDocument/2006/relationships" r:embed="rId423" cstate="print"/>
        <a:srcRect/>
        <a:stretch>
          <a:fillRect/>
        </a:stretch>
      </xdr:blipFill>
      <xdr:spPr bwMode="auto">
        <a:xfrm>
          <a:off x="0" y="0"/>
          <a:ext cx="1143000" cy="304800"/>
        </a:xfrm>
        <a:prstGeom prst="rect">
          <a:avLst/>
        </a:prstGeom>
        <a:noFill/>
      </xdr:spPr>
    </xdr:pic>
    <xdr:clientData/>
  </xdr:twoCellAnchor>
  <xdr:twoCellAnchor editAs="oneCell">
    <xdr:from>
      <xdr:col>2</xdr:col>
      <xdr:colOff>38100</xdr:colOff>
      <xdr:row>919</xdr:row>
      <xdr:rowOff>38100</xdr:rowOff>
    </xdr:from>
    <xdr:to>
      <xdr:col>2</xdr:col>
      <xdr:colOff>403860</xdr:colOff>
      <xdr:row>919</xdr:row>
      <xdr:rowOff>108204</xdr:rowOff>
    </xdr:to>
    <xdr:pic>
      <xdr:nvPicPr>
        <xdr:cNvPr id="1448" name="Picture 424">
          <a:extLst>
            <a:ext uri="{FF2B5EF4-FFF2-40B4-BE49-F238E27FC236}">
              <a16:creationId xmlns:a16="http://schemas.microsoft.com/office/drawing/2014/main" id="{00000000-0008-0000-0000-0000A8050000}"/>
            </a:ext>
          </a:extLst>
        </xdr:cNvPr>
        <xdr:cNvPicPr>
          <a:picLocks noChangeAspect="1" noChangeArrowheads="1"/>
        </xdr:cNvPicPr>
      </xdr:nvPicPr>
      <xdr:blipFill>
        <a:blip xmlns:r="http://schemas.openxmlformats.org/officeDocument/2006/relationships" r:embed="rId424" cstate="print"/>
        <a:srcRect/>
        <a:stretch>
          <a:fillRect/>
        </a:stretch>
      </xdr:blipFill>
      <xdr:spPr bwMode="auto">
        <a:xfrm>
          <a:off x="0" y="0"/>
          <a:ext cx="365760" cy="70104"/>
        </a:xfrm>
        <a:prstGeom prst="rect">
          <a:avLst/>
        </a:prstGeom>
        <a:noFill/>
      </xdr:spPr>
    </xdr:pic>
    <xdr:clientData/>
  </xdr:twoCellAnchor>
  <xdr:twoCellAnchor editAs="oneCell">
    <xdr:from>
      <xdr:col>2</xdr:col>
      <xdr:colOff>38100</xdr:colOff>
      <xdr:row>922</xdr:row>
      <xdr:rowOff>38100</xdr:rowOff>
    </xdr:from>
    <xdr:to>
      <xdr:col>2</xdr:col>
      <xdr:colOff>605028</xdr:colOff>
      <xdr:row>922</xdr:row>
      <xdr:rowOff>769620</xdr:rowOff>
    </xdr:to>
    <xdr:pic>
      <xdr:nvPicPr>
        <xdr:cNvPr id="1449" name="Picture 425">
          <a:extLst>
            <a:ext uri="{FF2B5EF4-FFF2-40B4-BE49-F238E27FC236}">
              <a16:creationId xmlns:a16="http://schemas.microsoft.com/office/drawing/2014/main" id="{00000000-0008-0000-0000-0000A9050000}"/>
            </a:ext>
          </a:extLst>
        </xdr:cNvPr>
        <xdr:cNvPicPr>
          <a:picLocks noChangeAspect="1" noChangeArrowheads="1"/>
        </xdr:cNvPicPr>
      </xdr:nvPicPr>
      <xdr:blipFill>
        <a:blip xmlns:r="http://schemas.openxmlformats.org/officeDocument/2006/relationships" r:embed="rId425" cstate="print"/>
        <a:srcRect/>
        <a:stretch>
          <a:fillRect/>
        </a:stretch>
      </xdr:blipFill>
      <xdr:spPr bwMode="auto">
        <a:xfrm>
          <a:off x="0" y="0"/>
          <a:ext cx="566928" cy="731520"/>
        </a:xfrm>
        <a:prstGeom prst="rect">
          <a:avLst/>
        </a:prstGeom>
        <a:noFill/>
      </xdr:spPr>
    </xdr:pic>
    <xdr:clientData/>
  </xdr:twoCellAnchor>
  <xdr:twoCellAnchor editAs="oneCell">
    <xdr:from>
      <xdr:col>2</xdr:col>
      <xdr:colOff>38100</xdr:colOff>
      <xdr:row>929</xdr:row>
      <xdr:rowOff>38100</xdr:rowOff>
    </xdr:from>
    <xdr:to>
      <xdr:col>2</xdr:col>
      <xdr:colOff>1181100</xdr:colOff>
      <xdr:row>929</xdr:row>
      <xdr:rowOff>638175</xdr:rowOff>
    </xdr:to>
    <xdr:pic>
      <xdr:nvPicPr>
        <xdr:cNvPr id="1450" name="Picture 426">
          <a:extLst>
            <a:ext uri="{FF2B5EF4-FFF2-40B4-BE49-F238E27FC236}">
              <a16:creationId xmlns:a16="http://schemas.microsoft.com/office/drawing/2014/main" id="{00000000-0008-0000-0000-0000AA050000}"/>
            </a:ext>
          </a:extLst>
        </xdr:cNvPr>
        <xdr:cNvPicPr>
          <a:picLocks noChangeAspect="1" noChangeArrowheads="1"/>
        </xdr:cNvPicPr>
      </xdr:nvPicPr>
      <xdr:blipFill>
        <a:blip xmlns:r="http://schemas.openxmlformats.org/officeDocument/2006/relationships" r:embed="rId426" cstate="print"/>
        <a:srcRect/>
        <a:stretch>
          <a:fillRect/>
        </a:stretch>
      </xdr:blipFill>
      <xdr:spPr bwMode="auto">
        <a:xfrm>
          <a:off x="0" y="0"/>
          <a:ext cx="1143000" cy="600075"/>
        </a:xfrm>
        <a:prstGeom prst="rect">
          <a:avLst/>
        </a:prstGeom>
        <a:noFill/>
      </xdr:spPr>
    </xdr:pic>
    <xdr:clientData/>
  </xdr:twoCellAnchor>
  <xdr:twoCellAnchor editAs="oneCell">
    <xdr:from>
      <xdr:col>2</xdr:col>
      <xdr:colOff>38100</xdr:colOff>
      <xdr:row>930</xdr:row>
      <xdr:rowOff>38100</xdr:rowOff>
    </xdr:from>
    <xdr:to>
      <xdr:col>2</xdr:col>
      <xdr:colOff>1181100</xdr:colOff>
      <xdr:row>930</xdr:row>
      <xdr:rowOff>628650</xdr:rowOff>
    </xdr:to>
    <xdr:pic>
      <xdr:nvPicPr>
        <xdr:cNvPr id="1451" name="Picture 427">
          <a:extLst>
            <a:ext uri="{FF2B5EF4-FFF2-40B4-BE49-F238E27FC236}">
              <a16:creationId xmlns:a16="http://schemas.microsoft.com/office/drawing/2014/main" id="{00000000-0008-0000-0000-0000AB050000}"/>
            </a:ext>
          </a:extLst>
        </xdr:cNvPr>
        <xdr:cNvPicPr>
          <a:picLocks noChangeAspect="1" noChangeArrowheads="1"/>
        </xdr:cNvPicPr>
      </xdr:nvPicPr>
      <xdr:blipFill>
        <a:blip xmlns:r="http://schemas.openxmlformats.org/officeDocument/2006/relationships" r:embed="rId427" cstate="print"/>
        <a:srcRect/>
        <a:stretch>
          <a:fillRect/>
        </a:stretch>
      </xdr:blipFill>
      <xdr:spPr bwMode="auto">
        <a:xfrm>
          <a:off x="0" y="0"/>
          <a:ext cx="1143000" cy="590550"/>
        </a:xfrm>
        <a:prstGeom prst="rect">
          <a:avLst/>
        </a:prstGeom>
        <a:noFill/>
      </xdr:spPr>
    </xdr:pic>
    <xdr:clientData/>
  </xdr:twoCellAnchor>
  <xdr:twoCellAnchor editAs="oneCell">
    <xdr:from>
      <xdr:col>2</xdr:col>
      <xdr:colOff>38100</xdr:colOff>
      <xdr:row>931</xdr:row>
      <xdr:rowOff>38100</xdr:rowOff>
    </xdr:from>
    <xdr:to>
      <xdr:col>2</xdr:col>
      <xdr:colOff>952500</xdr:colOff>
      <xdr:row>931</xdr:row>
      <xdr:rowOff>571500</xdr:rowOff>
    </xdr:to>
    <xdr:pic>
      <xdr:nvPicPr>
        <xdr:cNvPr id="1452" name="Picture 428">
          <a:extLst>
            <a:ext uri="{FF2B5EF4-FFF2-40B4-BE49-F238E27FC236}">
              <a16:creationId xmlns:a16="http://schemas.microsoft.com/office/drawing/2014/main" id="{00000000-0008-0000-0000-0000AC050000}"/>
            </a:ext>
          </a:extLst>
        </xdr:cNvPr>
        <xdr:cNvPicPr>
          <a:picLocks noChangeAspect="1" noChangeArrowheads="1"/>
        </xdr:cNvPicPr>
      </xdr:nvPicPr>
      <xdr:blipFill>
        <a:blip xmlns:r="http://schemas.openxmlformats.org/officeDocument/2006/relationships" r:embed="rId428" cstate="print"/>
        <a:srcRect/>
        <a:stretch>
          <a:fillRect/>
        </a:stretch>
      </xdr:blipFill>
      <xdr:spPr bwMode="auto">
        <a:xfrm>
          <a:off x="0" y="0"/>
          <a:ext cx="914400" cy="533400"/>
        </a:xfrm>
        <a:prstGeom prst="rect">
          <a:avLst/>
        </a:prstGeom>
        <a:noFill/>
      </xdr:spPr>
    </xdr:pic>
    <xdr:clientData/>
  </xdr:twoCellAnchor>
  <xdr:twoCellAnchor editAs="oneCell">
    <xdr:from>
      <xdr:col>2</xdr:col>
      <xdr:colOff>38100</xdr:colOff>
      <xdr:row>934</xdr:row>
      <xdr:rowOff>38100</xdr:rowOff>
    </xdr:from>
    <xdr:to>
      <xdr:col>2</xdr:col>
      <xdr:colOff>1181100</xdr:colOff>
      <xdr:row>934</xdr:row>
      <xdr:rowOff>438150</xdr:rowOff>
    </xdr:to>
    <xdr:pic>
      <xdr:nvPicPr>
        <xdr:cNvPr id="1453" name="Picture 429">
          <a:extLst>
            <a:ext uri="{FF2B5EF4-FFF2-40B4-BE49-F238E27FC236}">
              <a16:creationId xmlns:a16="http://schemas.microsoft.com/office/drawing/2014/main" id="{00000000-0008-0000-0000-0000AD050000}"/>
            </a:ext>
          </a:extLst>
        </xdr:cNvPr>
        <xdr:cNvPicPr>
          <a:picLocks noChangeAspect="1" noChangeArrowheads="1"/>
        </xdr:cNvPicPr>
      </xdr:nvPicPr>
      <xdr:blipFill>
        <a:blip xmlns:r="http://schemas.openxmlformats.org/officeDocument/2006/relationships" r:embed="rId429" cstate="print"/>
        <a:srcRect/>
        <a:stretch>
          <a:fillRect/>
        </a:stretch>
      </xdr:blipFill>
      <xdr:spPr bwMode="auto">
        <a:xfrm>
          <a:off x="0" y="0"/>
          <a:ext cx="1143000" cy="400050"/>
        </a:xfrm>
        <a:prstGeom prst="rect">
          <a:avLst/>
        </a:prstGeom>
        <a:noFill/>
      </xdr:spPr>
    </xdr:pic>
    <xdr:clientData/>
  </xdr:twoCellAnchor>
  <xdr:twoCellAnchor editAs="oneCell">
    <xdr:from>
      <xdr:col>2</xdr:col>
      <xdr:colOff>38100</xdr:colOff>
      <xdr:row>942</xdr:row>
      <xdr:rowOff>38100</xdr:rowOff>
    </xdr:from>
    <xdr:to>
      <xdr:col>2</xdr:col>
      <xdr:colOff>403860</xdr:colOff>
      <xdr:row>942</xdr:row>
      <xdr:rowOff>224028</xdr:rowOff>
    </xdr:to>
    <xdr:pic>
      <xdr:nvPicPr>
        <xdr:cNvPr id="1454" name="Picture 430">
          <a:extLst>
            <a:ext uri="{FF2B5EF4-FFF2-40B4-BE49-F238E27FC236}">
              <a16:creationId xmlns:a16="http://schemas.microsoft.com/office/drawing/2014/main" id="{00000000-0008-0000-0000-0000AE050000}"/>
            </a:ext>
          </a:extLst>
        </xdr:cNvPr>
        <xdr:cNvPicPr>
          <a:picLocks noChangeAspect="1" noChangeArrowheads="1"/>
        </xdr:cNvPicPr>
      </xdr:nvPicPr>
      <xdr:blipFill>
        <a:blip xmlns:r="http://schemas.openxmlformats.org/officeDocument/2006/relationships" r:embed="rId430" cstate="print"/>
        <a:srcRect/>
        <a:stretch>
          <a:fillRect/>
        </a:stretch>
      </xdr:blipFill>
      <xdr:spPr bwMode="auto">
        <a:xfrm>
          <a:off x="0" y="0"/>
          <a:ext cx="365760" cy="185928"/>
        </a:xfrm>
        <a:prstGeom prst="rect">
          <a:avLst/>
        </a:prstGeom>
        <a:noFill/>
      </xdr:spPr>
    </xdr:pic>
    <xdr:clientData/>
  </xdr:twoCellAnchor>
  <xdr:twoCellAnchor editAs="oneCell">
    <xdr:from>
      <xdr:col>2</xdr:col>
      <xdr:colOff>38100</xdr:colOff>
      <xdr:row>944</xdr:row>
      <xdr:rowOff>38100</xdr:rowOff>
    </xdr:from>
    <xdr:to>
      <xdr:col>2</xdr:col>
      <xdr:colOff>1181100</xdr:colOff>
      <xdr:row>944</xdr:row>
      <xdr:rowOff>533400</xdr:rowOff>
    </xdr:to>
    <xdr:pic>
      <xdr:nvPicPr>
        <xdr:cNvPr id="1455" name="Picture 431">
          <a:extLst>
            <a:ext uri="{FF2B5EF4-FFF2-40B4-BE49-F238E27FC236}">
              <a16:creationId xmlns:a16="http://schemas.microsoft.com/office/drawing/2014/main" id="{00000000-0008-0000-0000-0000AF050000}"/>
            </a:ext>
          </a:extLst>
        </xdr:cNvPr>
        <xdr:cNvPicPr>
          <a:picLocks noChangeAspect="1" noChangeArrowheads="1"/>
        </xdr:cNvPicPr>
      </xdr:nvPicPr>
      <xdr:blipFill>
        <a:blip xmlns:r="http://schemas.openxmlformats.org/officeDocument/2006/relationships" r:embed="rId431" cstate="print"/>
        <a:srcRect/>
        <a:stretch>
          <a:fillRect/>
        </a:stretch>
      </xdr:blipFill>
      <xdr:spPr bwMode="auto">
        <a:xfrm>
          <a:off x="0" y="0"/>
          <a:ext cx="1143000" cy="495300"/>
        </a:xfrm>
        <a:prstGeom prst="rect">
          <a:avLst/>
        </a:prstGeom>
        <a:noFill/>
      </xdr:spPr>
    </xdr:pic>
    <xdr:clientData/>
  </xdr:twoCellAnchor>
  <xdr:twoCellAnchor editAs="oneCell">
    <xdr:from>
      <xdr:col>2</xdr:col>
      <xdr:colOff>38100</xdr:colOff>
      <xdr:row>946</xdr:row>
      <xdr:rowOff>38100</xdr:rowOff>
    </xdr:from>
    <xdr:to>
      <xdr:col>2</xdr:col>
      <xdr:colOff>1205700</xdr:colOff>
      <xdr:row>946</xdr:row>
      <xdr:rowOff>874880</xdr:rowOff>
    </xdr:to>
    <xdr:pic>
      <xdr:nvPicPr>
        <xdr:cNvPr id="1456" name="Picture 432">
          <a:extLst>
            <a:ext uri="{FF2B5EF4-FFF2-40B4-BE49-F238E27FC236}">
              <a16:creationId xmlns:a16="http://schemas.microsoft.com/office/drawing/2014/main" id="{00000000-0008-0000-0000-0000B0050000}"/>
            </a:ext>
          </a:extLst>
        </xdr:cNvPr>
        <xdr:cNvPicPr>
          <a:picLocks noChangeAspect="1" noChangeArrowheads="1"/>
        </xdr:cNvPicPr>
      </xdr:nvPicPr>
      <xdr:blipFill>
        <a:blip xmlns:r="http://schemas.openxmlformats.org/officeDocument/2006/relationships" r:embed="rId432" cstate="print"/>
        <a:srcRect/>
        <a:stretch>
          <a:fillRect/>
        </a:stretch>
      </xdr:blipFill>
      <xdr:spPr bwMode="auto">
        <a:xfrm>
          <a:off x="0" y="0"/>
          <a:ext cx="1167600" cy="836780"/>
        </a:xfrm>
        <a:prstGeom prst="rect">
          <a:avLst/>
        </a:prstGeom>
        <a:noFill/>
      </xdr:spPr>
    </xdr:pic>
    <xdr:clientData/>
  </xdr:twoCellAnchor>
  <xdr:twoCellAnchor editAs="oneCell">
    <xdr:from>
      <xdr:col>2</xdr:col>
      <xdr:colOff>38100</xdr:colOff>
      <xdr:row>950</xdr:row>
      <xdr:rowOff>38100</xdr:rowOff>
    </xdr:from>
    <xdr:to>
      <xdr:col>2</xdr:col>
      <xdr:colOff>1181100</xdr:colOff>
      <xdr:row>950</xdr:row>
      <xdr:rowOff>409575</xdr:rowOff>
    </xdr:to>
    <xdr:pic>
      <xdr:nvPicPr>
        <xdr:cNvPr id="1457" name="Picture 433">
          <a:extLst>
            <a:ext uri="{FF2B5EF4-FFF2-40B4-BE49-F238E27FC236}">
              <a16:creationId xmlns:a16="http://schemas.microsoft.com/office/drawing/2014/main" id="{00000000-0008-0000-0000-0000B1050000}"/>
            </a:ext>
          </a:extLst>
        </xdr:cNvPr>
        <xdr:cNvPicPr>
          <a:picLocks noChangeAspect="1" noChangeArrowheads="1"/>
        </xdr:cNvPicPr>
      </xdr:nvPicPr>
      <xdr:blipFill>
        <a:blip xmlns:r="http://schemas.openxmlformats.org/officeDocument/2006/relationships" r:embed="rId433" cstate="print"/>
        <a:srcRect/>
        <a:stretch>
          <a:fillRect/>
        </a:stretch>
      </xdr:blipFill>
      <xdr:spPr bwMode="auto">
        <a:xfrm>
          <a:off x="0" y="0"/>
          <a:ext cx="1143000" cy="371475"/>
        </a:xfrm>
        <a:prstGeom prst="rect">
          <a:avLst/>
        </a:prstGeom>
        <a:noFill/>
      </xdr:spPr>
    </xdr:pic>
    <xdr:clientData/>
  </xdr:twoCellAnchor>
  <xdr:twoCellAnchor editAs="oneCell">
    <xdr:from>
      <xdr:col>2</xdr:col>
      <xdr:colOff>38100</xdr:colOff>
      <xdr:row>952</xdr:row>
      <xdr:rowOff>38100</xdr:rowOff>
    </xdr:from>
    <xdr:to>
      <xdr:col>2</xdr:col>
      <xdr:colOff>952500</xdr:colOff>
      <xdr:row>952</xdr:row>
      <xdr:rowOff>624840</xdr:rowOff>
    </xdr:to>
    <xdr:pic>
      <xdr:nvPicPr>
        <xdr:cNvPr id="1458" name="Picture 434">
          <a:extLst>
            <a:ext uri="{FF2B5EF4-FFF2-40B4-BE49-F238E27FC236}">
              <a16:creationId xmlns:a16="http://schemas.microsoft.com/office/drawing/2014/main" id="{00000000-0008-0000-0000-0000B2050000}"/>
            </a:ext>
          </a:extLst>
        </xdr:cNvPr>
        <xdr:cNvPicPr>
          <a:picLocks noChangeAspect="1" noChangeArrowheads="1"/>
        </xdr:cNvPicPr>
      </xdr:nvPicPr>
      <xdr:blipFill>
        <a:blip xmlns:r="http://schemas.openxmlformats.org/officeDocument/2006/relationships" r:embed="rId434" cstate="print"/>
        <a:srcRect/>
        <a:stretch>
          <a:fillRect/>
        </a:stretch>
      </xdr:blipFill>
      <xdr:spPr bwMode="auto">
        <a:xfrm>
          <a:off x="0" y="0"/>
          <a:ext cx="914400" cy="586740"/>
        </a:xfrm>
        <a:prstGeom prst="rect">
          <a:avLst/>
        </a:prstGeom>
        <a:noFill/>
      </xdr:spPr>
    </xdr:pic>
    <xdr:clientData/>
  </xdr:twoCellAnchor>
  <xdr:twoCellAnchor editAs="oneCell">
    <xdr:from>
      <xdr:col>2</xdr:col>
      <xdr:colOff>38100</xdr:colOff>
      <xdr:row>953</xdr:row>
      <xdr:rowOff>38100</xdr:rowOff>
    </xdr:from>
    <xdr:to>
      <xdr:col>2</xdr:col>
      <xdr:colOff>556260</xdr:colOff>
      <xdr:row>953</xdr:row>
      <xdr:rowOff>769620</xdr:rowOff>
    </xdr:to>
    <xdr:pic>
      <xdr:nvPicPr>
        <xdr:cNvPr id="1459" name="Picture 435">
          <a:extLst>
            <a:ext uri="{FF2B5EF4-FFF2-40B4-BE49-F238E27FC236}">
              <a16:creationId xmlns:a16="http://schemas.microsoft.com/office/drawing/2014/main" id="{00000000-0008-0000-0000-0000B3050000}"/>
            </a:ext>
          </a:extLst>
        </xdr:cNvPr>
        <xdr:cNvPicPr>
          <a:picLocks noChangeAspect="1" noChangeArrowheads="1"/>
        </xdr:cNvPicPr>
      </xdr:nvPicPr>
      <xdr:blipFill>
        <a:blip xmlns:r="http://schemas.openxmlformats.org/officeDocument/2006/relationships" r:embed="rId435" cstate="print"/>
        <a:srcRect/>
        <a:stretch>
          <a:fillRect/>
        </a:stretch>
      </xdr:blipFill>
      <xdr:spPr bwMode="auto">
        <a:xfrm>
          <a:off x="0" y="0"/>
          <a:ext cx="518160" cy="731520"/>
        </a:xfrm>
        <a:prstGeom prst="rect">
          <a:avLst/>
        </a:prstGeom>
        <a:noFill/>
      </xdr:spPr>
    </xdr:pic>
    <xdr:clientData/>
  </xdr:twoCellAnchor>
  <xdr:twoCellAnchor editAs="oneCell">
    <xdr:from>
      <xdr:col>2</xdr:col>
      <xdr:colOff>38100</xdr:colOff>
      <xdr:row>962</xdr:row>
      <xdr:rowOff>38100</xdr:rowOff>
    </xdr:from>
    <xdr:to>
      <xdr:col>2</xdr:col>
      <xdr:colOff>1562100</xdr:colOff>
      <xdr:row>962</xdr:row>
      <xdr:rowOff>1562100</xdr:rowOff>
    </xdr:to>
    <xdr:pic>
      <xdr:nvPicPr>
        <xdr:cNvPr id="1460" name="Picture 436">
          <a:extLst>
            <a:ext uri="{FF2B5EF4-FFF2-40B4-BE49-F238E27FC236}">
              <a16:creationId xmlns:a16="http://schemas.microsoft.com/office/drawing/2014/main" id="{00000000-0008-0000-0000-0000B4050000}"/>
            </a:ext>
          </a:extLst>
        </xdr:cNvPr>
        <xdr:cNvPicPr>
          <a:picLocks noChangeAspect="1" noChangeArrowheads="1"/>
        </xdr:cNvPicPr>
      </xdr:nvPicPr>
      <xdr:blipFill>
        <a:blip xmlns:r="http://schemas.openxmlformats.org/officeDocument/2006/relationships" r:embed="rId436" cstate="print"/>
        <a:srcRect/>
        <a:stretch>
          <a:fillRect/>
        </a:stretch>
      </xdr:blipFill>
      <xdr:spPr bwMode="auto">
        <a:xfrm>
          <a:off x="0" y="0"/>
          <a:ext cx="1524000" cy="1524000"/>
        </a:xfrm>
        <a:prstGeom prst="rect">
          <a:avLst/>
        </a:prstGeom>
        <a:noFill/>
      </xdr:spPr>
    </xdr:pic>
    <xdr:clientData/>
  </xdr:twoCellAnchor>
  <xdr:twoCellAnchor editAs="oneCell">
    <xdr:from>
      <xdr:col>2</xdr:col>
      <xdr:colOff>38100</xdr:colOff>
      <xdr:row>963</xdr:row>
      <xdr:rowOff>38100</xdr:rowOff>
    </xdr:from>
    <xdr:to>
      <xdr:col>2</xdr:col>
      <xdr:colOff>1181100</xdr:colOff>
      <xdr:row>963</xdr:row>
      <xdr:rowOff>523875</xdr:rowOff>
    </xdr:to>
    <xdr:pic>
      <xdr:nvPicPr>
        <xdr:cNvPr id="1461" name="Picture 437">
          <a:extLst>
            <a:ext uri="{FF2B5EF4-FFF2-40B4-BE49-F238E27FC236}">
              <a16:creationId xmlns:a16="http://schemas.microsoft.com/office/drawing/2014/main" id="{00000000-0008-0000-0000-0000B5050000}"/>
            </a:ext>
          </a:extLst>
        </xdr:cNvPr>
        <xdr:cNvPicPr>
          <a:picLocks noChangeAspect="1" noChangeArrowheads="1"/>
        </xdr:cNvPicPr>
      </xdr:nvPicPr>
      <xdr:blipFill>
        <a:blip xmlns:r="http://schemas.openxmlformats.org/officeDocument/2006/relationships" r:embed="rId437" cstate="print"/>
        <a:srcRect/>
        <a:stretch>
          <a:fillRect/>
        </a:stretch>
      </xdr:blipFill>
      <xdr:spPr bwMode="auto">
        <a:xfrm>
          <a:off x="0" y="0"/>
          <a:ext cx="1143000" cy="485775"/>
        </a:xfrm>
        <a:prstGeom prst="rect">
          <a:avLst/>
        </a:prstGeom>
        <a:noFill/>
      </xdr:spPr>
    </xdr:pic>
    <xdr:clientData/>
  </xdr:twoCellAnchor>
  <xdr:twoCellAnchor editAs="oneCell">
    <xdr:from>
      <xdr:col>2</xdr:col>
      <xdr:colOff>38100</xdr:colOff>
      <xdr:row>971</xdr:row>
      <xdr:rowOff>38100</xdr:rowOff>
    </xdr:from>
    <xdr:to>
      <xdr:col>2</xdr:col>
      <xdr:colOff>1181100</xdr:colOff>
      <xdr:row>971</xdr:row>
      <xdr:rowOff>419100</xdr:rowOff>
    </xdr:to>
    <xdr:pic>
      <xdr:nvPicPr>
        <xdr:cNvPr id="1462" name="Picture 438">
          <a:extLst>
            <a:ext uri="{FF2B5EF4-FFF2-40B4-BE49-F238E27FC236}">
              <a16:creationId xmlns:a16="http://schemas.microsoft.com/office/drawing/2014/main" id="{00000000-0008-0000-0000-0000B6050000}"/>
            </a:ext>
          </a:extLst>
        </xdr:cNvPr>
        <xdr:cNvPicPr>
          <a:picLocks noChangeAspect="1" noChangeArrowheads="1"/>
        </xdr:cNvPicPr>
      </xdr:nvPicPr>
      <xdr:blipFill>
        <a:blip xmlns:r="http://schemas.openxmlformats.org/officeDocument/2006/relationships" r:embed="rId438" cstate="print"/>
        <a:srcRect/>
        <a:stretch>
          <a:fillRect/>
        </a:stretch>
      </xdr:blipFill>
      <xdr:spPr bwMode="auto">
        <a:xfrm>
          <a:off x="0" y="0"/>
          <a:ext cx="1143000" cy="381000"/>
        </a:xfrm>
        <a:prstGeom prst="rect">
          <a:avLst/>
        </a:prstGeom>
        <a:noFill/>
      </xdr:spPr>
    </xdr:pic>
    <xdr:clientData/>
  </xdr:twoCellAnchor>
  <xdr:twoCellAnchor editAs="oneCell">
    <xdr:from>
      <xdr:col>2</xdr:col>
      <xdr:colOff>38100</xdr:colOff>
      <xdr:row>972</xdr:row>
      <xdr:rowOff>38100</xdr:rowOff>
    </xdr:from>
    <xdr:to>
      <xdr:col>2</xdr:col>
      <xdr:colOff>1181100</xdr:colOff>
      <xdr:row>972</xdr:row>
      <xdr:rowOff>1019175</xdr:rowOff>
    </xdr:to>
    <xdr:pic>
      <xdr:nvPicPr>
        <xdr:cNvPr id="1463" name="Picture 439">
          <a:extLst>
            <a:ext uri="{FF2B5EF4-FFF2-40B4-BE49-F238E27FC236}">
              <a16:creationId xmlns:a16="http://schemas.microsoft.com/office/drawing/2014/main" id="{00000000-0008-0000-0000-0000B7050000}"/>
            </a:ext>
          </a:extLst>
        </xdr:cNvPr>
        <xdr:cNvPicPr>
          <a:picLocks noChangeAspect="1" noChangeArrowheads="1"/>
        </xdr:cNvPicPr>
      </xdr:nvPicPr>
      <xdr:blipFill>
        <a:blip xmlns:r="http://schemas.openxmlformats.org/officeDocument/2006/relationships" r:embed="rId439" cstate="print"/>
        <a:srcRect/>
        <a:stretch>
          <a:fillRect/>
        </a:stretch>
      </xdr:blipFill>
      <xdr:spPr bwMode="auto">
        <a:xfrm>
          <a:off x="0" y="0"/>
          <a:ext cx="1143000" cy="981075"/>
        </a:xfrm>
        <a:prstGeom prst="rect">
          <a:avLst/>
        </a:prstGeom>
        <a:noFill/>
      </xdr:spPr>
    </xdr:pic>
    <xdr:clientData/>
  </xdr:twoCellAnchor>
  <xdr:twoCellAnchor editAs="oneCell">
    <xdr:from>
      <xdr:col>2</xdr:col>
      <xdr:colOff>38100</xdr:colOff>
      <xdr:row>973</xdr:row>
      <xdr:rowOff>38100</xdr:rowOff>
    </xdr:from>
    <xdr:to>
      <xdr:col>2</xdr:col>
      <xdr:colOff>1181100</xdr:colOff>
      <xdr:row>973</xdr:row>
      <xdr:rowOff>1171575</xdr:rowOff>
    </xdr:to>
    <xdr:pic>
      <xdr:nvPicPr>
        <xdr:cNvPr id="1464" name="Picture 440">
          <a:extLst>
            <a:ext uri="{FF2B5EF4-FFF2-40B4-BE49-F238E27FC236}">
              <a16:creationId xmlns:a16="http://schemas.microsoft.com/office/drawing/2014/main" id="{00000000-0008-0000-0000-0000B8050000}"/>
            </a:ext>
          </a:extLst>
        </xdr:cNvPr>
        <xdr:cNvPicPr>
          <a:picLocks noChangeAspect="1" noChangeArrowheads="1"/>
        </xdr:cNvPicPr>
      </xdr:nvPicPr>
      <xdr:blipFill>
        <a:blip xmlns:r="http://schemas.openxmlformats.org/officeDocument/2006/relationships" r:embed="rId440" cstate="print"/>
        <a:srcRect/>
        <a:stretch>
          <a:fillRect/>
        </a:stretch>
      </xdr:blipFill>
      <xdr:spPr bwMode="auto">
        <a:xfrm>
          <a:off x="0" y="0"/>
          <a:ext cx="1143000" cy="1133475"/>
        </a:xfrm>
        <a:prstGeom prst="rect">
          <a:avLst/>
        </a:prstGeom>
        <a:noFill/>
      </xdr:spPr>
    </xdr:pic>
    <xdr:clientData/>
  </xdr:twoCellAnchor>
  <xdr:twoCellAnchor editAs="oneCell">
    <xdr:from>
      <xdr:col>2</xdr:col>
      <xdr:colOff>38100</xdr:colOff>
      <xdr:row>974</xdr:row>
      <xdr:rowOff>38100</xdr:rowOff>
    </xdr:from>
    <xdr:to>
      <xdr:col>2</xdr:col>
      <xdr:colOff>1181100</xdr:colOff>
      <xdr:row>974</xdr:row>
      <xdr:rowOff>809625</xdr:rowOff>
    </xdr:to>
    <xdr:pic>
      <xdr:nvPicPr>
        <xdr:cNvPr id="1465" name="Picture 441">
          <a:extLst>
            <a:ext uri="{FF2B5EF4-FFF2-40B4-BE49-F238E27FC236}">
              <a16:creationId xmlns:a16="http://schemas.microsoft.com/office/drawing/2014/main" id="{00000000-0008-0000-0000-0000B9050000}"/>
            </a:ext>
          </a:extLst>
        </xdr:cNvPr>
        <xdr:cNvPicPr>
          <a:picLocks noChangeAspect="1" noChangeArrowheads="1"/>
        </xdr:cNvPicPr>
      </xdr:nvPicPr>
      <xdr:blipFill>
        <a:blip xmlns:r="http://schemas.openxmlformats.org/officeDocument/2006/relationships" r:embed="rId441" cstate="print"/>
        <a:srcRect/>
        <a:stretch>
          <a:fillRect/>
        </a:stretch>
      </xdr:blipFill>
      <xdr:spPr bwMode="auto">
        <a:xfrm>
          <a:off x="0" y="0"/>
          <a:ext cx="1143000" cy="771525"/>
        </a:xfrm>
        <a:prstGeom prst="rect">
          <a:avLst/>
        </a:prstGeom>
        <a:noFill/>
      </xdr:spPr>
    </xdr:pic>
    <xdr:clientData/>
  </xdr:twoCellAnchor>
  <xdr:twoCellAnchor editAs="oneCell">
    <xdr:from>
      <xdr:col>2</xdr:col>
      <xdr:colOff>38100</xdr:colOff>
      <xdr:row>975</xdr:row>
      <xdr:rowOff>38100</xdr:rowOff>
    </xdr:from>
    <xdr:to>
      <xdr:col>2</xdr:col>
      <xdr:colOff>1152525</xdr:colOff>
      <xdr:row>975</xdr:row>
      <xdr:rowOff>1181100</xdr:rowOff>
    </xdr:to>
    <xdr:pic>
      <xdr:nvPicPr>
        <xdr:cNvPr id="1466" name="Picture 442">
          <a:extLst>
            <a:ext uri="{FF2B5EF4-FFF2-40B4-BE49-F238E27FC236}">
              <a16:creationId xmlns:a16="http://schemas.microsoft.com/office/drawing/2014/main" id="{00000000-0008-0000-0000-0000BA050000}"/>
            </a:ext>
          </a:extLst>
        </xdr:cNvPr>
        <xdr:cNvPicPr>
          <a:picLocks noChangeAspect="1" noChangeArrowheads="1"/>
        </xdr:cNvPicPr>
      </xdr:nvPicPr>
      <xdr:blipFill>
        <a:blip xmlns:r="http://schemas.openxmlformats.org/officeDocument/2006/relationships" r:embed="rId442" cstate="print"/>
        <a:srcRect/>
        <a:stretch>
          <a:fillRect/>
        </a:stretch>
      </xdr:blipFill>
      <xdr:spPr bwMode="auto">
        <a:xfrm>
          <a:off x="0" y="0"/>
          <a:ext cx="1114425" cy="1143000"/>
        </a:xfrm>
        <a:prstGeom prst="rect">
          <a:avLst/>
        </a:prstGeom>
        <a:noFill/>
      </xdr:spPr>
    </xdr:pic>
    <xdr:clientData/>
  </xdr:twoCellAnchor>
  <xdr:twoCellAnchor editAs="oneCell">
    <xdr:from>
      <xdr:col>2</xdr:col>
      <xdr:colOff>38100</xdr:colOff>
      <xdr:row>978</xdr:row>
      <xdr:rowOff>38100</xdr:rowOff>
    </xdr:from>
    <xdr:to>
      <xdr:col>2</xdr:col>
      <xdr:colOff>403860</xdr:colOff>
      <xdr:row>978</xdr:row>
      <xdr:rowOff>220980</xdr:rowOff>
    </xdr:to>
    <xdr:pic>
      <xdr:nvPicPr>
        <xdr:cNvPr id="1467" name="Picture 443">
          <a:extLst>
            <a:ext uri="{FF2B5EF4-FFF2-40B4-BE49-F238E27FC236}">
              <a16:creationId xmlns:a16="http://schemas.microsoft.com/office/drawing/2014/main" id="{00000000-0008-0000-0000-0000BB050000}"/>
            </a:ext>
          </a:extLst>
        </xdr:cNvPr>
        <xdr:cNvPicPr>
          <a:picLocks noChangeAspect="1" noChangeArrowheads="1"/>
        </xdr:cNvPicPr>
      </xdr:nvPicPr>
      <xdr:blipFill>
        <a:blip xmlns:r="http://schemas.openxmlformats.org/officeDocument/2006/relationships" r:embed="rId443" cstate="print"/>
        <a:srcRect/>
        <a:stretch>
          <a:fillRect/>
        </a:stretch>
      </xdr:blipFill>
      <xdr:spPr bwMode="auto">
        <a:xfrm>
          <a:off x="0" y="0"/>
          <a:ext cx="365760" cy="182880"/>
        </a:xfrm>
        <a:prstGeom prst="rect">
          <a:avLst/>
        </a:prstGeom>
        <a:noFill/>
      </xdr:spPr>
    </xdr:pic>
    <xdr:clientData/>
  </xdr:twoCellAnchor>
  <xdr:twoCellAnchor editAs="oneCell">
    <xdr:from>
      <xdr:col>2</xdr:col>
      <xdr:colOff>38100</xdr:colOff>
      <xdr:row>983</xdr:row>
      <xdr:rowOff>38100</xdr:rowOff>
    </xdr:from>
    <xdr:to>
      <xdr:col>2</xdr:col>
      <xdr:colOff>1181100</xdr:colOff>
      <xdr:row>983</xdr:row>
      <xdr:rowOff>428625</xdr:rowOff>
    </xdr:to>
    <xdr:pic>
      <xdr:nvPicPr>
        <xdr:cNvPr id="1468" name="Picture 444">
          <a:extLst>
            <a:ext uri="{FF2B5EF4-FFF2-40B4-BE49-F238E27FC236}">
              <a16:creationId xmlns:a16="http://schemas.microsoft.com/office/drawing/2014/main" id="{00000000-0008-0000-0000-0000BC050000}"/>
            </a:ext>
          </a:extLst>
        </xdr:cNvPr>
        <xdr:cNvPicPr>
          <a:picLocks noChangeAspect="1" noChangeArrowheads="1"/>
        </xdr:cNvPicPr>
      </xdr:nvPicPr>
      <xdr:blipFill>
        <a:blip xmlns:r="http://schemas.openxmlformats.org/officeDocument/2006/relationships" r:embed="rId444" cstate="print"/>
        <a:srcRect/>
        <a:stretch>
          <a:fillRect/>
        </a:stretch>
      </xdr:blipFill>
      <xdr:spPr bwMode="auto">
        <a:xfrm>
          <a:off x="0" y="0"/>
          <a:ext cx="1143000" cy="390525"/>
        </a:xfrm>
        <a:prstGeom prst="rect">
          <a:avLst/>
        </a:prstGeom>
        <a:noFill/>
      </xdr:spPr>
    </xdr:pic>
    <xdr:clientData/>
  </xdr:twoCellAnchor>
  <xdr:twoCellAnchor editAs="oneCell">
    <xdr:from>
      <xdr:col>2</xdr:col>
      <xdr:colOff>38100</xdr:colOff>
      <xdr:row>984</xdr:row>
      <xdr:rowOff>38100</xdr:rowOff>
    </xdr:from>
    <xdr:to>
      <xdr:col>2</xdr:col>
      <xdr:colOff>1181100</xdr:colOff>
      <xdr:row>984</xdr:row>
      <xdr:rowOff>323850</xdr:rowOff>
    </xdr:to>
    <xdr:pic>
      <xdr:nvPicPr>
        <xdr:cNvPr id="1469" name="Picture 445">
          <a:extLst>
            <a:ext uri="{FF2B5EF4-FFF2-40B4-BE49-F238E27FC236}">
              <a16:creationId xmlns:a16="http://schemas.microsoft.com/office/drawing/2014/main" id="{00000000-0008-0000-0000-0000BD050000}"/>
            </a:ext>
          </a:extLst>
        </xdr:cNvPr>
        <xdr:cNvPicPr>
          <a:picLocks noChangeAspect="1" noChangeArrowheads="1"/>
        </xdr:cNvPicPr>
      </xdr:nvPicPr>
      <xdr:blipFill>
        <a:blip xmlns:r="http://schemas.openxmlformats.org/officeDocument/2006/relationships" r:embed="rId445" cstate="print"/>
        <a:srcRect/>
        <a:stretch>
          <a:fillRect/>
        </a:stretch>
      </xdr:blipFill>
      <xdr:spPr bwMode="auto">
        <a:xfrm>
          <a:off x="0" y="0"/>
          <a:ext cx="1143000" cy="285750"/>
        </a:xfrm>
        <a:prstGeom prst="rect">
          <a:avLst/>
        </a:prstGeom>
        <a:noFill/>
      </xdr:spPr>
    </xdr:pic>
    <xdr:clientData/>
  </xdr:twoCellAnchor>
  <xdr:twoCellAnchor editAs="oneCell">
    <xdr:from>
      <xdr:col>2</xdr:col>
      <xdr:colOff>38100</xdr:colOff>
      <xdr:row>985</xdr:row>
      <xdr:rowOff>38100</xdr:rowOff>
    </xdr:from>
    <xdr:to>
      <xdr:col>2</xdr:col>
      <xdr:colOff>303276</xdr:colOff>
      <xdr:row>985</xdr:row>
      <xdr:rowOff>403860</xdr:rowOff>
    </xdr:to>
    <xdr:pic>
      <xdr:nvPicPr>
        <xdr:cNvPr id="1470" name="Picture 446">
          <a:extLst>
            <a:ext uri="{FF2B5EF4-FFF2-40B4-BE49-F238E27FC236}">
              <a16:creationId xmlns:a16="http://schemas.microsoft.com/office/drawing/2014/main" id="{00000000-0008-0000-0000-0000BE050000}"/>
            </a:ext>
          </a:extLst>
        </xdr:cNvPr>
        <xdr:cNvPicPr>
          <a:picLocks noChangeAspect="1" noChangeArrowheads="1"/>
        </xdr:cNvPicPr>
      </xdr:nvPicPr>
      <xdr:blipFill>
        <a:blip xmlns:r="http://schemas.openxmlformats.org/officeDocument/2006/relationships" r:embed="rId446" cstate="print"/>
        <a:srcRect/>
        <a:stretch>
          <a:fillRect/>
        </a:stretch>
      </xdr:blipFill>
      <xdr:spPr bwMode="auto">
        <a:xfrm>
          <a:off x="0" y="0"/>
          <a:ext cx="265176" cy="365760"/>
        </a:xfrm>
        <a:prstGeom prst="rect">
          <a:avLst/>
        </a:prstGeom>
        <a:noFill/>
      </xdr:spPr>
    </xdr:pic>
    <xdr:clientData/>
  </xdr:twoCellAnchor>
  <xdr:twoCellAnchor editAs="oneCell">
    <xdr:from>
      <xdr:col>2</xdr:col>
      <xdr:colOff>38100</xdr:colOff>
      <xdr:row>986</xdr:row>
      <xdr:rowOff>38100</xdr:rowOff>
    </xdr:from>
    <xdr:to>
      <xdr:col>2</xdr:col>
      <xdr:colOff>403860</xdr:colOff>
      <xdr:row>986</xdr:row>
      <xdr:rowOff>83820</xdr:rowOff>
    </xdr:to>
    <xdr:pic>
      <xdr:nvPicPr>
        <xdr:cNvPr id="1471" name="Picture 447">
          <a:extLst>
            <a:ext uri="{FF2B5EF4-FFF2-40B4-BE49-F238E27FC236}">
              <a16:creationId xmlns:a16="http://schemas.microsoft.com/office/drawing/2014/main" id="{00000000-0008-0000-0000-0000BF050000}"/>
            </a:ext>
          </a:extLst>
        </xdr:cNvPr>
        <xdr:cNvPicPr>
          <a:picLocks noChangeAspect="1" noChangeArrowheads="1"/>
        </xdr:cNvPicPr>
      </xdr:nvPicPr>
      <xdr:blipFill>
        <a:blip xmlns:r="http://schemas.openxmlformats.org/officeDocument/2006/relationships" r:embed="rId447" cstate="print"/>
        <a:srcRect/>
        <a:stretch>
          <a:fillRect/>
        </a:stretch>
      </xdr:blipFill>
      <xdr:spPr bwMode="auto">
        <a:xfrm>
          <a:off x="0" y="0"/>
          <a:ext cx="365760" cy="45720"/>
        </a:xfrm>
        <a:prstGeom prst="rect">
          <a:avLst/>
        </a:prstGeom>
        <a:noFill/>
      </xdr:spPr>
    </xdr:pic>
    <xdr:clientData/>
  </xdr:twoCellAnchor>
  <xdr:twoCellAnchor editAs="oneCell">
    <xdr:from>
      <xdr:col>2</xdr:col>
      <xdr:colOff>38100</xdr:colOff>
      <xdr:row>987</xdr:row>
      <xdr:rowOff>38100</xdr:rowOff>
    </xdr:from>
    <xdr:to>
      <xdr:col>2</xdr:col>
      <xdr:colOff>403860</xdr:colOff>
      <xdr:row>987</xdr:row>
      <xdr:rowOff>220980</xdr:rowOff>
    </xdr:to>
    <xdr:pic>
      <xdr:nvPicPr>
        <xdr:cNvPr id="1472" name="Picture 448">
          <a:extLst>
            <a:ext uri="{FF2B5EF4-FFF2-40B4-BE49-F238E27FC236}">
              <a16:creationId xmlns:a16="http://schemas.microsoft.com/office/drawing/2014/main" id="{00000000-0008-0000-0000-0000C0050000}"/>
            </a:ext>
          </a:extLst>
        </xdr:cNvPr>
        <xdr:cNvPicPr>
          <a:picLocks noChangeAspect="1" noChangeArrowheads="1"/>
        </xdr:cNvPicPr>
      </xdr:nvPicPr>
      <xdr:blipFill>
        <a:blip xmlns:r="http://schemas.openxmlformats.org/officeDocument/2006/relationships" r:embed="rId448" cstate="print"/>
        <a:srcRect/>
        <a:stretch>
          <a:fillRect/>
        </a:stretch>
      </xdr:blipFill>
      <xdr:spPr bwMode="auto">
        <a:xfrm>
          <a:off x="0" y="0"/>
          <a:ext cx="365760" cy="182880"/>
        </a:xfrm>
        <a:prstGeom prst="rect">
          <a:avLst/>
        </a:prstGeom>
        <a:noFill/>
      </xdr:spPr>
    </xdr:pic>
    <xdr:clientData/>
  </xdr:twoCellAnchor>
  <xdr:twoCellAnchor editAs="oneCell">
    <xdr:from>
      <xdr:col>2</xdr:col>
      <xdr:colOff>38100</xdr:colOff>
      <xdr:row>988</xdr:row>
      <xdr:rowOff>38100</xdr:rowOff>
    </xdr:from>
    <xdr:to>
      <xdr:col>2</xdr:col>
      <xdr:colOff>1205700</xdr:colOff>
      <xdr:row>988</xdr:row>
      <xdr:rowOff>437030</xdr:rowOff>
    </xdr:to>
    <xdr:pic>
      <xdr:nvPicPr>
        <xdr:cNvPr id="1473" name="Picture 449">
          <a:extLst>
            <a:ext uri="{FF2B5EF4-FFF2-40B4-BE49-F238E27FC236}">
              <a16:creationId xmlns:a16="http://schemas.microsoft.com/office/drawing/2014/main" id="{00000000-0008-0000-0000-0000C1050000}"/>
            </a:ext>
          </a:extLst>
        </xdr:cNvPr>
        <xdr:cNvPicPr>
          <a:picLocks noChangeAspect="1" noChangeArrowheads="1"/>
        </xdr:cNvPicPr>
      </xdr:nvPicPr>
      <xdr:blipFill>
        <a:blip xmlns:r="http://schemas.openxmlformats.org/officeDocument/2006/relationships" r:embed="rId449" cstate="print"/>
        <a:srcRect/>
        <a:stretch>
          <a:fillRect/>
        </a:stretch>
      </xdr:blipFill>
      <xdr:spPr bwMode="auto">
        <a:xfrm>
          <a:off x="0" y="0"/>
          <a:ext cx="1167600" cy="398930"/>
        </a:xfrm>
        <a:prstGeom prst="rect">
          <a:avLst/>
        </a:prstGeom>
        <a:noFill/>
      </xdr:spPr>
    </xdr:pic>
    <xdr:clientData/>
  </xdr:twoCellAnchor>
  <xdr:twoCellAnchor editAs="oneCell">
    <xdr:from>
      <xdr:col>2</xdr:col>
      <xdr:colOff>38100</xdr:colOff>
      <xdr:row>991</xdr:row>
      <xdr:rowOff>38100</xdr:rowOff>
    </xdr:from>
    <xdr:to>
      <xdr:col>2</xdr:col>
      <xdr:colOff>1181100</xdr:colOff>
      <xdr:row>991</xdr:row>
      <xdr:rowOff>333375</xdr:rowOff>
    </xdr:to>
    <xdr:pic>
      <xdr:nvPicPr>
        <xdr:cNvPr id="1474" name="Picture 450">
          <a:extLst>
            <a:ext uri="{FF2B5EF4-FFF2-40B4-BE49-F238E27FC236}">
              <a16:creationId xmlns:a16="http://schemas.microsoft.com/office/drawing/2014/main" id="{00000000-0008-0000-0000-0000C2050000}"/>
            </a:ext>
          </a:extLst>
        </xdr:cNvPr>
        <xdr:cNvPicPr>
          <a:picLocks noChangeAspect="1" noChangeArrowheads="1"/>
        </xdr:cNvPicPr>
      </xdr:nvPicPr>
      <xdr:blipFill>
        <a:blip xmlns:r="http://schemas.openxmlformats.org/officeDocument/2006/relationships" r:embed="rId450" cstate="print"/>
        <a:srcRect/>
        <a:stretch>
          <a:fillRect/>
        </a:stretch>
      </xdr:blipFill>
      <xdr:spPr bwMode="auto">
        <a:xfrm>
          <a:off x="0" y="0"/>
          <a:ext cx="1143000" cy="295275"/>
        </a:xfrm>
        <a:prstGeom prst="rect">
          <a:avLst/>
        </a:prstGeom>
        <a:noFill/>
      </xdr:spPr>
    </xdr:pic>
    <xdr:clientData/>
  </xdr:twoCellAnchor>
  <xdr:twoCellAnchor editAs="oneCell">
    <xdr:from>
      <xdr:col>2</xdr:col>
      <xdr:colOff>38100</xdr:colOff>
      <xdr:row>992</xdr:row>
      <xdr:rowOff>38100</xdr:rowOff>
    </xdr:from>
    <xdr:to>
      <xdr:col>2</xdr:col>
      <xdr:colOff>1181100</xdr:colOff>
      <xdr:row>992</xdr:row>
      <xdr:rowOff>1000125</xdr:rowOff>
    </xdr:to>
    <xdr:pic>
      <xdr:nvPicPr>
        <xdr:cNvPr id="1475" name="Picture 451">
          <a:extLst>
            <a:ext uri="{FF2B5EF4-FFF2-40B4-BE49-F238E27FC236}">
              <a16:creationId xmlns:a16="http://schemas.microsoft.com/office/drawing/2014/main" id="{00000000-0008-0000-0000-0000C3050000}"/>
            </a:ext>
          </a:extLst>
        </xdr:cNvPr>
        <xdr:cNvPicPr>
          <a:picLocks noChangeAspect="1" noChangeArrowheads="1"/>
        </xdr:cNvPicPr>
      </xdr:nvPicPr>
      <xdr:blipFill>
        <a:blip xmlns:r="http://schemas.openxmlformats.org/officeDocument/2006/relationships" r:embed="rId451" cstate="print"/>
        <a:srcRect/>
        <a:stretch>
          <a:fillRect/>
        </a:stretch>
      </xdr:blipFill>
      <xdr:spPr bwMode="auto">
        <a:xfrm>
          <a:off x="0" y="0"/>
          <a:ext cx="1143000" cy="962025"/>
        </a:xfrm>
        <a:prstGeom prst="rect">
          <a:avLst/>
        </a:prstGeom>
        <a:noFill/>
      </xdr:spPr>
    </xdr:pic>
    <xdr:clientData/>
  </xdr:twoCellAnchor>
  <xdr:twoCellAnchor editAs="oneCell">
    <xdr:from>
      <xdr:col>2</xdr:col>
      <xdr:colOff>38100</xdr:colOff>
      <xdr:row>993</xdr:row>
      <xdr:rowOff>38100</xdr:rowOff>
    </xdr:from>
    <xdr:to>
      <xdr:col>2</xdr:col>
      <xdr:colOff>1181100</xdr:colOff>
      <xdr:row>993</xdr:row>
      <xdr:rowOff>600075</xdr:rowOff>
    </xdr:to>
    <xdr:pic>
      <xdr:nvPicPr>
        <xdr:cNvPr id="1476" name="Picture 452">
          <a:extLst>
            <a:ext uri="{FF2B5EF4-FFF2-40B4-BE49-F238E27FC236}">
              <a16:creationId xmlns:a16="http://schemas.microsoft.com/office/drawing/2014/main" id="{00000000-0008-0000-0000-0000C4050000}"/>
            </a:ext>
          </a:extLst>
        </xdr:cNvPr>
        <xdr:cNvPicPr>
          <a:picLocks noChangeAspect="1" noChangeArrowheads="1"/>
        </xdr:cNvPicPr>
      </xdr:nvPicPr>
      <xdr:blipFill>
        <a:blip xmlns:r="http://schemas.openxmlformats.org/officeDocument/2006/relationships" r:embed="rId452" cstate="print"/>
        <a:srcRect/>
        <a:stretch>
          <a:fillRect/>
        </a:stretch>
      </xdr:blipFill>
      <xdr:spPr bwMode="auto">
        <a:xfrm>
          <a:off x="0" y="0"/>
          <a:ext cx="1143000" cy="561975"/>
        </a:xfrm>
        <a:prstGeom prst="rect">
          <a:avLst/>
        </a:prstGeom>
        <a:noFill/>
      </xdr:spPr>
    </xdr:pic>
    <xdr:clientData/>
  </xdr:twoCellAnchor>
  <xdr:twoCellAnchor editAs="oneCell">
    <xdr:from>
      <xdr:col>2</xdr:col>
      <xdr:colOff>38100</xdr:colOff>
      <xdr:row>994</xdr:row>
      <xdr:rowOff>38100</xdr:rowOff>
    </xdr:from>
    <xdr:to>
      <xdr:col>2</xdr:col>
      <xdr:colOff>1181100</xdr:colOff>
      <xdr:row>994</xdr:row>
      <xdr:rowOff>609600</xdr:rowOff>
    </xdr:to>
    <xdr:pic>
      <xdr:nvPicPr>
        <xdr:cNvPr id="1477" name="Picture 453">
          <a:extLst>
            <a:ext uri="{FF2B5EF4-FFF2-40B4-BE49-F238E27FC236}">
              <a16:creationId xmlns:a16="http://schemas.microsoft.com/office/drawing/2014/main" id="{00000000-0008-0000-0000-0000C5050000}"/>
            </a:ext>
          </a:extLst>
        </xdr:cNvPr>
        <xdr:cNvPicPr>
          <a:picLocks noChangeAspect="1" noChangeArrowheads="1"/>
        </xdr:cNvPicPr>
      </xdr:nvPicPr>
      <xdr:blipFill>
        <a:blip xmlns:r="http://schemas.openxmlformats.org/officeDocument/2006/relationships" r:embed="rId453" cstate="print"/>
        <a:srcRect/>
        <a:stretch>
          <a:fillRect/>
        </a:stretch>
      </xdr:blipFill>
      <xdr:spPr bwMode="auto">
        <a:xfrm>
          <a:off x="0" y="0"/>
          <a:ext cx="1143000" cy="571500"/>
        </a:xfrm>
        <a:prstGeom prst="rect">
          <a:avLst/>
        </a:prstGeom>
        <a:noFill/>
      </xdr:spPr>
    </xdr:pic>
    <xdr:clientData/>
  </xdr:twoCellAnchor>
  <xdr:twoCellAnchor editAs="oneCell">
    <xdr:from>
      <xdr:col>2</xdr:col>
      <xdr:colOff>38100</xdr:colOff>
      <xdr:row>995</xdr:row>
      <xdr:rowOff>38100</xdr:rowOff>
    </xdr:from>
    <xdr:to>
      <xdr:col>2</xdr:col>
      <xdr:colOff>403860</xdr:colOff>
      <xdr:row>995</xdr:row>
      <xdr:rowOff>364236</xdr:rowOff>
    </xdr:to>
    <xdr:pic>
      <xdr:nvPicPr>
        <xdr:cNvPr id="1478" name="Picture 454">
          <a:extLst>
            <a:ext uri="{FF2B5EF4-FFF2-40B4-BE49-F238E27FC236}">
              <a16:creationId xmlns:a16="http://schemas.microsoft.com/office/drawing/2014/main" id="{00000000-0008-0000-0000-0000C6050000}"/>
            </a:ext>
          </a:extLst>
        </xdr:cNvPr>
        <xdr:cNvPicPr>
          <a:picLocks noChangeAspect="1" noChangeArrowheads="1"/>
        </xdr:cNvPicPr>
      </xdr:nvPicPr>
      <xdr:blipFill>
        <a:blip xmlns:r="http://schemas.openxmlformats.org/officeDocument/2006/relationships" r:embed="rId454" cstate="print"/>
        <a:srcRect/>
        <a:stretch>
          <a:fillRect/>
        </a:stretch>
      </xdr:blipFill>
      <xdr:spPr bwMode="auto">
        <a:xfrm>
          <a:off x="0" y="0"/>
          <a:ext cx="365760" cy="326136"/>
        </a:xfrm>
        <a:prstGeom prst="rect">
          <a:avLst/>
        </a:prstGeom>
        <a:noFill/>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98"/>
  <sheetViews>
    <sheetView tabSelected="1" workbookViewId="0"/>
  </sheetViews>
  <sheetFormatPr baseColWidth="10" defaultRowHeight="14.4"/>
  <cols>
    <col min="1" max="1" width="15" customWidth="1"/>
    <col min="2" max="2" width="40" customWidth="1"/>
    <col min="3" max="3" width="22" customWidth="1"/>
    <col min="4" max="5" width="12" customWidth="1"/>
    <col min="6" max="10" width="20" customWidth="1"/>
    <col min="11" max="11" width="50" customWidth="1"/>
  </cols>
  <sheetData>
    <row r="1" spans="1:17">
      <c r="A1" s="6" t="s">
        <v>0</v>
      </c>
    </row>
    <row r="2" spans="1:17">
      <c r="A2" s="6" t="s">
        <v>1</v>
      </c>
    </row>
    <row r="4" spans="1:17" ht="57.6">
      <c r="A4" s="4" t="s">
        <v>2</v>
      </c>
      <c r="B4" s="1" t="s">
        <v>3</v>
      </c>
    </row>
    <row r="5" spans="1:17">
      <c r="A5" s="4" t="s">
        <v>4</v>
      </c>
      <c r="B5" s="1" t="s">
        <v>5</v>
      </c>
    </row>
    <row r="6" spans="1:17" ht="28.8">
      <c r="A6" s="4" t="s">
        <v>6</v>
      </c>
      <c r="B6" s="1" t="s">
        <v>7</v>
      </c>
      <c r="C6" s="1" t="s">
        <v>8</v>
      </c>
      <c r="D6" s="1" t="s">
        <v>9</v>
      </c>
      <c r="E6" s="1" t="s">
        <v>10</v>
      </c>
    </row>
    <row r="7" spans="1:17" ht="43.2">
      <c r="A7" s="4" t="s">
        <v>11</v>
      </c>
      <c r="B7" s="1" t="s">
        <v>12</v>
      </c>
    </row>
    <row r="8" spans="1:17">
      <c r="A8" s="4" t="s">
        <v>13</v>
      </c>
      <c r="B8" s="5" t="s">
        <v>14</v>
      </c>
    </row>
    <row r="9" spans="1:17">
      <c r="A9" s="4" t="s">
        <v>15</v>
      </c>
      <c r="B9" s="1" t="s">
        <v>16</v>
      </c>
    </row>
    <row r="11" spans="1:17" ht="28.8">
      <c r="A11" s="3" t="s">
        <v>17</v>
      </c>
      <c r="B11" s="3" t="s">
        <v>18</v>
      </c>
      <c r="C11" s="3" t="s">
        <v>19</v>
      </c>
      <c r="D11" s="3" t="s">
        <v>20</v>
      </c>
      <c r="E11" s="3" t="s">
        <v>21</v>
      </c>
      <c r="F11" s="3" t="s">
        <v>22</v>
      </c>
      <c r="G11" s="3" t="s">
        <v>23</v>
      </c>
      <c r="H11" s="3" t="s">
        <v>24</v>
      </c>
      <c r="I11" s="3" t="s">
        <v>25</v>
      </c>
      <c r="J11" s="3" t="s">
        <v>26</v>
      </c>
      <c r="K11" s="3" t="s">
        <v>27</v>
      </c>
      <c r="L11" s="3" t="s">
        <v>28</v>
      </c>
      <c r="M11" s="3" t="s">
        <v>29</v>
      </c>
      <c r="N11" s="3" t="s">
        <v>30</v>
      </c>
      <c r="O11" s="3" t="s">
        <v>31</v>
      </c>
      <c r="P11" s="3" t="s">
        <v>32</v>
      </c>
      <c r="Q11" s="3" t="s">
        <v>33</v>
      </c>
    </row>
    <row r="12" spans="1:17" ht="115.2">
      <c r="A12" s="8" t="str">
        <f>HYPERLINK("http://sipi.sic.gov.co/sipi/View.ashx?3857028","SD2022/0000017")</f>
        <v>SD2022/0000017</v>
      </c>
      <c r="B12" s="2" t="s">
        <v>34</v>
      </c>
      <c r="C12" s="2" t="s">
        <v>35</v>
      </c>
      <c r="D12" s="2" t="s">
        <v>36</v>
      </c>
      <c r="E12" s="2" t="s">
        <v>35</v>
      </c>
      <c r="F12" s="2" t="s">
        <v>37</v>
      </c>
      <c r="G12" s="2" t="s">
        <v>38</v>
      </c>
      <c r="H12" s="2" t="s">
        <v>39</v>
      </c>
      <c r="I12" s="2" t="s">
        <v>12</v>
      </c>
      <c r="J12" s="2" t="s">
        <v>40</v>
      </c>
      <c r="K12" s="2" t="s">
        <v>41</v>
      </c>
      <c r="L12" s="2" t="s">
        <v>42</v>
      </c>
      <c r="M12" s="2" t="s">
        <v>35</v>
      </c>
      <c r="N12" s="2" t="s">
        <v>35</v>
      </c>
      <c r="O12" s="2" t="s">
        <v>43</v>
      </c>
      <c r="P12" s="2" t="s">
        <v>35</v>
      </c>
      <c r="Q12" s="2" t="s">
        <v>35</v>
      </c>
    </row>
    <row r="13" spans="1:17" ht="129.6">
      <c r="A13" s="8" t="str">
        <f>HYPERLINK("http://sipi.sic.gov.co/sipi/View.ashx?3857230","SD2022/0000038")</f>
        <v>SD2022/0000038</v>
      </c>
      <c r="B13" s="2" t="s">
        <v>44</v>
      </c>
      <c r="C13" s="7" t="s">
        <v>35</v>
      </c>
      <c r="D13" s="2" t="s">
        <v>45</v>
      </c>
      <c r="E13" s="2" t="s">
        <v>35</v>
      </c>
      <c r="F13" s="2" t="s">
        <v>37</v>
      </c>
      <c r="G13" s="2" t="s">
        <v>35</v>
      </c>
      <c r="H13" s="2" t="s">
        <v>46</v>
      </c>
      <c r="I13" s="2" t="s">
        <v>12</v>
      </c>
      <c r="J13" s="2" t="s">
        <v>40</v>
      </c>
      <c r="K13" s="2" t="s">
        <v>47</v>
      </c>
      <c r="L13" s="2" t="s">
        <v>42</v>
      </c>
      <c r="M13" s="2" t="s">
        <v>48</v>
      </c>
      <c r="N13" s="2" t="s">
        <v>35</v>
      </c>
      <c r="O13" s="2" t="s">
        <v>49</v>
      </c>
      <c r="P13" s="2" t="s">
        <v>50</v>
      </c>
      <c r="Q13" s="2" t="s">
        <v>35</v>
      </c>
    </row>
    <row r="14" spans="1:17" ht="144">
      <c r="A14" s="8" t="str">
        <f>HYPERLINK("http://sipi.sic.gov.co/sipi/View.ashx?3857575","SD2022/0001545")</f>
        <v>SD2022/0001545</v>
      </c>
      <c r="B14" s="2" t="s">
        <v>51</v>
      </c>
      <c r="C14" s="7" t="s">
        <v>35</v>
      </c>
      <c r="D14" s="2" t="s">
        <v>52</v>
      </c>
      <c r="E14" s="2" t="s">
        <v>35</v>
      </c>
      <c r="F14" s="2" t="s">
        <v>37</v>
      </c>
      <c r="G14" s="2" t="s">
        <v>53</v>
      </c>
      <c r="H14" s="2" t="s">
        <v>54</v>
      </c>
      <c r="I14" s="2" t="s">
        <v>12</v>
      </c>
      <c r="J14" s="2" t="s">
        <v>40</v>
      </c>
      <c r="K14" s="2" t="s">
        <v>41</v>
      </c>
      <c r="L14" s="2" t="s">
        <v>55</v>
      </c>
      <c r="M14" s="2" t="s">
        <v>56</v>
      </c>
      <c r="N14" s="2" t="s">
        <v>35</v>
      </c>
      <c r="O14" s="2" t="s">
        <v>57</v>
      </c>
      <c r="P14" s="2" t="s">
        <v>35</v>
      </c>
      <c r="Q14" s="2" t="s">
        <v>35</v>
      </c>
    </row>
    <row r="15" spans="1:17" ht="409.6">
      <c r="A15" s="8" t="str">
        <f>HYPERLINK("http://sipi.sic.gov.co/sipi/View.ashx?3860759","SD2022/0001211")</f>
        <v>SD2022/0001211</v>
      </c>
      <c r="B15" s="2" t="s">
        <v>58</v>
      </c>
      <c r="C15" s="2" t="s">
        <v>35</v>
      </c>
      <c r="D15" s="2" t="s">
        <v>59</v>
      </c>
      <c r="E15" s="2" t="s">
        <v>35</v>
      </c>
      <c r="F15" s="2" t="s">
        <v>37</v>
      </c>
      <c r="G15" s="2" t="s">
        <v>58</v>
      </c>
      <c r="H15" s="2" t="s">
        <v>60</v>
      </c>
      <c r="I15" s="2" t="s">
        <v>61</v>
      </c>
      <c r="J15" s="2" t="s">
        <v>40</v>
      </c>
      <c r="K15" s="2" t="s">
        <v>62</v>
      </c>
      <c r="L15" s="2" t="s">
        <v>42</v>
      </c>
      <c r="M15" s="2" t="s">
        <v>63</v>
      </c>
      <c r="N15" s="2" t="s">
        <v>35</v>
      </c>
      <c r="O15" s="2" t="s">
        <v>57</v>
      </c>
      <c r="P15" s="2" t="s">
        <v>35</v>
      </c>
      <c r="Q15" s="2" t="s">
        <v>35</v>
      </c>
    </row>
    <row r="16" spans="1:17" ht="100.8">
      <c r="A16" s="8" t="str">
        <f>HYPERLINK("http://sipi.sic.gov.co/sipi/View.ashx?3862514","SD2022/0001616")</f>
        <v>SD2022/0001616</v>
      </c>
      <c r="B16" s="2" t="s">
        <v>64</v>
      </c>
      <c r="C16" s="2" t="s">
        <v>35</v>
      </c>
      <c r="D16" s="2" t="s">
        <v>52</v>
      </c>
      <c r="E16" s="2" t="s">
        <v>35</v>
      </c>
      <c r="F16" s="2" t="s">
        <v>37</v>
      </c>
      <c r="G16" s="2" t="s">
        <v>35</v>
      </c>
      <c r="H16" s="2" t="s">
        <v>65</v>
      </c>
      <c r="I16" s="2" t="s">
        <v>12</v>
      </c>
      <c r="J16" s="2" t="s">
        <v>40</v>
      </c>
      <c r="K16" s="2" t="s">
        <v>66</v>
      </c>
      <c r="L16" s="2" t="s">
        <v>42</v>
      </c>
      <c r="M16" s="2" t="s">
        <v>67</v>
      </c>
      <c r="N16" s="2" t="s">
        <v>35</v>
      </c>
      <c r="O16" s="2" t="s">
        <v>43</v>
      </c>
      <c r="P16" s="2" t="s">
        <v>35</v>
      </c>
      <c r="Q16" s="2" t="s">
        <v>35</v>
      </c>
    </row>
    <row r="17" spans="1:17" ht="230.4">
      <c r="A17" s="8" t="str">
        <f>HYPERLINK("http://sipi.sic.gov.co/sipi/View.ashx?3865719","SD2022/0002102")</f>
        <v>SD2022/0002102</v>
      </c>
      <c r="B17" s="2" t="s">
        <v>68</v>
      </c>
      <c r="C17" s="7" t="s">
        <v>35</v>
      </c>
      <c r="D17" s="2" t="s">
        <v>69</v>
      </c>
      <c r="E17" s="2" t="s">
        <v>35</v>
      </c>
      <c r="F17" s="2" t="s">
        <v>37</v>
      </c>
      <c r="G17" s="2" t="s">
        <v>68</v>
      </c>
      <c r="H17" s="2" t="s">
        <v>70</v>
      </c>
      <c r="I17" s="2" t="s">
        <v>71</v>
      </c>
      <c r="J17" s="2" t="s">
        <v>40</v>
      </c>
      <c r="K17" s="2" t="s">
        <v>72</v>
      </c>
      <c r="L17" s="2" t="s">
        <v>55</v>
      </c>
      <c r="M17" s="2" t="s">
        <v>73</v>
      </c>
      <c r="N17" s="2" t="s">
        <v>35</v>
      </c>
      <c r="O17" s="2" t="s">
        <v>74</v>
      </c>
      <c r="P17" s="2" t="s">
        <v>35</v>
      </c>
      <c r="Q17" s="2" t="s">
        <v>35</v>
      </c>
    </row>
    <row r="18" spans="1:17" ht="100.8">
      <c r="A18" s="8" t="str">
        <f>HYPERLINK("http://sipi.sic.gov.co/sipi/View.ashx?3866126","SD2022/0002185")</f>
        <v>SD2022/0002185</v>
      </c>
      <c r="B18" s="2" t="s">
        <v>75</v>
      </c>
      <c r="C18" s="7" t="s">
        <v>35</v>
      </c>
      <c r="D18" s="2" t="s">
        <v>69</v>
      </c>
      <c r="E18" s="2" t="s">
        <v>35</v>
      </c>
      <c r="F18" s="2" t="s">
        <v>37</v>
      </c>
      <c r="G18" s="2" t="s">
        <v>75</v>
      </c>
      <c r="H18" s="2" t="s">
        <v>76</v>
      </c>
      <c r="I18" s="2" t="s">
        <v>12</v>
      </c>
      <c r="J18" s="2" t="s">
        <v>40</v>
      </c>
      <c r="K18" s="2" t="s">
        <v>77</v>
      </c>
      <c r="L18" s="2" t="s">
        <v>42</v>
      </c>
      <c r="M18" s="2" t="s">
        <v>78</v>
      </c>
      <c r="N18" s="2" t="s">
        <v>35</v>
      </c>
      <c r="O18" s="2" t="s">
        <v>79</v>
      </c>
      <c r="P18" s="2" t="s">
        <v>35</v>
      </c>
      <c r="Q18" s="2" t="s">
        <v>35</v>
      </c>
    </row>
    <row r="19" spans="1:17" ht="201.6">
      <c r="A19" s="8" t="str">
        <f>HYPERLINK("http://sipi.sic.gov.co/sipi/View.ashx?3868478","SD2022/0004110")</f>
        <v>SD2022/0004110</v>
      </c>
      <c r="B19" s="2" t="s">
        <v>80</v>
      </c>
      <c r="C19" s="7" t="s">
        <v>35</v>
      </c>
      <c r="D19" s="2" t="s">
        <v>81</v>
      </c>
      <c r="E19" s="2" t="s">
        <v>35</v>
      </c>
      <c r="F19" s="2" t="s">
        <v>37</v>
      </c>
      <c r="G19" s="2" t="s">
        <v>82</v>
      </c>
      <c r="H19" s="2" t="s">
        <v>83</v>
      </c>
      <c r="I19" s="2" t="s">
        <v>12</v>
      </c>
      <c r="J19" s="2" t="s">
        <v>40</v>
      </c>
      <c r="K19" s="2" t="s">
        <v>84</v>
      </c>
      <c r="L19" s="2" t="s">
        <v>55</v>
      </c>
      <c r="M19" s="2" t="s">
        <v>85</v>
      </c>
      <c r="N19" s="2" t="s">
        <v>35</v>
      </c>
      <c r="O19" s="2" t="s">
        <v>79</v>
      </c>
      <c r="P19" s="2" t="s">
        <v>35</v>
      </c>
      <c r="Q19" s="2" t="s">
        <v>35</v>
      </c>
    </row>
    <row r="20" spans="1:17" ht="129.6">
      <c r="A20" s="8" t="str">
        <f>HYPERLINK("http://sipi.sic.gov.co/sipi/View.ashx?3870053","SD2022/0003185")</f>
        <v>SD2022/0003185</v>
      </c>
      <c r="B20" s="2" t="s">
        <v>86</v>
      </c>
      <c r="C20" s="2" t="s">
        <v>35</v>
      </c>
      <c r="D20" s="2" t="s">
        <v>87</v>
      </c>
      <c r="E20" s="2" t="s">
        <v>35</v>
      </c>
      <c r="F20" s="2" t="s">
        <v>37</v>
      </c>
      <c r="G20" s="2" t="s">
        <v>35</v>
      </c>
      <c r="H20" s="2" t="s">
        <v>88</v>
      </c>
      <c r="I20" s="2" t="s">
        <v>12</v>
      </c>
      <c r="J20" s="2" t="s">
        <v>40</v>
      </c>
      <c r="K20" s="2" t="s">
        <v>89</v>
      </c>
      <c r="L20" s="2" t="s">
        <v>42</v>
      </c>
      <c r="M20" s="2" t="s">
        <v>48</v>
      </c>
      <c r="N20" s="2" t="s">
        <v>35</v>
      </c>
      <c r="O20" s="2" t="s">
        <v>43</v>
      </c>
      <c r="P20" s="2" t="s">
        <v>35</v>
      </c>
      <c r="Q20" s="2" t="s">
        <v>35</v>
      </c>
    </row>
    <row r="21" spans="1:17" ht="409.6">
      <c r="A21" s="8" t="str">
        <f>HYPERLINK("http://sipi.sic.gov.co/sipi/View.ashx?3873185","SD2022/0005052")</f>
        <v>SD2022/0005052</v>
      </c>
      <c r="B21" s="2" t="s">
        <v>90</v>
      </c>
      <c r="C21" s="7" t="s">
        <v>35</v>
      </c>
      <c r="D21" s="2" t="s">
        <v>91</v>
      </c>
      <c r="E21" s="2" t="s">
        <v>35</v>
      </c>
      <c r="F21" s="2" t="s">
        <v>37</v>
      </c>
      <c r="G21" s="2" t="s">
        <v>92</v>
      </c>
      <c r="H21" s="2" t="s">
        <v>93</v>
      </c>
      <c r="I21" s="2" t="s">
        <v>61</v>
      </c>
      <c r="J21" s="2" t="s">
        <v>40</v>
      </c>
      <c r="K21" s="2" t="s">
        <v>94</v>
      </c>
      <c r="L21" s="2" t="s">
        <v>55</v>
      </c>
      <c r="M21" s="2" t="s">
        <v>35</v>
      </c>
      <c r="N21" s="2" t="s">
        <v>35</v>
      </c>
      <c r="O21" s="2" t="s">
        <v>79</v>
      </c>
      <c r="P21" s="2" t="s">
        <v>35</v>
      </c>
      <c r="Q21" s="2" t="s">
        <v>35</v>
      </c>
    </row>
    <row r="22" spans="1:17" ht="201.6">
      <c r="A22" s="8" t="str">
        <f>HYPERLINK("http://sipi.sic.gov.co/sipi/View.ashx?3875611","SD2022/0004403")</f>
        <v>SD2022/0004403</v>
      </c>
      <c r="B22" s="2" t="s">
        <v>95</v>
      </c>
      <c r="C22" s="7" t="s">
        <v>35</v>
      </c>
      <c r="D22" s="2" t="s">
        <v>96</v>
      </c>
      <c r="E22" s="2" t="s">
        <v>35</v>
      </c>
      <c r="F22" s="2" t="s">
        <v>37</v>
      </c>
      <c r="G22" s="2" t="s">
        <v>97</v>
      </c>
      <c r="H22" s="2" t="s">
        <v>98</v>
      </c>
      <c r="I22" s="2" t="s">
        <v>61</v>
      </c>
      <c r="J22" s="2" t="s">
        <v>40</v>
      </c>
      <c r="K22" s="2" t="s">
        <v>99</v>
      </c>
      <c r="L22" s="2" t="s">
        <v>42</v>
      </c>
      <c r="M22" s="2" t="s">
        <v>100</v>
      </c>
      <c r="N22" s="2" t="s">
        <v>35</v>
      </c>
      <c r="O22" s="2" t="s">
        <v>57</v>
      </c>
      <c r="P22" s="2" t="s">
        <v>35</v>
      </c>
      <c r="Q22" s="2" t="s">
        <v>35</v>
      </c>
    </row>
    <row r="23" spans="1:17" ht="129.6">
      <c r="A23" s="8" t="str">
        <f>HYPERLINK("http://sipi.sic.gov.co/sipi/View.ashx?3876757","SD2022/0004420")</f>
        <v>SD2022/0004420</v>
      </c>
      <c r="B23" s="2" t="s">
        <v>101</v>
      </c>
      <c r="C23" s="2" t="s">
        <v>35</v>
      </c>
      <c r="D23" s="2" t="s">
        <v>96</v>
      </c>
      <c r="E23" s="2" t="s">
        <v>35</v>
      </c>
      <c r="F23" s="2" t="s">
        <v>37</v>
      </c>
      <c r="G23" s="2" t="s">
        <v>102</v>
      </c>
      <c r="H23" s="2" t="s">
        <v>103</v>
      </c>
      <c r="I23" s="2" t="s">
        <v>12</v>
      </c>
      <c r="J23" s="2" t="s">
        <v>40</v>
      </c>
      <c r="K23" s="2" t="s">
        <v>104</v>
      </c>
      <c r="L23" s="2" t="s">
        <v>55</v>
      </c>
      <c r="M23" s="2" t="s">
        <v>105</v>
      </c>
      <c r="N23" s="2" t="s">
        <v>35</v>
      </c>
      <c r="O23" s="2" t="s">
        <v>43</v>
      </c>
      <c r="P23" s="2" t="s">
        <v>35</v>
      </c>
      <c r="Q23" s="2" t="s">
        <v>35</v>
      </c>
    </row>
    <row r="24" spans="1:17" ht="158.4">
      <c r="A24" s="8" t="str">
        <f>HYPERLINK("http://sipi.sic.gov.co/sipi/View.ashx?3881215","SD2022/0005878")</f>
        <v>SD2022/0005878</v>
      </c>
      <c r="B24" s="2" t="s">
        <v>106</v>
      </c>
      <c r="C24" s="7" t="s">
        <v>35</v>
      </c>
      <c r="D24" s="2" t="s">
        <v>107</v>
      </c>
      <c r="E24" s="2" t="s">
        <v>35</v>
      </c>
      <c r="F24" s="2" t="s">
        <v>37</v>
      </c>
      <c r="G24" s="2" t="s">
        <v>35</v>
      </c>
      <c r="H24" s="2" t="s">
        <v>108</v>
      </c>
      <c r="I24" s="2" t="s">
        <v>61</v>
      </c>
      <c r="J24" s="2" t="s">
        <v>40</v>
      </c>
      <c r="K24" s="2" t="s">
        <v>109</v>
      </c>
      <c r="L24" s="2" t="s">
        <v>42</v>
      </c>
      <c r="M24" s="2" t="s">
        <v>110</v>
      </c>
      <c r="N24" s="2" t="s">
        <v>35</v>
      </c>
      <c r="O24" s="2" t="s">
        <v>111</v>
      </c>
      <c r="P24" s="2" t="s">
        <v>35</v>
      </c>
      <c r="Q24" s="2" t="s">
        <v>35</v>
      </c>
    </row>
    <row r="25" spans="1:17" ht="115.2">
      <c r="A25" s="8" t="str">
        <f>HYPERLINK("http://sipi.sic.gov.co/sipi/View.ashx?3883904","SD2022/0006024")</f>
        <v>SD2022/0006024</v>
      </c>
      <c r="B25" s="2" t="s">
        <v>35</v>
      </c>
      <c r="C25" s="7" t="s">
        <v>35</v>
      </c>
      <c r="D25" s="2" t="s">
        <v>107</v>
      </c>
      <c r="E25" s="2" t="s">
        <v>35</v>
      </c>
      <c r="F25" s="2" t="s">
        <v>37</v>
      </c>
      <c r="G25" s="2" t="s">
        <v>35</v>
      </c>
      <c r="H25" s="2" t="s">
        <v>112</v>
      </c>
      <c r="I25" s="2" t="s">
        <v>113</v>
      </c>
      <c r="J25" s="2" t="s">
        <v>40</v>
      </c>
      <c r="K25" s="2" t="s">
        <v>114</v>
      </c>
      <c r="L25" s="2" t="s">
        <v>42</v>
      </c>
      <c r="M25" s="2" t="s">
        <v>115</v>
      </c>
      <c r="N25" s="2" t="s">
        <v>35</v>
      </c>
      <c r="O25" s="2" t="s">
        <v>79</v>
      </c>
      <c r="P25" s="2" t="s">
        <v>35</v>
      </c>
      <c r="Q25" s="2" t="s">
        <v>35</v>
      </c>
    </row>
    <row r="26" spans="1:17" ht="115.2">
      <c r="A26" s="8" t="str">
        <f>HYPERLINK("http://sipi.sic.gov.co/sipi/View.ashx?3886779","SD2022/0006541")</f>
        <v>SD2022/0006541</v>
      </c>
      <c r="B26" s="2" t="s">
        <v>116</v>
      </c>
      <c r="C26" s="2" t="s">
        <v>35</v>
      </c>
      <c r="D26" s="2" t="s">
        <v>117</v>
      </c>
      <c r="E26" s="2" t="s">
        <v>35</v>
      </c>
      <c r="F26" s="2" t="s">
        <v>37</v>
      </c>
      <c r="G26" s="2" t="s">
        <v>118</v>
      </c>
      <c r="H26" s="2" t="s">
        <v>119</v>
      </c>
      <c r="I26" s="2" t="s">
        <v>120</v>
      </c>
      <c r="J26" s="2" t="s">
        <v>40</v>
      </c>
      <c r="K26" s="2" t="s">
        <v>121</v>
      </c>
      <c r="L26" s="2" t="s">
        <v>55</v>
      </c>
      <c r="M26" s="2" t="s">
        <v>122</v>
      </c>
      <c r="N26" s="2" t="s">
        <v>35</v>
      </c>
      <c r="O26" s="2" t="s">
        <v>123</v>
      </c>
      <c r="P26" s="2" t="s">
        <v>35</v>
      </c>
      <c r="Q26" s="2" t="s">
        <v>35</v>
      </c>
    </row>
    <row r="27" spans="1:17" ht="129.6">
      <c r="A27" s="8" t="str">
        <f>HYPERLINK("http://sipi.sic.gov.co/sipi/View.ashx?3887664","SD2022/0006766")</f>
        <v>SD2022/0006766</v>
      </c>
      <c r="B27" s="2" t="s">
        <v>124</v>
      </c>
      <c r="C27" s="2" t="s">
        <v>35</v>
      </c>
      <c r="D27" s="2" t="s">
        <v>117</v>
      </c>
      <c r="E27" s="2" t="s">
        <v>35</v>
      </c>
      <c r="F27" s="2" t="s">
        <v>37</v>
      </c>
      <c r="G27" s="2" t="s">
        <v>125</v>
      </c>
      <c r="H27" s="2" t="s">
        <v>126</v>
      </c>
      <c r="I27" s="2" t="s">
        <v>12</v>
      </c>
      <c r="J27" s="2" t="s">
        <v>40</v>
      </c>
      <c r="K27" s="2" t="s">
        <v>127</v>
      </c>
      <c r="L27" s="2" t="s">
        <v>42</v>
      </c>
      <c r="M27" s="2" t="s">
        <v>128</v>
      </c>
      <c r="N27" s="2" t="s">
        <v>35</v>
      </c>
      <c r="O27" s="2" t="s">
        <v>129</v>
      </c>
      <c r="P27" s="2" t="s">
        <v>35</v>
      </c>
      <c r="Q27" s="2" t="s">
        <v>35</v>
      </c>
    </row>
    <row r="28" spans="1:17" ht="144">
      <c r="A28" s="8" t="str">
        <f>HYPERLINK("http://sipi.sic.gov.co/sipi/View.ashx?3887748","SD2022/0006746")</f>
        <v>SD2022/0006746</v>
      </c>
      <c r="B28" s="2" t="s">
        <v>130</v>
      </c>
      <c r="C28" s="7" t="s">
        <v>35</v>
      </c>
      <c r="D28" s="2" t="s">
        <v>117</v>
      </c>
      <c r="E28" s="2" t="s">
        <v>35</v>
      </c>
      <c r="F28" s="2" t="s">
        <v>37</v>
      </c>
      <c r="G28" s="2" t="s">
        <v>130</v>
      </c>
      <c r="H28" s="2" t="s">
        <v>131</v>
      </c>
      <c r="I28" s="2" t="s">
        <v>12</v>
      </c>
      <c r="J28" s="2" t="s">
        <v>40</v>
      </c>
      <c r="K28" s="2" t="s">
        <v>132</v>
      </c>
      <c r="L28" s="2" t="s">
        <v>42</v>
      </c>
      <c r="M28" s="2" t="s">
        <v>133</v>
      </c>
      <c r="N28" s="2" t="s">
        <v>35</v>
      </c>
      <c r="O28" s="2" t="s">
        <v>43</v>
      </c>
      <c r="P28" s="2" t="s">
        <v>35</v>
      </c>
      <c r="Q28" s="2" t="s">
        <v>35</v>
      </c>
    </row>
    <row r="29" spans="1:17" ht="244.8">
      <c r="A29" s="8" t="str">
        <f>HYPERLINK("http://sipi.sic.gov.co/sipi/View.ashx?3889843","SD2022/0007247")</f>
        <v>SD2022/0007247</v>
      </c>
      <c r="B29" s="2" t="s">
        <v>134</v>
      </c>
      <c r="C29" s="7" t="s">
        <v>35</v>
      </c>
      <c r="D29" s="2" t="s">
        <v>135</v>
      </c>
      <c r="E29" s="2" t="s">
        <v>35</v>
      </c>
      <c r="F29" s="2" t="s">
        <v>37</v>
      </c>
      <c r="G29" s="2" t="s">
        <v>35</v>
      </c>
      <c r="H29" s="2" t="s">
        <v>136</v>
      </c>
      <c r="I29" s="2" t="s">
        <v>137</v>
      </c>
      <c r="J29" s="2" t="s">
        <v>40</v>
      </c>
      <c r="K29" s="2" t="s">
        <v>138</v>
      </c>
      <c r="L29" s="2" t="s">
        <v>55</v>
      </c>
      <c r="M29" s="2" t="s">
        <v>139</v>
      </c>
      <c r="N29" s="2" t="s">
        <v>35</v>
      </c>
      <c r="O29" s="2" t="s">
        <v>43</v>
      </c>
      <c r="P29" s="2" t="s">
        <v>35</v>
      </c>
      <c r="Q29" s="2" t="s">
        <v>35</v>
      </c>
    </row>
    <row r="30" spans="1:17" ht="409.6">
      <c r="A30" s="8" t="str">
        <f>HYPERLINK("http://sipi.sic.gov.co/sipi/View.ashx?3890231","SD2022/0008298")</f>
        <v>SD2022/0008298</v>
      </c>
      <c r="B30" s="2" t="s">
        <v>140</v>
      </c>
      <c r="C30" s="2" t="s">
        <v>35</v>
      </c>
      <c r="D30" s="2" t="s">
        <v>141</v>
      </c>
      <c r="E30" s="2" t="s">
        <v>35</v>
      </c>
      <c r="F30" s="2" t="s">
        <v>37</v>
      </c>
      <c r="G30" s="2" t="s">
        <v>35</v>
      </c>
      <c r="H30" s="2" t="s">
        <v>142</v>
      </c>
      <c r="I30" s="2" t="s">
        <v>61</v>
      </c>
      <c r="J30" s="2" t="s">
        <v>40</v>
      </c>
      <c r="K30" s="2" t="s">
        <v>143</v>
      </c>
      <c r="L30" s="2" t="s">
        <v>42</v>
      </c>
      <c r="M30" s="2" t="s">
        <v>144</v>
      </c>
      <c r="N30" s="2" t="s">
        <v>35</v>
      </c>
      <c r="O30" s="2" t="s">
        <v>43</v>
      </c>
      <c r="P30" s="2" t="s">
        <v>35</v>
      </c>
      <c r="Q30" s="2" t="s">
        <v>35</v>
      </c>
    </row>
    <row r="31" spans="1:17" ht="345.6">
      <c r="A31" s="8" t="str">
        <f>HYPERLINK("http://sipi.sic.gov.co/sipi/View.ashx?3892234","SD2022/0007986")</f>
        <v>SD2022/0007986</v>
      </c>
      <c r="B31" s="2" t="s">
        <v>145</v>
      </c>
      <c r="C31" s="7" t="s">
        <v>35</v>
      </c>
      <c r="D31" s="2" t="s">
        <v>146</v>
      </c>
      <c r="E31" s="2" t="s">
        <v>35</v>
      </c>
      <c r="F31" s="2" t="s">
        <v>37</v>
      </c>
      <c r="G31" s="2" t="s">
        <v>147</v>
      </c>
      <c r="H31" s="2" t="s">
        <v>148</v>
      </c>
      <c r="I31" s="2" t="s">
        <v>149</v>
      </c>
      <c r="J31" s="2" t="s">
        <v>40</v>
      </c>
      <c r="K31" s="2" t="s">
        <v>150</v>
      </c>
      <c r="L31" s="2" t="s">
        <v>42</v>
      </c>
      <c r="M31" s="2" t="s">
        <v>151</v>
      </c>
      <c r="N31" s="2" t="s">
        <v>35</v>
      </c>
      <c r="O31" s="2" t="s">
        <v>111</v>
      </c>
      <c r="P31" s="2" t="s">
        <v>35</v>
      </c>
      <c r="Q31" s="2" t="s">
        <v>35</v>
      </c>
    </row>
    <row r="32" spans="1:17" ht="172.8">
      <c r="A32" s="8" t="str">
        <f>HYPERLINK("http://sipi.sic.gov.co/sipi/View.ashx?3892435","SD2022/0007873")</f>
        <v>SD2022/0007873</v>
      </c>
      <c r="B32" s="2" t="s">
        <v>152</v>
      </c>
      <c r="C32" s="2" t="s">
        <v>35</v>
      </c>
      <c r="D32" s="2" t="s">
        <v>79</v>
      </c>
      <c r="E32" s="2" t="s">
        <v>35</v>
      </c>
      <c r="F32" s="2" t="s">
        <v>37</v>
      </c>
      <c r="G32" s="2" t="s">
        <v>152</v>
      </c>
      <c r="H32" s="2" t="s">
        <v>153</v>
      </c>
      <c r="I32" s="2" t="s">
        <v>61</v>
      </c>
      <c r="J32" s="2" t="s">
        <v>40</v>
      </c>
      <c r="K32" s="2" t="s">
        <v>154</v>
      </c>
      <c r="L32" s="2" t="s">
        <v>42</v>
      </c>
      <c r="M32" s="2" t="s">
        <v>155</v>
      </c>
      <c r="N32" s="2" t="s">
        <v>35</v>
      </c>
      <c r="O32" s="2" t="s">
        <v>156</v>
      </c>
      <c r="P32" s="2" t="s">
        <v>35</v>
      </c>
      <c r="Q32" s="2" t="s">
        <v>35</v>
      </c>
    </row>
    <row r="33" spans="1:17" ht="172.8">
      <c r="A33" s="8" t="str">
        <f>HYPERLINK("http://sipi.sic.gov.co/sipi/View.ashx?3892528","SD2022/0007878")</f>
        <v>SD2022/0007878</v>
      </c>
      <c r="B33" s="2" t="s">
        <v>157</v>
      </c>
      <c r="C33" s="2" t="s">
        <v>35</v>
      </c>
      <c r="D33" s="2" t="s">
        <v>79</v>
      </c>
      <c r="E33" s="2" t="s">
        <v>35</v>
      </c>
      <c r="F33" s="2" t="s">
        <v>37</v>
      </c>
      <c r="G33" s="2" t="s">
        <v>157</v>
      </c>
      <c r="H33" s="2" t="s">
        <v>153</v>
      </c>
      <c r="I33" s="2" t="s">
        <v>61</v>
      </c>
      <c r="J33" s="2" t="s">
        <v>40</v>
      </c>
      <c r="K33" s="2" t="s">
        <v>154</v>
      </c>
      <c r="L33" s="2" t="s">
        <v>42</v>
      </c>
      <c r="M33" s="2" t="s">
        <v>155</v>
      </c>
      <c r="N33" s="2" t="s">
        <v>35</v>
      </c>
      <c r="O33" s="2" t="s">
        <v>156</v>
      </c>
      <c r="P33" s="2" t="s">
        <v>35</v>
      </c>
      <c r="Q33" s="2" t="s">
        <v>35</v>
      </c>
    </row>
    <row r="34" spans="1:17" ht="409.6">
      <c r="A34" s="8" t="str">
        <f>HYPERLINK("http://sipi.sic.gov.co/sipi/View.ashx?3893863","SD2022/0008036")</f>
        <v>SD2022/0008036</v>
      </c>
      <c r="B34" s="2" t="s">
        <v>158</v>
      </c>
      <c r="C34" s="7" t="s">
        <v>35</v>
      </c>
      <c r="D34" s="2" t="s">
        <v>141</v>
      </c>
      <c r="E34" s="2" t="s">
        <v>35</v>
      </c>
      <c r="F34" s="2" t="s">
        <v>37</v>
      </c>
      <c r="G34" s="2" t="s">
        <v>159</v>
      </c>
      <c r="H34" s="2" t="s">
        <v>160</v>
      </c>
      <c r="I34" s="2" t="s">
        <v>161</v>
      </c>
      <c r="J34" s="2" t="s">
        <v>40</v>
      </c>
      <c r="K34" s="2" t="s">
        <v>162</v>
      </c>
      <c r="L34" s="2" t="s">
        <v>42</v>
      </c>
      <c r="M34" s="2" t="s">
        <v>163</v>
      </c>
      <c r="N34" s="2" t="s">
        <v>35</v>
      </c>
      <c r="O34" s="2" t="s">
        <v>111</v>
      </c>
      <c r="P34" s="2" t="s">
        <v>35</v>
      </c>
      <c r="Q34" s="2" t="s">
        <v>35</v>
      </c>
    </row>
    <row r="35" spans="1:17" ht="129.6">
      <c r="A35" s="8" t="str">
        <f>HYPERLINK("http://sipi.sic.gov.co/sipi/View.ashx?3893967","SD2022/0008040")</f>
        <v>SD2022/0008040</v>
      </c>
      <c r="B35" s="2" t="s">
        <v>164</v>
      </c>
      <c r="C35" s="2" t="s">
        <v>35</v>
      </c>
      <c r="D35" s="2" t="s">
        <v>141</v>
      </c>
      <c r="E35" s="2" t="s">
        <v>35</v>
      </c>
      <c r="F35" s="2" t="s">
        <v>37</v>
      </c>
      <c r="G35" s="2" t="s">
        <v>165</v>
      </c>
      <c r="H35" s="2" t="s">
        <v>166</v>
      </c>
      <c r="I35" s="2" t="s">
        <v>12</v>
      </c>
      <c r="J35" s="2" t="s">
        <v>40</v>
      </c>
      <c r="K35" s="2" t="s">
        <v>167</v>
      </c>
      <c r="L35" s="2" t="s">
        <v>42</v>
      </c>
      <c r="M35" s="2" t="s">
        <v>168</v>
      </c>
      <c r="N35" s="2" t="s">
        <v>35</v>
      </c>
      <c r="O35" s="2" t="s">
        <v>43</v>
      </c>
      <c r="P35" s="2" t="s">
        <v>35</v>
      </c>
      <c r="Q35" s="2" t="s">
        <v>35</v>
      </c>
    </row>
    <row r="36" spans="1:17" ht="129.6">
      <c r="A36" s="8" t="str">
        <f>HYPERLINK("http://sipi.sic.gov.co/sipi/View.ashx?3897735","SD2022/0009197")</f>
        <v>SD2022/0009197</v>
      </c>
      <c r="B36" s="2" t="s">
        <v>169</v>
      </c>
      <c r="C36" s="7" t="s">
        <v>35</v>
      </c>
      <c r="D36" s="2" t="s">
        <v>170</v>
      </c>
      <c r="E36" s="2" t="s">
        <v>35</v>
      </c>
      <c r="F36" s="2" t="s">
        <v>37</v>
      </c>
      <c r="G36" s="2" t="s">
        <v>171</v>
      </c>
      <c r="H36" s="2" t="s">
        <v>172</v>
      </c>
      <c r="I36" s="2" t="s">
        <v>12</v>
      </c>
      <c r="J36" s="2" t="s">
        <v>40</v>
      </c>
      <c r="K36" s="2" t="s">
        <v>173</v>
      </c>
      <c r="L36" s="2" t="s">
        <v>55</v>
      </c>
      <c r="M36" s="2" t="s">
        <v>174</v>
      </c>
      <c r="N36" s="2" t="s">
        <v>35</v>
      </c>
      <c r="O36" s="2" t="s">
        <v>175</v>
      </c>
      <c r="P36" s="2" t="s">
        <v>35</v>
      </c>
      <c r="Q36" s="2" t="s">
        <v>35</v>
      </c>
    </row>
    <row r="37" spans="1:17" ht="230.4">
      <c r="A37" s="8" t="str">
        <f>HYPERLINK("http://sipi.sic.gov.co/sipi/View.ashx?3899102","SD2022/0009152")</f>
        <v>SD2022/0009152</v>
      </c>
      <c r="B37" s="2" t="s">
        <v>176</v>
      </c>
      <c r="C37" s="7" t="s">
        <v>35</v>
      </c>
      <c r="D37" s="2" t="s">
        <v>170</v>
      </c>
      <c r="E37" s="2" t="s">
        <v>35</v>
      </c>
      <c r="F37" s="2" t="s">
        <v>37</v>
      </c>
      <c r="G37" s="2" t="s">
        <v>35</v>
      </c>
      <c r="H37" s="2" t="s">
        <v>177</v>
      </c>
      <c r="I37" s="2" t="s">
        <v>12</v>
      </c>
      <c r="J37" s="2" t="s">
        <v>40</v>
      </c>
      <c r="K37" s="2" t="s">
        <v>178</v>
      </c>
      <c r="L37" s="2" t="s">
        <v>55</v>
      </c>
      <c r="M37" s="2" t="s">
        <v>179</v>
      </c>
      <c r="N37" s="2" t="s">
        <v>35</v>
      </c>
      <c r="O37" s="2" t="s">
        <v>49</v>
      </c>
      <c r="P37" s="2" t="s">
        <v>35</v>
      </c>
      <c r="Q37" s="2" t="s">
        <v>35</v>
      </c>
    </row>
    <row r="38" spans="1:17" ht="129.6">
      <c r="A38" s="8" t="str">
        <f>HYPERLINK("http://sipi.sic.gov.co/sipi/View.ashx?3900051","SD2022/0009561")</f>
        <v>SD2022/0009561</v>
      </c>
      <c r="B38" s="2" t="s">
        <v>180</v>
      </c>
      <c r="C38" s="2" t="s">
        <v>35</v>
      </c>
      <c r="D38" s="2" t="s">
        <v>181</v>
      </c>
      <c r="E38" s="2" t="s">
        <v>35</v>
      </c>
      <c r="F38" s="2" t="s">
        <v>37</v>
      </c>
      <c r="G38" s="2" t="s">
        <v>182</v>
      </c>
      <c r="H38" s="2" t="s">
        <v>183</v>
      </c>
      <c r="I38" s="2" t="s">
        <v>184</v>
      </c>
      <c r="J38" s="2" t="s">
        <v>40</v>
      </c>
      <c r="K38" s="2" t="s">
        <v>185</v>
      </c>
      <c r="L38" s="2" t="s">
        <v>42</v>
      </c>
      <c r="M38" s="2" t="s">
        <v>186</v>
      </c>
      <c r="N38" s="2" t="s">
        <v>35</v>
      </c>
      <c r="O38" s="2" t="s">
        <v>175</v>
      </c>
      <c r="P38" s="2" t="s">
        <v>35</v>
      </c>
      <c r="Q38" s="2" t="s">
        <v>35</v>
      </c>
    </row>
    <row r="39" spans="1:17" ht="76.8">
      <c r="A39" s="8" t="str">
        <f>HYPERLINK("http://sipi.sic.gov.co/sipi/View.ashx?3900383","SD2022/0009501")</f>
        <v>SD2022/0009501</v>
      </c>
      <c r="B39" s="2" t="s">
        <v>187</v>
      </c>
      <c r="C39" s="7" t="s">
        <v>35</v>
      </c>
      <c r="D39" s="2" t="s">
        <v>181</v>
      </c>
      <c r="E39" s="2" t="s">
        <v>35</v>
      </c>
      <c r="F39" s="2" t="s">
        <v>37</v>
      </c>
      <c r="G39" s="2" t="s">
        <v>188</v>
      </c>
      <c r="H39" s="2" t="s">
        <v>189</v>
      </c>
      <c r="I39" s="2" t="s">
        <v>12</v>
      </c>
      <c r="J39" s="2" t="s">
        <v>40</v>
      </c>
      <c r="K39" s="2" t="s">
        <v>190</v>
      </c>
      <c r="L39" s="2" t="s">
        <v>42</v>
      </c>
      <c r="M39" s="2" t="s">
        <v>35</v>
      </c>
      <c r="N39" s="2" t="s">
        <v>35</v>
      </c>
      <c r="O39" s="2" t="s">
        <v>191</v>
      </c>
      <c r="P39" s="2" t="s">
        <v>35</v>
      </c>
      <c r="Q39" s="2" t="s">
        <v>35</v>
      </c>
    </row>
    <row r="40" spans="1:17" ht="115.2">
      <c r="A40" s="8" t="str">
        <f>HYPERLINK("http://sipi.sic.gov.co/sipi/View.ashx?3901053","SD2022/0009615")</f>
        <v>SD2022/0009615</v>
      </c>
      <c r="B40" s="2" t="s">
        <v>192</v>
      </c>
      <c r="C40" s="2" t="s">
        <v>35</v>
      </c>
      <c r="D40" s="2" t="s">
        <v>181</v>
      </c>
      <c r="E40" s="2" t="s">
        <v>35</v>
      </c>
      <c r="F40" s="2" t="s">
        <v>37</v>
      </c>
      <c r="G40" s="2" t="s">
        <v>193</v>
      </c>
      <c r="H40" s="2" t="s">
        <v>194</v>
      </c>
      <c r="I40" s="2" t="s">
        <v>195</v>
      </c>
      <c r="J40" s="2" t="s">
        <v>40</v>
      </c>
      <c r="K40" s="2" t="s">
        <v>196</v>
      </c>
      <c r="L40" s="2" t="s">
        <v>42</v>
      </c>
      <c r="M40" s="2" t="s">
        <v>197</v>
      </c>
      <c r="N40" s="2" t="s">
        <v>35</v>
      </c>
      <c r="O40" s="2" t="s">
        <v>198</v>
      </c>
      <c r="P40" s="2" t="s">
        <v>35</v>
      </c>
      <c r="Q40" s="2" t="s">
        <v>35</v>
      </c>
    </row>
    <row r="41" spans="1:17" ht="115.2">
      <c r="A41" s="8" t="str">
        <f>HYPERLINK("http://sipi.sic.gov.co/sipi/View.ashx?3902815","SD2022/0009967")</f>
        <v>SD2022/0009967</v>
      </c>
      <c r="B41" s="2" t="s">
        <v>199</v>
      </c>
      <c r="C41" s="7" t="s">
        <v>35</v>
      </c>
      <c r="D41" s="2" t="s">
        <v>200</v>
      </c>
      <c r="E41" s="2" t="s">
        <v>35</v>
      </c>
      <c r="F41" s="2" t="s">
        <v>37</v>
      </c>
      <c r="G41" s="2" t="s">
        <v>201</v>
      </c>
      <c r="H41" s="2" t="s">
        <v>202</v>
      </c>
      <c r="I41" s="2" t="s">
        <v>61</v>
      </c>
      <c r="J41" s="2" t="s">
        <v>40</v>
      </c>
      <c r="K41" s="2" t="s">
        <v>203</v>
      </c>
      <c r="L41" s="2" t="s">
        <v>42</v>
      </c>
      <c r="M41" s="2" t="s">
        <v>204</v>
      </c>
      <c r="N41" s="2" t="s">
        <v>35</v>
      </c>
      <c r="O41" s="2" t="s">
        <v>205</v>
      </c>
      <c r="P41" s="2" t="s">
        <v>35</v>
      </c>
      <c r="Q41" s="2" t="s">
        <v>35</v>
      </c>
    </row>
    <row r="42" spans="1:17" ht="115.2">
      <c r="A42" s="8" t="str">
        <f>HYPERLINK("http://sipi.sic.gov.co/sipi/View.ashx?3902992","SD2022/0010008")</f>
        <v>SD2022/0010008</v>
      </c>
      <c r="B42" s="2" t="s">
        <v>206</v>
      </c>
      <c r="C42" s="7" t="s">
        <v>35</v>
      </c>
      <c r="D42" s="2" t="s">
        <v>200</v>
      </c>
      <c r="E42" s="2" t="s">
        <v>35</v>
      </c>
      <c r="F42" s="2" t="s">
        <v>37</v>
      </c>
      <c r="G42" s="2" t="s">
        <v>206</v>
      </c>
      <c r="H42" s="2" t="s">
        <v>207</v>
      </c>
      <c r="I42" s="2" t="s">
        <v>12</v>
      </c>
      <c r="J42" s="2" t="s">
        <v>40</v>
      </c>
      <c r="K42" s="2" t="s">
        <v>208</v>
      </c>
      <c r="L42" s="2" t="s">
        <v>42</v>
      </c>
      <c r="M42" s="2" t="s">
        <v>209</v>
      </c>
      <c r="N42" s="2" t="s">
        <v>35</v>
      </c>
      <c r="O42" s="2" t="s">
        <v>175</v>
      </c>
      <c r="P42" s="2" t="s">
        <v>35</v>
      </c>
      <c r="Q42" s="2" t="s">
        <v>35</v>
      </c>
    </row>
    <row r="43" spans="1:17" ht="158.4">
      <c r="A43" s="8" t="str">
        <f>HYPERLINK("http://sipi.sic.gov.co/sipi/View.ashx?3903968","SD2022/0010201")</f>
        <v>SD2022/0010201</v>
      </c>
      <c r="B43" s="2" t="s">
        <v>210</v>
      </c>
      <c r="C43" s="7" t="s">
        <v>35</v>
      </c>
      <c r="D43" s="2" t="s">
        <v>200</v>
      </c>
      <c r="E43" s="2" t="s">
        <v>35</v>
      </c>
      <c r="F43" s="2" t="s">
        <v>37</v>
      </c>
      <c r="G43" s="2" t="s">
        <v>211</v>
      </c>
      <c r="H43" s="2" t="s">
        <v>212</v>
      </c>
      <c r="I43" s="2" t="s">
        <v>12</v>
      </c>
      <c r="J43" s="2" t="s">
        <v>40</v>
      </c>
      <c r="K43" s="2" t="s">
        <v>213</v>
      </c>
      <c r="L43" s="2" t="s">
        <v>42</v>
      </c>
      <c r="M43" s="2" t="s">
        <v>214</v>
      </c>
      <c r="N43" s="2" t="s">
        <v>35</v>
      </c>
      <c r="O43" s="2" t="s">
        <v>57</v>
      </c>
      <c r="P43" s="2" t="s">
        <v>35</v>
      </c>
      <c r="Q43" s="2" t="s">
        <v>35</v>
      </c>
    </row>
    <row r="44" spans="1:17" ht="316.8">
      <c r="A44" s="8" t="str">
        <f>HYPERLINK("http://sipi.sic.gov.co/sipi/View.ashx?3906038","SD2022/0010811")</f>
        <v>SD2022/0010811</v>
      </c>
      <c r="B44" s="2" t="s">
        <v>215</v>
      </c>
      <c r="C44" s="7" t="s">
        <v>35</v>
      </c>
      <c r="D44" s="2" t="s">
        <v>216</v>
      </c>
      <c r="E44" s="2" t="s">
        <v>35</v>
      </c>
      <c r="F44" s="2" t="s">
        <v>37</v>
      </c>
      <c r="G44" s="2" t="s">
        <v>215</v>
      </c>
      <c r="H44" s="2" t="s">
        <v>217</v>
      </c>
      <c r="I44" s="2" t="s">
        <v>12</v>
      </c>
      <c r="J44" s="2" t="s">
        <v>40</v>
      </c>
      <c r="K44" s="2" t="s">
        <v>218</v>
      </c>
      <c r="L44" s="2" t="s">
        <v>42</v>
      </c>
      <c r="M44" s="2" t="s">
        <v>219</v>
      </c>
      <c r="N44" s="2" t="s">
        <v>35</v>
      </c>
      <c r="O44" s="2" t="s">
        <v>175</v>
      </c>
      <c r="P44" s="2" t="s">
        <v>35</v>
      </c>
      <c r="Q44" s="2" t="s">
        <v>35</v>
      </c>
    </row>
    <row r="45" spans="1:17" ht="129.6">
      <c r="A45" s="8" t="str">
        <f>HYPERLINK("http://sipi.sic.gov.co/sipi/View.ashx?3906379","SD2022/0010585")</f>
        <v>SD2022/0010585</v>
      </c>
      <c r="B45" s="2" t="s">
        <v>220</v>
      </c>
      <c r="C45" s="7" t="s">
        <v>35</v>
      </c>
      <c r="D45" s="2" t="s">
        <v>111</v>
      </c>
      <c r="E45" s="2" t="s">
        <v>35</v>
      </c>
      <c r="F45" s="2" t="s">
        <v>37</v>
      </c>
      <c r="G45" s="2" t="s">
        <v>221</v>
      </c>
      <c r="H45" s="2" t="s">
        <v>222</v>
      </c>
      <c r="I45" s="2" t="s">
        <v>12</v>
      </c>
      <c r="J45" s="2" t="s">
        <v>40</v>
      </c>
      <c r="K45" s="2" t="s">
        <v>41</v>
      </c>
      <c r="L45" s="2" t="s">
        <v>42</v>
      </c>
      <c r="M45" s="2" t="s">
        <v>223</v>
      </c>
      <c r="N45" s="2" t="s">
        <v>35</v>
      </c>
      <c r="O45" s="2" t="s">
        <v>224</v>
      </c>
      <c r="P45" s="2" t="s">
        <v>35</v>
      </c>
      <c r="Q45" s="2" t="s">
        <v>35</v>
      </c>
    </row>
    <row r="46" spans="1:17" ht="409.6">
      <c r="A46" s="8" t="str">
        <f>HYPERLINK("http://sipi.sic.gov.co/sipi/View.ashx?3906633","SD2022/0023599")</f>
        <v>SD2022/0023599</v>
      </c>
      <c r="B46" s="2" t="s">
        <v>225</v>
      </c>
      <c r="C46" s="7" t="s">
        <v>35</v>
      </c>
      <c r="D46" s="2" t="s">
        <v>226</v>
      </c>
      <c r="E46" s="2" t="s">
        <v>35</v>
      </c>
      <c r="F46" s="2" t="s">
        <v>37</v>
      </c>
      <c r="G46" s="2" t="s">
        <v>227</v>
      </c>
      <c r="H46" s="2" t="s">
        <v>228</v>
      </c>
      <c r="I46" s="2" t="s">
        <v>229</v>
      </c>
      <c r="J46" s="2" t="s">
        <v>40</v>
      </c>
      <c r="K46" s="2" t="s">
        <v>230</v>
      </c>
      <c r="L46" s="2" t="s">
        <v>42</v>
      </c>
      <c r="M46" s="2" t="s">
        <v>35</v>
      </c>
      <c r="N46" s="2" t="s">
        <v>35</v>
      </c>
      <c r="O46" s="2" t="s">
        <v>205</v>
      </c>
      <c r="P46" s="2" t="s">
        <v>35</v>
      </c>
      <c r="Q46" s="2" t="s">
        <v>35</v>
      </c>
    </row>
    <row r="47" spans="1:17" ht="129.6">
      <c r="A47" s="8" t="str">
        <f>HYPERLINK("http://sipi.sic.gov.co/sipi/View.ashx?3907633","SD2022/0010851")</f>
        <v>SD2022/0010851</v>
      </c>
      <c r="B47" s="2" t="s">
        <v>231</v>
      </c>
      <c r="C47" s="2" t="s">
        <v>35</v>
      </c>
      <c r="D47" s="2" t="s">
        <v>216</v>
      </c>
      <c r="E47" s="2" t="s">
        <v>35</v>
      </c>
      <c r="F47" s="2" t="s">
        <v>37</v>
      </c>
      <c r="G47" s="2" t="s">
        <v>232</v>
      </c>
      <c r="H47" s="2" t="s">
        <v>233</v>
      </c>
      <c r="I47" s="2" t="s">
        <v>12</v>
      </c>
      <c r="J47" s="2" t="s">
        <v>40</v>
      </c>
      <c r="K47" s="2" t="s">
        <v>234</v>
      </c>
      <c r="L47" s="2" t="s">
        <v>42</v>
      </c>
      <c r="M47" s="2" t="s">
        <v>235</v>
      </c>
      <c r="N47" s="2" t="s">
        <v>35</v>
      </c>
      <c r="O47" s="2" t="s">
        <v>43</v>
      </c>
      <c r="P47" s="2" t="s">
        <v>35</v>
      </c>
      <c r="Q47" s="2" t="s">
        <v>35</v>
      </c>
    </row>
    <row r="48" spans="1:17" ht="172.8">
      <c r="A48" s="8" t="str">
        <f>HYPERLINK("http://sipi.sic.gov.co/sipi/View.ashx?3908368","SD2022/0015280")</f>
        <v>SD2022/0015280</v>
      </c>
      <c r="B48" s="2" t="s">
        <v>236</v>
      </c>
      <c r="C48" s="2" t="s">
        <v>35</v>
      </c>
      <c r="D48" s="2" t="s">
        <v>237</v>
      </c>
      <c r="E48" s="2" t="s">
        <v>35</v>
      </c>
      <c r="F48" s="2" t="s">
        <v>37</v>
      </c>
      <c r="G48" s="2" t="s">
        <v>236</v>
      </c>
      <c r="H48" s="2" t="s">
        <v>238</v>
      </c>
      <c r="I48" s="2" t="s">
        <v>12</v>
      </c>
      <c r="J48" s="2" t="s">
        <v>40</v>
      </c>
      <c r="K48" s="2" t="s">
        <v>41</v>
      </c>
      <c r="L48" s="2" t="s">
        <v>42</v>
      </c>
      <c r="M48" s="2" t="s">
        <v>239</v>
      </c>
      <c r="N48" s="2" t="s">
        <v>35</v>
      </c>
      <c r="O48" s="2" t="s">
        <v>205</v>
      </c>
      <c r="P48" s="2" t="s">
        <v>35</v>
      </c>
      <c r="Q48" s="2" t="s">
        <v>35</v>
      </c>
    </row>
    <row r="49" spans="1:17" ht="172.8">
      <c r="A49" s="8" t="str">
        <f>HYPERLINK("http://sipi.sic.gov.co/sipi/View.ashx?3908470","SD2022/0015293")</f>
        <v>SD2022/0015293</v>
      </c>
      <c r="B49" s="2" t="s">
        <v>240</v>
      </c>
      <c r="C49" s="2" t="s">
        <v>35</v>
      </c>
      <c r="D49" s="2" t="s">
        <v>237</v>
      </c>
      <c r="E49" s="2" t="s">
        <v>35</v>
      </c>
      <c r="F49" s="2" t="s">
        <v>37</v>
      </c>
      <c r="G49" s="2" t="s">
        <v>240</v>
      </c>
      <c r="H49" s="2" t="s">
        <v>238</v>
      </c>
      <c r="I49" s="2" t="s">
        <v>12</v>
      </c>
      <c r="J49" s="2" t="s">
        <v>40</v>
      </c>
      <c r="K49" s="2" t="s">
        <v>41</v>
      </c>
      <c r="L49" s="2" t="s">
        <v>55</v>
      </c>
      <c r="M49" s="2" t="s">
        <v>239</v>
      </c>
      <c r="N49" s="2" t="s">
        <v>35</v>
      </c>
      <c r="O49" s="2" t="s">
        <v>205</v>
      </c>
      <c r="P49" s="2" t="s">
        <v>35</v>
      </c>
      <c r="Q49" s="2" t="s">
        <v>35</v>
      </c>
    </row>
    <row r="50" spans="1:17" ht="115.2">
      <c r="A50" s="8" t="str">
        <f>HYPERLINK("http://sipi.sic.gov.co/sipi/View.ashx?3908898","SD2022/0011050")</f>
        <v>SD2022/0011050</v>
      </c>
      <c r="B50" s="2" t="s">
        <v>241</v>
      </c>
      <c r="C50" s="7" t="s">
        <v>35</v>
      </c>
      <c r="D50" s="2" t="s">
        <v>216</v>
      </c>
      <c r="E50" s="2" t="s">
        <v>35</v>
      </c>
      <c r="F50" s="2" t="s">
        <v>37</v>
      </c>
      <c r="G50" s="2" t="s">
        <v>242</v>
      </c>
      <c r="H50" s="2" t="s">
        <v>243</v>
      </c>
      <c r="I50" s="2" t="s">
        <v>244</v>
      </c>
      <c r="J50" s="2" t="s">
        <v>40</v>
      </c>
      <c r="K50" s="2" t="s">
        <v>245</v>
      </c>
      <c r="L50" s="2" t="s">
        <v>55</v>
      </c>
      <c r="M50" s="2" t="s">
        <v>246</v>
      </c>
      <c r="N50" s="2" t="s">
        <v>35</v>
      </c>
      <c r="O50" s="2" t="s">
        <v>205</v>
      </c>
      <c r="P50" s="2" t="s">
        <v>35</v>
      </c>
      <c r="Q50" s="2" t="s">
        <v>35</v>
      </c>
    </row>
    <row r="51" spans="1:17" ht="187.2">
      <c r="A51" s="8" t="str">
        <f>HYPERLINK("http://sipi.sic.gov.co/sipi/View.ashx?3910713","SD2022/0011343")</f>
        <v>SD2022/0011343</v>
      </c>
      <c r="B51" s="2" t="s">
        <v>247</v>
      </c>
      <c r="C51" s="7" t="s">
        <v>35</v>
      </c>
      <c r="D51" s="2" t="s">
        <v>248</v>
      </c>
      <c r="E51" s="2" t="s">
        <v>35</v>
      </c>
      <c r="F51" s="2" t="s">
        <v>37</v>
      </c>
      <c r="G51" s="2" t="s">
        <v>35</v>
      </c>
      <c r="H51" s="2" t="s">
        <v>249</v>
      </c>
      <c r="I51" s="2" t="s">
        <v>250</v>
      </c>
      <c r="J51" s="2" t="s">
        <v>40</v>
      </c>
      <c r="K51" s="2" t="s">
        <v>251</v>
      </c>
      <c r="L51" s="2" t="s">
        <v>42</v>
      </c>
      <c r="M51" s="2" t="s">
        <v>252</v>
      </c>
      <c r="N51" s="2" t="s">
        <v>35</v>
      </c>
      <c r="O51" s="2" t="s">
        <v>43</v>
      </c>
      <c r="P51" s="2" t="s">
        <v>35</v>
      </c>
      <c r="Q51" s="2" t="s">
        <v>35</v>
      </c>
    </row>
    <row r="52" spans="1:17" ht="129.6">
      <c r="A52" s="8" t="str">
        <f>HYPERLINK("http://sipi.sic.gov.co/sipi/View.ashx?3911002","SD2022/0011404")</f>
        <v>SD2022/0011404</v>
      </c>
      <c r="B52" s="2" t="s">
        <v>253</v>
      </c>
      <c r="C52" s="7" t="s">
        <v>35</v>
      </c>
      <c r="D52" s="2" t="s">
        <v>248</v>
      </c>
      <c r="E52" s="2" t="s">
        <v>35</v>
      </c>
      <c r="F52" s="2" t="s">
        <v>37</v>
      </c>
      <c r="G52" s="2" t="s">
        <v>254</v>
      </c>
      <c r="H52" s="2" t="s">
        <v>255</v>
      </c>
      <c r="I52" s="2" t="s">
        <v>12</v>
      </c>
      <c r="J52" s="2" t="s">
        <v>40</v>
      </c>
      <c r="K52" s="2" t="s">
        <v>256</v>
      </c>
      <c r="L52" s="2" t="s">
        <v>42</v>
      </c>
      <c r="M52" s="2" t="s">
        <v>257</v>
      </c>
      <c r="N52" s="2" t="s">
        <v>35</v>
      </c>
      <c r="O52" s="2" t="s">
        <v>258</v>
      </c>
      <c r="P52" s="2" t="s">
        <v>35</v>
      </c>
      <c r="Q52" s="2" t="s">
        <v>35</v>
      </c>
    </row>
    <row r="53" spans="1:17" ht="172.8">
      <c r="A53" s="8" t="str">
        <f>HYPERLINK("http://sipi.sic.gov.co/sipi/View.ashx?3911266","SD2022/0011458")</f>
        <v>SD2022/0011458</v>
      </c>
      <c r="B53" s="2" t="s">
        <v>259</v>
      </c>
      <c r="C53" s="2" t="s">
        <v>35</v>
      </c>
      <c r="D53" s="2" t="s">
        <v>248</v>
      </c>
      <c r="E53" s="2" t="s">
        <v>35</v>
      </c>
      <c r="F53" s="2" t="s">
        <v>37</v>
      </c>
      <c r="G53" s="2" t="s">
        <v>35</v>
      </c>
      <c r="H53" s="2" t="s">
        <v>260</v>
      </c>
      <c r="I53" s="2" t="s">
        <v>12</v>
      </c>
      <c r="J53" s="2" t="s">
        <v>40</v>
      </c>
      <c r="K53" s="2" t="s">
        <v>261</v>
      </c>
      <c r="L53" s="2" t="s">
        <v>55</v>
      </c>
      <c r="M53" s="2" t="s">
        <v>179</v>
      </c>
      <c r="N53" s="2" t="s">
        <v>35</v>
      </c>
      <c r="O53" s="2" t="s">
        <v>43</v>
      </c>
      <c r="P53" s="2" t="s">
        <v>35</v>
      </c>
      <c r="Q53" s="2" t="s">
        <v>35</v>
      </c>
    </row>
    <row r="54" spans="1:17" ht="129.6">
      <c r="A54" s="8" t="str">
        <f>HYPERLINK("http://sipi.sic.gov.co/sipi/View.ashx?3911808","SD2022/0016367")</f>
        <v>SD2022/0016367</v>
      </c>
      <c r="B54" s="2" t="s">
        <v>262</v>
      </c>
      <c r="C54" s="7" t="s">
        <v>35</v>
      </c>
      <c r="D54" s="2" t="s">
        <v>263</v>
      </c>
      <c r="E54" s="2" t="s">
        <v>35</v>
      </c>
      <c r="F54" s="2" t="s">
        <v>37</v>
      </c>
      <c r="G54" s="2" t="s">
        <v>262</v>
      </c>
      <c r="H54" s="2" t="s">
        <v>264</v>
      </c>
      <c r="I54" s="2" t="s">
        <v>12</v>
      </c>
      <c r="J54" s="2" t="s">
        <v>40</v>
      </c>
      <c r="K54" s="2" t="s">
        <v>265</v>
      </c>
      <c r="L54" s="2" t="s">
        <v>42</v>
      </c>
      <c r="M54" s="2" t="s">
        <v>266</v>
      </c>
      <c r="N54" s="2" t="s">
        <v>35</v>
      </c>
      <c r="O54" s="2" t="s">
        <v>43</v>
      </c>
      <c r="P54" s="2" t="s">
        <v>35</v>
      </c>
      <c r="Q54" s="2" t="s">
        <v>35</v>
      </c>
    </row>
    <row r="55" spans="1:17" ht="129.6">
      <c r="A55" s="8" t="str">
        <f>HYPERLINK("http://sipi.sic.gov.co/sipi/View.ashx?3911821","SD2022/0016353")</f>
        <v>SD2022/0016353</v>
      </c>
      <c r="B55" s="2" t="s">
        <v>267</v>
      </c>
      <c r="C55" s="7" t="s">
        <v>35</v>
      </c>
      <c r="D55" s="2" t="s">
        <v>263</v>
      </c>
      <c r="E55" s="2" t="s">
        <v>35</v>
      </c>
      <c r="F55" s="2" t="s">
        <v>37</v>
      </c>
      <c r="G55" s="2" t="s">
        <v>267</v>
      </c>
      <c r="H55" s="2" t="s">
        <v>264</v>
      </c>
      <c r="I55" s="2" t="s">
        <v>12</v>
      </c>
      <c r="J55" s="2" t="s">
        <v>40</v>
      </c>
      <c r="K55" s="2" t="s">
        <v>265</v>
      </c>
      <c r="L55" s="2" t="s">
        <v>42</v>
      </c>
      <c r="M55" s="2" t="s">
        <v>266</v>
      </c>
      <c r="N55" s="2" t="s">
        <v>35</v>
      </c>
      <c r="O55" s="2" t="s">
        <v>268</v>
      </c>
      <c r="P55" s="2" t="s">
        <v>35</v>
      </c>
      <c r="Q55" s="2" t="s">
        <v>35</v>
      </c>
    </row>
    <row r="56" spans="1:17" ht="129.6">
      <c r="A56" s="8" t="str">
        <f>HYPERLINK("http://sipi.sic.gov.co/sipi/View.ashx?3911834","SD2022/0013952")</f>
        <v>SD2022/0013952</v>
      </c>
      <c r="B56" s="2" t="s">
        <v>269</v>
      </c>
      <c r="C56" s="7" t="s">
        <v>35</v>
      </c>
      <c r="D56" s="2" t="s">
        <v>270</v>
      </c>
      <c r="E56" s="2" t="s">
        <v>35</v>
      </c>
      <c r="F56" s="2" t="s">
        <v>37</v>
      </c>
      <c r="G56" s="2" t="s">
        <v>269</v>
      </c>
      <c r="H56" s="2" t="s">
        <v>264</v>
      </c>
      <c r="I56" s="2" t="s">
        <v>12</v>
      </c>
      <c r="J56" s="2" t="s">
        <v>40</v>
      </c>
      <c r="K56" s="2" t="s">
        <v>265</v>
      </c>
      <c r="L56" s="2" t="s">
        <v>55</v>
      </c>
      <c r="M56" s="2" t="s">
        <v>266</v>
      </c>
      <c r="N56" s="2" t="s">
        <v>35</v>
      </c>
      <c r="O56" s="2" t="s">
        <v>43</v>
      </c>
      <c r="P56" s="2" t="s">
        <v>35</v>
      </c>
      <c r="Q56" s="2" t="s">
        <v>35</v>
      </c>
    </row>
    <row r="57" spans="1:17" ht="129.6">
      <c r="A57" s="8" t="str">
        <f>HYPERLINK("http://sipi.sic.gov.co/sipi/View.ashx?3911843","SD2022/0013948")</f>
        <v>SD2022/0013948</v>
      </c>
      <c r="B57" s="2" t="s">
        <v>271</v>
      </c>
      <c r="C57" s="7" t="s">
        <v>35</v>
      </c>
      <c r="D57" s="2" t="s">
        <v>270</v>
      </c>
      <c r="E57" s="2" t="s">
        <v>35</v>
      </c>
      <c r="F57" s="2" t="s">
        <v>37</v>
      </c>
      <c r="G57" s="2" t="s">
        <v>271</v>
      </c>
      <c r="H57" s="2" t="s">
        <v>264</v>
      </c>
      <c r="I57" s="2" t="s">
        <v>12</v>
      </c>
      <c r="J57" s="2" t="s">
        <v>40</v>
      </c>
      <c r="K57" s="2" t="s">
        <v>265</v>
      </c>
      <c r="L57" s="2" t="s">
        <v>55</v>
      </c>
      <c r="M57" s="2" t="s">
        <v>266</v>
      </c>
      <c r="N57" s="2" t="s">
        <v>35</v>
      </c>
      <c r="O57" s="2" t="s">
        <v>43</v>
      </c>
      <c r="P57" s="2" t="s">
        <v>35</v>
      </c>
      <c r="Q57" s="2" t="s">
        <v>35</v>
      </c>
    </row>
    <row r="58" spans="1:17" ht="129.6">
      <c r="A58" s="8" t="str">
        <f>HYPERLINK("http://sipi.sic.gov.co/sipi/View.ashx?3911883","SD2022/0013933")</f>
        <v>SD2022/0013933</v>
      </c>
      <c r="B58" s="2" t="s">
        <v>272</v>
      </c>
      <c r="C58" s="7" t="s">
        <v>35</v>
      </c>
      <c r="D58" s="2" t="s">
        <v>270</v>
      </c>
      <c r="E58" s="2" t="s">
        <v>35</v>
      </c>
      <c r="F58" s="2" t="s">
        <v>37</v>
      </c>
      <c r="G58" s="2" t="s">
        <v>272</v>
      </c>
      <c r="H58" s="2" t="s">
        <v>264</v>
      </c>
      <c r="I58" s="2" t="s">
        <v>12</v>
      </c>
      <c r="J58" s="2" t="s">
        <v>40</v>
      </c>
      <c r="K58" s="2" t="s">
        <v>265</v>
      </c>
      <c r="L58" s="2" t="s">
        <v>42</v>
      </c>
      <c r="M58" s="2" t="s">
        <v>266</v>
      </c>
      <c r="N58" s="2" t="s">
        <v>35</v>
      </c>
      <c r="O58" s="2" t="s">
        <v>43</v>
      </c>
      <c r="P58" s="2" t="s">
        <v>35</v>
      </c>
      <c r="Q58" s="2" t="s">
        <v>35</v>
      </c>
    </row>
    <row r="59" spans="1:17" ht="129.6">
      <c r="A59" s="8" t="str">
        <f>HYPERLINK("http://sipi.sic.gov.co/sipi/View.ashx?3914398","SD2022/0013308")</f>
        <v>SD2022/0013308</v>
      </c>
      <c r="B59" s="2" t="s">
        <v>273</v>
      </c>
      <c r="C59" s="7" t="s">
        <v>35</v>
      </c>
      <c r="D59" s="2" t="s">
        <v>274</v>
      </c>
      <c r="E59" s="2" t="s">
        <v>35</v>
      </c>
      <c r="F59" s="2" t="s">
        <v>37</v>
      </c>
      <c r="G59" s="2" t="s">
        <v>275</v>
      </c>
      <c r="H59" s="2" t="s">
        <v>276</v>
      </c>
      <c r="I59" s="2" t="s">
        <v>12</v>
      </c>
      <c r="J59" s="2" t="s">
        <v>40</v>
      </c>
      <c r="K59" s="2" t="s">
        <v>277</v>
      </c>
      <c r="L59" s="2" t="s">
        <v>42</v>
      </c>
      <c r="M59" s="2" t="s">
        <v>128</v>
      </c>
      <c r="N59" s="2" t="s">
        <v>35</v>
      </c>
      <c r="O59" s="2" t="s">
        <v>49</v>
      </c>
      <c r="P59" s="2" t="s">
        <v>35</v>
      </c>
      <c r="Q59" s="2" t="s">
        <v>35</v>
      </c>
    </row>
    <row r="60" spans="1:17" ht="187.2">
      <c r="A60" s="8" t="str">
        <f>HYPERLINK("http://sipi.sic.gov.co/sipi/View.ashx?3914432","SD2022/0016503")</f>
        <v>SD2022/0016503</v>
      </c>
      <c r="B60" s="2" t="s">
        <v>278</v>
      </c>
      <c r="C60" s="7" t="s">
        <v>35</v>
      </c>
      <c r="D60" s="2" t="s">
        <v>263</v>
      </c>
      <c r="E60" s="2" t="s">
        <v>35</v>
      </c>
      <c r="F60" s="2" t="s">
        <v>37</v>
      </c>
      <c r="G60" s="2" t="s">
        <v>35</v>
      </c>
      <c r="H60" s="2" t="s">
        <v>279</v>
      </c>
      <c r="I60" s="2" t="s">
        <v>12</v>
      </c>
      <c r="J60" s="2" t="s">
        <v>40</v>
      </c>
      <c r="K60" s="2" t="s">
        <v>280</v>
      </c>
      <c r="L60" s="2" t="s">
        <v>42</v>
      </c>
      <c r="M60" s="2" t="s">
        <v>281</v>
      </c>
      <c r="N60" s="2" t="s">
        <v>35</v>
      </c>
      <c r="O60" s="2" t="s">
        <v>57</v>
      </c>
      <c r="P60" s="2" t="s">
        <v>35</v>
      </c>
      <c r="Q60" s="2" t="s">
        <v>35</v>
      </c>
    </row>
    <row r="61" spans="1:17" ht="115.2">
      <c r="A61" s="8" t="str">
        <f>HYPERLINK("http://sipi.sic.gov.co/sipi/View.ashx?3916266","SD2022/0012699")</f>
        <v>SD2022/0012699</v>
      </c>
      <c r="B61" s="2" t="s">
        <v>282</v>
      </c>
      <c r="C61" s="2" t="s">
        <v>35</v>
      </c>
      <c r="D61" s="2" t="s">
        <v>283</v>
      </c>
      <c r="E61" s="2" t="s">
        <v>35</v>
      </c>
      <c r="F61" s="2" t="s">
        <v>37</v>
      </c>
      <c r="G61" s="2" t="s">
        <v>284</v>
      </c>
      <c r="H61" s="2" t="s">
        <v>285</v>
      </c>
      <c r="I61" s="2" t="s">
        <v>12</v>
      </c>
      <c r="J61" s="2" t="s">
        <v>40</v>
      </c>
      <c r="K61" s="2" t="s">
        <v>286</v>
      </c>
      <c r="L61" s="2" t="s">
        <v>42</v>
      </c>
      <c r="M61" s="2" t="s">
        <v>287</v>
      </c>
      <c r="N61" s="2" t="s">
        <v>35</v>
      </c>
      <c r="O61" s="2" t="s">
        <v>43</v>
      </c>
      <c r="P61" s="2" t="s">
        <v>35</v>
      </c>
      <c r="Q61" s="2" t="s">
        <v>35</v>
      </c>
    </row>
    <row r="62" spans="1:17" ht="115.2">
      <c r="A62" s="8" t="str">
        <f>HYPERLINK("http://sipi.sic.gov.co/sipi/View.ashx?3916324","SD2022/0012692")</f>
        <v>SD2022/0012692</v>
      </c>
      <c r="B62" s="2" t="s">
        <v>288</v>
      </c>
      <c r="C62" s="2" t="s">
        <v>35</v>
      </c>
      <c r="D62" s="2" t="s">
        <v>283</v>
      </c>
      <c r="E62" s="2" t="s">
        <v>35</v>
      </c>
      <c r="F62" s="2" t="s">
        <v>37</v>
      </c>
      <c r="G62" s="2" t="s">
        <v>35</v>
      </c>
      <c r="H62" s="2" t="s">
        <v>289</v>
      </c>
      <c r="I62" s="2" t="s">
        <v>12</v>
      </c>
      <c r="J62" s="2" t="s">
        <v>40</v>
      </c>
      <c r="K62" s="2" t="s">
        <v>41</v>
      </c>
      <c r="L62" s="2" t="s">
        <v>42</v>
      </c>
      <c r="M62" s="2" t="s">
        <v>290</v>
      </c>
      <c r="N62" s="2" t="s">
        <v>35</v>
      </c>
      <c r="O62" s="2" t="s">
        <v>43</v>
      </c>
      <c r="P62" s="2" t="s">
        <v>35</v>
      </c>
      <c r="Q62" s="2" t="s">
        <v>35</v>
      </c>
    </row>
    <row r="63" spans="1:17" ht="144">
      <c r="A63" s="8" t="str">
        <f>HYPERLINK("http://sipi.sic.gov.co/sipi/View.ashx?3917661","SD2022/0012884")</f>
        <v>SD2022/0012884</v>
      </c>
      <c r="B63" s="2" t="s">
        <v>291</v>
      </c>
      <c r="C63" s="2" t="s">
        <v>35</v>
      </c>
      <c r="D63" s="2" t="s">
        <v>292</v>
      </c>
      <c r="E63" s="2" t="s">
        <v>35</v>
      </c>
      <c r="F63" s="2" t="s">
        <v>37</v>
      </c>
      <c r="G63" s="2" t="s">
        <v>291</v>
      </c>
      <c r="H63" s="2" t="s">
        <v>293</v>
      </c>
      <c r="I63" s="2" t="s">
        <v>12</v>
      </c>
      <c r="J63" s="2" t="s">
        <v>40</v>
      </c>
      <c r="K63" s="2" t="s">
        <v>41</v>
      </c>
      <c r="L63" s="2" t="s">
        <v>55</v>
      </c>
      <c r="M63" s="2" t="s">
        <v>294</v>
      </c>
      <c r="N63" s="2" t="s">
        <v>35</v>
      </c>
      <c r="O63" s="2" t="s">
        <v>74</v>
      </c>
      <c r="P63" s="2" t="s">
        <v>35</v>
      </c>
      <c r="Q63" s="2" t="s">
        <v>35</v>
      </c>
    </row>
    <row r="64" spans="1:17" ht="144">
      <c r="A64" s="8" t="str">
        <f>HYPERLINK("http://sipi.sic.gov.co/sipi/View.ashx?3918359","SD2022/0012969")</f>
        <v>SD2022/0012969</v>
      </c>
      <c r="B64" s="2" t="s">
        <v>295</v>
      </c>
      <c r="C64" s="2" t="s">
        <v>35</v>
      </c>
      <c r="D64" s="2" t="s">
        <v>274</v>
      </c>
      <c r="E64" s="2" t="s">
        <v>35</v>
      </c>
      <c r="F64" s="2" t="s">
        <v>37</v>
      </c>
      <c r="G64" s="2" t="s">
        <v>295</v>
      </c>
      <c r="H64" s="2" t="s">
        <v>296</v>
      </c>
      <c r="I64" s="2" t="s">
        <v>12</v>
      </c>
      <c r="J64" s="2" t="s">
        <v>40</v>
      </c>
      <c r="K64" s="2" t="s">
        <v>297</v>
      </c>
      <c r="L64" s="2" t="s">
        <v>42</v>
      </c>
      <c r="M64" s="2" t="s">
        <v>298</v>
      </c>
      <c r="N64" s="2" t="s">
        <v>35</v>
      </c>
      <c r="O64" s="2" t="s">
        <v>205</v>
      </c>
      <c r="P64" s="2" t="s">
        <v>35</v>
      </c>
      <c r="Q64" s="2" t="s">
        <v>35</v>
      </c>
    </row>
    <row r="65" spans="1:17" ht="86.4">
      <c r="A65" s="8" t="str">
        <f>HYPERLINK("http://sipi.sic.gov.co/sipi/View.ashx?3918690","SD2022/0013034")</f>
        <v>SD2022/0013034</v>
      </c>
      <c r="B65" s="2" t="s">
        <v>299</v>
      </c>
      <c r="C65" s="7" t="s">
        <v>35</v>
      </c>
      <c r="D65" s="2" t="s">
        <v>274</v>
      </c>
      <c r="E65" s="2" t="s">
        <v>35</v>
      </c>
      <c r="F65" s="2" t="s">
        <v>37</v>
      </c>
      <c r="G65" s="2" t="s">
        <v>299</v>
      </c>
      <c r="H65" s="2" t="s">
        <v>300</v>
      </c>
      <c r="I65" s="2" t="s">
        <v>12</v>
      </c>
      <c r="J65" s="2" t="s">
        <v>40</v>
      </c>
      <c r="K65" s="2" t="s">
        <v>301</v>
      </c>
      <c r="L65" s="2" t="s">
        <v>42</v>
      </c>
      <c r="M65" s="2" t="s">
        <v>35</v>
      </c>
      <c r="N65" s="2" t="s">
        <v>35</v>
      </c>
      <c r="O65" s="2" t="s">
        <v>43</v>
      </c>
      <c r="P65" s="2" t="s">
        <v>35</v>
      </c>
      <c r="Q65" s="2" t="s">
        <v>35</v>
      </c>
    </row>
    <row r="66" spans="1:17" ht="76.8">
      <c r="A66" s="8" t="str">
        <f>HYPERLINK("http://sipi.sic.gov.co/sipi/View.ashx?3919065","SD2022/0013136")</f>
        <v>SD2022/0013136</v>
      </c>
      <c r="B66" s="2" t="s">
        <v>302</v>
      </c>
      <c r="C66" s="7" t="s">
        <v>35</v>
      </c>
      <c r="D66" s="2" t="s">
        <v>274</v>
      </c>
      <c r="E66" s="2" t="s">
        <v>35</v>
      </c>
      <c r="F66" s="2" t="s">
        <v>37</v>
      </c>
      <c r="G66" s="2" t="s">
        <v>35</v>
      </c>
      <c r="H66" s="2" t="s">
        <v>303</v>
      </c>
      <c r="I66" s="2" t="s">
        <v>304</v>
      </c>
      <c r="J66" s="2" t="s">
        <v>40</v>
      </c>
      <c r="K66" s="2" t="s">
        <v>305</v>
      </c>
      <c r="L66" s="2" t="s">
        <v>55</v>
      </c>
      <c r="M66" s="2" t="s">
        <v>35</v>
      </c>
      <c r="N66" s="2" t="s">
        <v>35</v>
      </c>
      <c r="O66" s="2" t="s">
        <v>57</v>
      </c>
      <c r="P66" s="2" t="s">
        <v>35</v>
      </c>
      <c r="Q66" s="2" t="s">
        <v>35</v>
      </c>
    </row>
    <row r="67" spans="1:17" ht="115.2">
      <c r="A67" s="8" t="str">
        <f>HYPERLINK("http://sipi.sic.gov.co/sipi/View.ashx?3920311","SD2022/0013840")</f>
        <v>SD2022/0013840</v>
      </c>
      <c r="B67" s="2" t="s">
        <v>306</v>
      </c>
      <c r="C67" s="7" t="s">
        <v>35</v>
      </c>
      <c r="D67" s="2" t="s">
        <v>270</v>
      </c>
      <c r="E67" s="2" t="s">
        <v>35</v>
      </c>
      <c r="F67" s="2" t="s">
        <v>37</v>
      </c>
      <c r="G67" s="2" t="s">
        <v>307</v>
      </c>
      <c r="H67" s="2" t="s">
        <v>308</v>
      </c>
      <c r="I67" s="2" t="s">
        <v>12</v>
      </c>
      <c r="J67" s="2" t="s">
        <v>40</v>
      </c>
      <c r="K67" s="2" t="s">
        <v>309</v>
      </c>
      <c r="L67" s="2" t="s">
        <v>42</v>
      </c>
      <c r="M67" s="2" t="s">
        <v>204</v>
      </c>
      <c r="N67" s="2" t="s">
        <v>35</v>
      </c>
      <c r="O67" s="2" t="s">
        <v>49</v>
      </c>
      <c r="P67" s="2" t="s">
        <v>35</v>
      </c>
      <c r="Q67" s="2" t="s">
        <v>35</v>
      </c>
    </row>
    <row r="68" spans="1:17" ht="129.6">
      <c r="A68" s="8" t="str">
        <f>HYPERLINK("http://sipi.sic.gov.co/sipi/View.ashx?3920832","SD2022/0013467")</f>
        <v>SD2022/0013467</v>
      </c>
      <c r="B68" s="2" t="s">
        <v>310</v>
      </c>
      <c r="C68" s="2" t="s">
        <v>35</v>
      </c>
      <c r="D68" s="2" t="s">
        <v>311</v>
      </c>
      <c r="E68" s="2" t="s">
        <v>35</v>
      </c>
      <c r="F68" s="2" t="s">
        <v>37</v>
      </c>
      <c r="G68" s="2" t="s">
        <v>312</v>
      </c>
      <c r="H68" s="2" t="s">
        <v>313</v>
      </c>
      <c r="I68" s="2" t="s">
        <v>12</v>
      </c>
      <c r="J68" s="2" t="s">
        <v>40</v>
      </c>
      <c r="K68" s="2" t="s">
        <v>314</v>
      </c>
      <c r="L68" s="2" t="s">
        <v>42</v>
      </c>
      <c r="M68" s="2" t="s">
        <v>257</v>
      </c>
      <c r="N68" s="2" t="s">
        <v>35</v>
      </c>
      <c r="O68" s="2" t="s">
        <v>57</v>
      </c>
      <c r="P68" s="2" t="s">
        <v>35</v>
      </c>
      <c r="Q68" s="2" t="s">
        <v>35</v>
      </c>
    </row>
    <row r="69" spans="1:17" ht="129.6">
      <c r="A69" s="8" t="str">
        <f>HYPERLINK("http://sipi.sic.gov.co/sipi/View.ashx?3921534","SD2022/0013610")</f>
        <v>SD2022/0013610</v>
      </c>
      <c r="B69" s="2" t="s">
        <v>315</v>
      </c>
      <c r="C69" s="2" t="s">
        <v>35</v>
      </c>
      <c r="D69" s="2" t="s">
        <v>311</v>
      </c>
      <c r="E69" s="2" t="s">
        <v>35</v>
      </c>
      <c r="F69" s="2" t="s">
        <v>37</v>
      </c>
      <c r="G69" s="2" t="s">
        <v>316</v>
      </c>
      <c r="H69" s="2" t="s">
        <v>317</v>
      </c>
      <c r="I69" s="2" t="s">
        <v>12</v>
      </c>
      <c r="J69" s="2" t="s">
        <v>40</v>
      </c>
      <c r="K69" s="2" t="s">
        <v>318</v>
      </c>
      <c r="L69" s="2" t="s">
        <v>42</v>
      </c>
      <c r="M69" s="2" t="s">
        <v>319</v>
      </c>
      <c r="N69" s="2" t="s">
        <v>35</v>
      </c>
      <c r="O69" s="2" t="s">
        <v>156</v>
      </c>
      <c r="P69" s="2" t="s">
        <v>35</v>
      </c>
      <c r="Q69" s="2" t="s">
        <v>35</v>
      </c>
    </row>
    <row r="70" spans="1:17" ht="129.6">
      <c r="A70" s="8" t="str">
        <f>HYPERLINK("http://sipi.sic.gov.co/sipi/View.ashx?3921647","SD2022/0013646")</f>
        <v>SD2022/0013646</v>
      </c>
      <c r="B70" s="2" t="s">
        <v>320</v>
      </c>
      <c r="C70" s="2" t="s">
        <v>35</v>
      </c>
      <c r="D70" s="2" t="s">
        <v>311</v>
      </c>
      <c r="E70" s="2" t="s">
        <v>35</v>
      </c>
      <c r="F70" s="2" t="s">
        <v>37</v>
      </c>
      <c r="G70" s="2" t="s">
        <v>321</v>
      </c>
      <c r="H70" s="2" t="s">
        <v>317</v>
      </c>
      <c r="I70" s="2" t="s">
        <v>12</v>
      </c>
      <c r="J70" s="2" t="s">
        <v>40</v>
      </c>
      <c r="K70" s="2" t="s">
        <v>318</v>
      </c>
      <c r="L70" s="2" t="s">
        <v>42</v>
      </c>
      <c r="M70" s="2" t="s">
        <v>319</v>
      </c>
      <c r="N70" s="2" t="s">
        <v>35</v>
      </c>
      <c r="O70" s="2" t="s">
        <v>74</v>
      </c>
      <c r="P70" s="2" t="s">
        <v>35</v>
      </c>
      <c r="Q70" s="2" t="s">
        <v>35</v>
      </c>
    </row>
    <row r="71" spans="1:17" ht="129.6">
      <c r="A71" s="8" t="str">
        <f>HYPERLINK("http://sipi.sic.gov.co/sipi/View.ashx?3921734","SD2022/0013676")</f>
        <v>SD2022/0013676</v>
      </c>
      <c r="B71" s="2" t="s">
        <v>322</v>
      </c>
      <c r="C71" s="2" t="s">
        <v>35</v>
      </c>
      <c r="D71" s="2" t="s">
        <v>311</v>
      </c>
      <c r="E71" s="2" t="s">
        <v>35</v>
      </c>
      <c r="F71" s="2" t="s">
        <v>37</v>
      </c>
      <c r="G71" s="2" t="s">
        <v>323</v>
      </c>
      <c r="H71" s="2" t="s">
        <v>317</v>
      </c>
      <c r="I71" s="2" t="s">
        <v>12</v>
      </c>
      <c r="J71" s="2" t="s">
        <v>40</v>
      </c>
      <c r="K71" s="2" t="s">
        <v>318</v>
      </c>
      <c r="L71" s="2" t="s">
        <v>42</v>
      </c>
      <c r="M71" s="2" t="s">
        <v>319</v>
      </c>
      <c r="N71" s="2" t="s">
        <v>35</v>
      </c>
      <c r="O71" s="2" t="s">
        <v>49</v>
      </c>
      <c r="P71" s="2" t="s">
        <v>35</v>
      </c>
      <c r="Q71" s="2" t="s">
        <v>35</v>
      </c>
    </row>
    <row r="72" spans="1:17" ht="129.6">
      <c r="A72" s="8" t="str">
        <f>HYPERLINK("http://sipi.sic.gov.co/sipi/View.ashx?3921842","SD2022/0013705")</f>
        <v>SD2022/0013705</v>
      </c>
      <c r="B72" s="2" t="s">
        <v>324</v>
      </c>
      <c r="C72" s="7" t="s">
        <v>35</v>
      </c>
      <c r="D72" s="2" t="s">
        <v>311</v>
      </c>
      <c r="E72" s="2" t="s">
        <v>35</v>
      </c>
      <c r="F72" s="2" t="s">
        <v>37</v>
      </c>
      <c r="G72" s="2" t="s">
        <v>35</v>
      </c>
      <c r="H72" s="2" t="s">
        <v>325</v>
      </c>
      <c r="I72" s="2" t="s">
        <v>12</v>
      </c>
      <c r="J72" s="2" t="s">
        <v>40</v>
      </c>
      <c r="K72" s="2" t="s">
        <v>326</v>
      </c>
      <c r="L72" s="2" t="s">
        <v>42</v>
      </c>
      <c r="M72" s="2" t="s">
        <v>327</v>
      </c>
      <c r="N72" s="2" t="s">
        <v>35</v>
      </c>
      <c r="O72" s="2" t="s">
        <v>129</v>
      </c>
      <c r="P72" s="2" t="s">
        <v>35</v>
      </c>
      <c r="Q72" s="2" t="s">
        <v>35</v>
      </c>
    </row>
    <row r="73" spans="1:17" ht="144">
      <c r="A73" s="8" t="str">
        <f>HYPERLINK("http://sipi.sic.gov.co/sipi/View.ashx?3923059","SD2022/0013922")</f>
        <v>SD2022/0013922</v>
      </c>
      <c r="B73" s="2" t="s">
        <v>328</v>
      </c>
      <c r="C73" s="7" t="s">
        <v>35</v>
      </c>
      <c r="D73" s="2" t="s">
        <v>270</v>
      </c>
      <c r="E73" s="2" t="s">
        <v>35</v>
      </c>
      <c r="F73" s="2" t="s">
        <v>37</v>
      </c>
      <c r="G73" s="2" t="s">
        <v>329</v>
      </c>
      <c r="H73" s="2" t="s">
        <v>330</v>
      </c>
      <c r="I73" s="2" t="s">
        <v>12</v>
      </c>
      <c r="J73" s="2" t="s">
        <v>40</v>
      </c>
      <c r="K73" s="2" t="s">
        <v>331</v>
      </c>
      <c r="L73" s="2" t="s">
        <v>42</v>
      </c>
      <c r="M73" s="2" t="s">
        <v>332</v>
      </c>
      <c r="N73" s="2" t="s">
        <v>35</v>
      </c>
      <c r="O73" s="2" t="s">
        <v>129</v>
      </c>
      <c r="P73" s="2" t="s">
        <v>35</v>
      </c>
      <c r="Q73" s="2" t="s">
        <v>35</v>
      </c>
    </row>
    <row r="74" spans="1:17" ht="115.2">
      <c r="A74" s="8" t="str">
        <f>HYPERLINK("http://sipi.sic.gov.co/sipi/View.ashx?3923706","SD2022/0014061")</f>
        <v>SD2022/0014061</v>
      </c>
      <c r="B74" s="2" t="s">
        <v>333</v>
      </c>
      <c r="C74" s="7" t="s">
        <v>35</v>
      </c>
      <c r="D74" s="2" t="s">
        <v>270</v>
      </c>
      <c r="E74" s="2" t="s">
        <v>35</v>
      </c>
      <c r="F74" s="2" t="s">
        <v>37</v>
      </c>
      <c r="G74" s="2" t="s">
        <v>35</v>
      </c>
      <c r="H74" s="2" t="s">
        <v>334</v>
      </c>
      <c r="I74" s="2" t="s">
        <v>12</v>
      </c>
      <c r="J74" s="2" t="s">
        <v>40</v>
      </c>
      <c r="K74" s="2" t="s">
        <v>41</v>
      </c>
      <c r="L74" s="2" t="s">
        <v>55</v>
      </c>
      <c r="M74" s="2" t="s">
        <v>335</v>
      </c>
      <c r="N74" s="2" t="s">
        <v>35</v>
      </c>
      <c r="O74" s="2" t="s">
        <v>123</v>
      </c>
      <c r="P74" s="2" t="s">
        <v>35</v>
      </c>
      <c r="Q74" s="2" t="s">
        <v>35</v>
      </c>
    </row>
    <row r="75" spans="1:17" ht="115.2">
      <c r="A75" s="8" t="str">
        <f>HYPERLINK("http://sipi.sic.gov.co/sipi/View.ashx?3923847","SD2022/0014098")</f>
        <v>SD2022/0014098</v>
      </c>
      <c r="B75" s="2" t="s">
        <v>336</v>
      </c>
      <c r="C75" s="2" t="s">
        <v>35</v>
      </c>
      <c r="D75" s="2" t="s">
        <v>270</v>
      </c>
      <c r="E75" s="2" t="s">
        <v>35</v>
      </c>
      <c r="F75" s="2" t="s">
        <v>37</v>
      </c>
      <c r="G75" s="2" t="s">
        <v>337</v>
      </c>
      <c r="H75" s="2" t="s">
        <v>338</v>
      </c>
      <c r="I75" s="2" t="s">
        <v>12</v>
      </c>
      <c r="J75" s="2" t="s">
        <v>40</v>
      </c>
      <c r="K75" s="2" t="s">
        <v>339</v>
      </c>
      <c r="L75" s="2" t="s">
        <v>42</v>
      </c>
      <c r="M75" s="2" t="s">
        <v>287</v>
      </c>
      <c r="N75" s="2" t="s">
        <v>35</v>
      </c>
      <c r="O75" s="2" t="s">
        <v>49</v>
      </c>
      <c r="P75" s="2" t="s">
        <v>35</v>
      </c>
      <c r="Q75" s="2" t="s">
        <v>35</v>
      </c>
    </row>
    <row r="76" spans="1:17" ht="115.2">
      <c r="A76" s="8" t="str">
        <f>HYPERLINK("http://sipi.sic.gov.co/sipi/View.ashx?3928362","SD2022/0015309")</f>
        <v>SD2022/0015309</v>
      </c>
      <c r="B76" s="2" t="s">
        <v>340</v>
      </c>
      <c r="C76" s="7" t="s">
        <v>35</v>
      </c>
      <c r="D76" s="2" t="s">
        <v>237</v>
      </c>
      <c r="E76" s="2" t="s">
        <v>35</v>
      </c>
      <c r="F76" s="2" t="s">
        <v>37</v>
      </c>
      <c r="G76" s="2" t="s">
        <v>35</v>
      </c>
      <c r="H76" s="2" t="s">
        <v>341</v>
      </c>
      <c r="I76" s="2" t="s">
        <v>12</v>
      </c>
      <c r="J76" s="2" t="s">
        <v>40</v>
      </c>
      <c r="K76" s="2" t="s">
        <v>342</v>
      </c>
      <c r="L76" s="2" t="s">
        <v>55</v>
      </c>
      <c r="M76" s="2" t="s">
        <v>343</v>
      </c>
      <c r="N76" s="2" t="s">
        <v>35</v>
      </c>
      <c r="O76" s="2" t="s">
        <v>344</v>
      </c>
      <c r="P76" s="2" t="s">
        <v>35</v>
      </c>
      <c r="Q76" s="2" t="s">
        <v>35</v>
      </c>
    </row>
    <row r="77" spans="1:17" ht="409.6">
      <c r="A77" s="8" t="str">
        <f>HYPERLINK("http://sipi.sic.gov.co/sipi/View.ashx?3929622","SD2022/0015571")</f>
        <v>SD2022/0015571</v>
      </c>
      <c r="B77" s="2" t="s">
        <v>345</v>
      </c>
      <c r="C77" s="7" t="s">
        <v>35</v>
      </c>
      <c r="D77" s="2" t="s">
        <v>346</v>
      </c>
      <c r="E77" s="2" t="s">
        <v>35</v>
      </c>
      <c r="F77" s="2" t="s">
        <v>37</v>
      </c>
      <c r="G77" s="2" t="s">
        <v>345</v>
      </c>
      <c r="H77" s="2" t="s">
        <v>347</v>
      </c>
      <c r="I77" s="2" t="s">
        <v>61</v>
      </c>
      <c r="J77" s="2" t="s">
        <v>40</v>
      </c>
      <c r="K77" s="2" t="s">
        <v>62</v>
      </c>
      <c r="L77" s="2" t="s">
        <v>42</v>
      </c>
      <c r="M77" s="2" t="s">
        <v>63</v>
      </c>
      <c r="N77" s="2" t="s">
        <v>35</v>
      </c>
      <c r="O77" s="2" t="s">
        <v>205</v>
      </c>
      <c r="P77" s="2" t="s">
        <v>35</v>
      </c>
      <c r="Q77" s="2" t="s">
        <v>35</v>
      </c>
    </row>
    <row r="78" spans="1:17" ht="158.4">
      <c r="A78" s="8" t="str">
        <f>HYPERLINK("http://sipi.sic.gov.co/sipi/View.ashx?3931561","SD2022/0015963")</f>
        <v>SD2022/0015963</v>
      </c>
      <c r="B78" s="2" t="s">
        <v>348</v>
      </c>
      <c r="C78" s="7" t="s">
        <v>35</v>
      </c>
      <c r="D78" s="2" t="s">
        <v>349</v>
      </c>
      <c r="E78" s="2" t="s">
        <v>35</v>
      </c>
      <c r="F78" s="2" t="s">
        <v>37</v>
      </c>
      <c r="G78" s="2" t="s">
        <v>35</v>
      </c>
      <c r="H78" s="2" t="s">
        <v>350</v>
      </c>
      <c r="I78" s="2" t="s">
        <v>12</v>
      </c>
      <c r="J78" s="2" t="s">
        <v>40</v>
      </c>
      <c r="K78" s="2" t="s">
        <v>351</v>
      </c>
      <c r="L78" s="2" t="s">
        <v>42</v>
      </c>
      <c r="M78" s="2" t="s">
        <v>290</v>
      </c>
      <c r="N78" s="2" t="s">
        <v>35</v>
      </c>
      <c r="O78" s="2" t="s">
        <v>49</v>
      </c>
      <c r="P78" s="2" t="s">
        <v>35</v>
      </c>
      <c r="Q78" s="2" t="s">
        <v>35</v>
      </c>
    </row>
    <row r="79" spans="1:17" ht="158.4">
      <c r="A79" s="8" t="str">
        <f>HYPERLINK("http://sipi.sic.gov.co/sipi/View.ashx?3931861","SD2022/0016010")</f>
        <v>SD2022/0016010</v>
      </c>
      <c r="B79" s="2" t="s">
        <v>352</v>
      </c>
      <c r="C79" s="7" t="s">
        <v>35</v>
      </c>
      <c r="D79" s="2" t="s">
        <v>349</v>
      </c>
      <c r="E79" s="2" t="s">
        <v>35</v>
      </c>
      <c r="F79" s="2" t="s">
        <v>37</v>
      </c>
      <c r="G79" s="2" t="s">
        <v>35</v>
      </c>
      <c r="H79" s="2" t="s">
        <v>350</v>
      </c>
      <c r="I79" s="2" t="s">
        <v>12</v>
      </c>
      <c r="J79" s="2" t="s">
        <v>40</v>
      </c>
      <c r="K79" s="2" t="s">
        <v>351</v>
      </c>
      <c r="L79" s="2" t="s">
        <v>55</v>
      </c>
      <c r="M79" s="2" t="s">
        <v>290</v>
      </c>
      <c r="N79" s="2" t="s">
        <v>35</v>
      </c>
      <c r="O79" s="2" t="s">
        <v>205</v>
      </c>
      <c r="P79" s="2" t="s">
        <v>35</v>
      </c>
      <c r="Q79" s="2" t="s">
        <v>35</v>
      </c>
    </row>
    <row r="80" spans="1:17" ht="409.6">
      <c r="A80" s="8" t="str">
        <f>HYPERLINK("http://sipi.sic.gov.co/sipi/View.ashx?3931886","SD2022/0016477")</f>
        <v>SD2022/0016477</v>
      </c>
      <c r="B80" s="2" t="s">
        <v>353</v>
      </c>
      <c r="C80" s="7" t="s">
        <v>35</v>
      </c>
      <c r="D80" s="2" t="s">
        <v>263</v>
      </c>
      <c r="E80" s="2" t="s">
        <v>35</v>
      </c>
      <c r="F80" s="2" t="s">
        <v>37</v>
      </c>
      <c r="G80" s="2" t="s">
        <v>354</v>
      </c>
      <c r="H80" s="2" t="s">
        <v>355</v>
      </c>
      <c r="I80" s="2" t="s">
        <v>356</v>
      </c>
      <c r="J80" s="2" t="s">
        <v>40</v>
      </c>
      <c r="K80" s="2" t="s">
        <v>357</v>
      </c>
      <c r="L80" s="2" t="s">
        <v>55</v>
      </c>
      <c r="M80" s="2" t="s">
        <v>358</v>
      </c>
      <c r="N80" s="2" t="s">
        <v>35</v>
      </c>
      <c r="O80" s="2" t="s">
        <v>359</v>
      </c>
      <c r="P80" s="2" t="s">
        <v>35</v>
      </c>
      <c r="Q80" s="2" t="s">
        <v>35</v>
      </c>
    </row>
    <row r="81" spans="1:17" ht="129.6">
      <c r="A81" s="8" t="str">
        <f>HYPERLINK("http://sipi.sic.gov.co/sipi/View.ashx?3933619","SD2022/0016323")</f>
        <v>SD2022/0016323</v>
      </c>
      <c r="B81" s="2" t="s">
        <v>360</v>
      </c>
      <c r="C81" s="7" t="s">
        <v>35</v>
      </c>
      <c r="D81" s="2" t="s">
        <v>263</v>
      </c>
      <c r="E81" s="2" t="s">
        <v>35</v>
      </c>
      <c r="F81" s="2" t="s">
        <v>37</v>
      </c>
      <c r="G81" s="2" t="s">
        <v>361</v>
      </c>
      <c r="H81" s="2" t="s">
        <v>362</v>
      </c>
      <c r="I81" s="2" t="s">
        <v>12</v>
      </c>
      <c r="J81" s="2" t="s">
        <v>40</v>
      </c>
      <c r="K81" s="2" t="s">
        <v>363</v>
      </c>
      <c r="L81" s="2" t="s">
        <v>42</v>
      </c>
      <c r="M81" s="2" t="s">
        <v>364</v>
      </c>
      <c r="N81" s="2" t="s">
        <v>35</v>
      </c>
      <c r="O81" s="2" t="s">
        <v>43</v>
      </c>
      <c r="P81" s="2" t="s">
        <v>35</v>
      </c>
      <c r="Q81" s="2" t="s">
        <v>35</v>
      </c>
    </row>
    <row r="82" spans="1:17" ht="129.6">
      <c r="A82" s="8" t="str">
        <f>HYPERLINK("http://sipi.sic.gov.co/sipi/View.ashx?3933781","SD2022/0016361")</f>
        <v>SD2022/0016361</v>
      </c>
      <c r="B82" s="2" t="s">
        <v>365</v>
      </c>
      <c r="C82" s="7" t="s">
        <v>35</v>
      </c>
      <c r="D82" s="2" t="s">
        <v>263</v>
      </c>
      <c r="E82" s="2" t="s">
        <v>35</v>
      </c>
      <c r="F82" s="2" t="s">
        <v>37</v>
      </c>
      <c r="G82" s="2" t="s">
        <v>366</v>
      </c>
      <c r="H82" s="2" t="s">
        <v>264</v>
      </c>
      <c r="I82" s="2" t="s">
        <v>12</v>
      </c>
      <c r="J82" s="2" t="s">
        <v>40</v>
      </c>
      <c r="K82" s="2" t="s">
        <v>265</v>
      </c>
      <c r="L82" s="2" t="s">
        <v>42</v>
      </c>
      <c r="M82" s="2" t="s">
        <v>266</v>
      </c>
      <c r="N82" s="2" t="s">
        <v>35</v>
      </c>
      <c r="O82" s="2" t="s">
        <v>43</v>
      </c>
      <c r="P82" s="2" t="s">
        <v>35</v>
      </c>
      <c r="Q82" s="2" t="s">
        <v>35</v>
      </c>
    </row>
    <row r="83" spans="1:17" ht="129.6">
      <c r="A83" s="8" t="str">
        <f>HYPERLINK("http://sipi.sic.gov.co/sipi/View.ashx?3935298","SD2022/0016666")</f>
        <v>SD2022/0016666</v>
      </c>
      <c r="B83" s="2" t="s">
        <v>367</v>
      </c>
      <c r="C83" s="2" t="s">
        <v>35</v>
      </c>
      <c r="D83" s="2" t="s">
        <v>368</v>
      </c>
      <c r="E83" s="2" t="s">
        <v>35</v>
      </c>
      <c r="F83" s="2" t="s">
        <v>37</v>
      </c>
      <c r="G83" s="2" t="s">
        <v>35</v>
      </c>
      <c r="H83" s="2" t="s">
        <v>369</v>
      </c>
      <c r="I83" s="2" t="s">
        <v>12</v>
      </c>
      <c r="J83" s="2" t="s">
        <v>40</v>
      </c>
      <c r="K83" s="2" t="s">
        <v>370</v>
      </c>
      <c r="L83" s="2" t="s">
        <v>42</v>
      </c>
      <c r="M83" s="2" t="s">
        <v>371</v>
      </c>
      <c r="N83" s="2" t="s">
        <v>35</v>
      </c>
      <c r="O83" s="2" t="s">
        <v>49</v>
      </c>
      <c r="P83" s="2" t="s">
        <v>35</v>
      </c>
      <c r="Q83" s="2" t="s">
        <v>35</v>
      </c>
    </row>
    <row r="84" spans="1:17" ht="187.2">
      <c r="A84" s="8" t="str">
        <f>HYPERLINK("http://sipi.sic.gov.co/sipi/View.ashx?3936447","SD2022/0016966")</f>
        <v>SD2022/0016966</v>
      </c>
      <c r="B84" s="2" t="s">
        <v>372</v>
      </c>
      <c r="C84" s="7" t="s">
        <v>35</v>
      </c>
      <c r="D84" s="2" t="s">
        <v>373</v>
      </c>
      <c r="E84" s="2" t="s">
        <v>35</v>
      </c>
      <c r="F84" s="2" t="s">
        <v>37</v>
      </c>
      <c r="G84" s="2" t="s">
        <v>374</v>
      </c>
      <c r="H84" s="2" t="s">
        <v>375</v>
      </c>
      <c r="I84" s="2" t="s">
        <v>61</v>
      </c>
      <c r="J84" s="2" t="s">
        <v>40</v>
      </c>
      <c r="K84" s="2" t="s">
        <v>376</v>
      </c>
      <c r="L84" s="2" t="s">
        <v>42</v>
      </c>
      <c r="M84" s="2" t="s">
        <v>35</v>
      </c>
      <c r="N84" s="2" t="s">
        <v>35</v>
      </c>
      <c r="O84" s="2" t="s">
        <v>258</v>
      </c>
      <c r="P84" s="2" t="s">
        <v>35</v>
      </c>
      <c r="Q84" s="2" t="s">
        <v>35</v>
      </c>
    </row>
    <row r="85" spans="1:17" ht="144">
      <c r="A85" s="8" t="str">
        <f>HYPERLINK("http://sipi.sic.gov.co/sipi/View.ashx?4044476","SD2022/0017293")</f>
        <v>SD2022/0017293</v>
      </c>
      <c r="B85" s="2" t="s">
        <v>377</v>
      </c>
      <c r="C85" s="2" t="s">
        <v>35</v>
      </c>
      <c r="D85" s="2" t="s">
        <v>378</v>
      </c>
      <c r="E85" s="2" t="s">
        <v>35</v>
      </c>
      <c r="F85" s="2" t="s">
        <v>37</v>
      </c>
      <c r="G85" s="2" t="s">
        <v>377</v>
      </c>
      <c r="H85" s="2" t="s">
        <v>379</v>
      </c>
      <c r="I85" s="2" t="s">
        <v>12</v>
      </c>
      <c r="J85" s="2" t="s">
        <v>40</v>
      </c>
      <c r="K85" s="2" t="s">
        <v>380</v>
      </c>
      <c r="L85" s="2" t="s">
        <v>42</v>
      </c>
      <c r="M85" s="2" t="s">
        <v>381</v>
      </c>
      <c r="N85" s="2" t="s">
        <v>35</v>
      </c>
      <c r="O85" s="2" t="s">
        <v>49</v>
      </c>
      <c r="P85" s="2" t="s">
        <v>35</v>
      </c>
      <c r="Q85" s="2" t="s">
        <v>35</v>
      </c>
    </row>
    <row r="86" spans="1:17" ht="144">
      <c r="A86" s="8" t="str">
        <f>HYPERLINK("http://sipi.sic.gov.co/sipi/View.ashx?4044516","SD2022/0017300")</f>
        <v>SD2022/0017300</v>
      </c>
      <c r="B86" s="2" t="s">
        <v>382</v>
      </c>
      <c r="C86" s="2" t="s">
        <v>35</v>
      </c>
      <c r="D86" s="2" t="s">
        <v>378</v>
      </c>
      <c r="E86" s="2" t="s">
        <v>35</v>
      </c>
      <c r="F86" s="2" t="s">
        <v>37</v>
      </c>
      <c r="G86" s="2" t="s">
        <v>382</v>
      </c>
      <c r="H86" s="2" t="s">
        <v>379</v>
      </c>
      <c r="I86" s="2" t="s">
        <v>12</v>
      </c>
      <c r="J86" s="2" t="s">
        <v>40</v>
      </c>
      <c r="K86" s="2" t="s">
        <v>380</v>
      </c>
      <c r="L86" s="2" t="s">
        <v>42</v>
      </c>
      <c r="M86" s="2" t="s">
        <v>381</v>
      </c>
      <c r="N86" s="2" t="s">
        <v>35</v>
      </c>
      <c r="O86" s="2" t="s">
        <v>129</v>
      </c>
      <c r="P86" s="2" t="s">
        <v>35</v>
      </c>
      <c r="Q86" s="2" t="s">
        <v>35</v>
      </c>
    </row>
    <row r="87" spans="1:17" ht="115.2">
      <c r="A87" s="8" t="str">
        <f>HYPERLINK("http://sipi.sic.gov.co/sipi/View.ashx?4044886","SD2022/0017399")</f>
        <v>SD2022/0017399</v>
      </c>
      <c r="B87" s="2" t="s">
        <v>383</v>
      </c>
      <c r="C87" s="2" t="s">
        <v>35</v>
      </c>
      <c r="D87" s="2" t="s">
        <v>378</v>
      </c>
      <c r="E87" s="2" t="s">
        <v>35</v>
      </c>
      <c r="F87" s="2" t="s">
        <v>37</v>
      </c>
      <c r="G87" s="2" t="s">
        <v>384</v>
      </c>
      <c r="H87" s="2" t="s">
        <v>385</v>
      </c>
      <c r="I87" s="2" t="s">
        <v>12</v>
      </c>
      <c r="J87" s="2" t="s">
        <v>40</v>
      </c>
      <c r="K87" s="2" t="s">
        <v>386</v>
      </c>
      <c r="L87" s="2" t="s">
        <v>42</v>
      </c>
      <c r="M87" s="2" t="s">
        <v>387</v>
      </c>
      <c r="N87" s="2" t="s">
        <v>35</v>
      </c>
      <c r="O87" s="2" t="s">
        <v>129</v>
      </c>
      <c r="P87" s="2" t="s">
        <v>35</v>
      </c>
      <c r="Q87" s="2" t="s">
        <v>35</v>
      </c>
    </row>
    <row r="88" spans="1:17" ht="76.8">
      <c r="A88" s="8" t="str">
        <f>HYPERLINK("http://sipi.sic.gov.co/sipi/View.ashx?4047139","SD2022/0017909")</f>
        <v>SD2022/0017909</v>
      </c>
      <c r="B88" s="2" t="s">
        <v>388</v>
      </c>
      <c r="C88" s="7" t="s">
        <v>35</v>
      </c>
      <c r="D88" s="2" t="s">
        <v>389</v>
      </c>
      <c r="E88" s="2" t="s">
        <v>35</v>
      </c>
      <c r="F88" s="2" t="s">
        <v>37</v>
      </c>
      <c r="G88" s="2" t="s">
        <v>35</v>
      </c>
      <c r="H88" s="2" t="s">
        <v>390</v>
      </c>
      <c r="I88" s="2" t="s">
        <v>12</v>
      </c>
      <c r="J88" s="2" t="s">
        <v>40</v>
      </c>
      <c r="K88" s="2" t="s">
        <v>391</v>
      </c>
      <c r="L88" s="2" t="s">
        <v>42</v>
      </c>
      <c r="M88" s="2" t="s">
        <v>35</v>
      </c>
      <c r="N88" s="2" t="s">
        <v>35</v>
      </c>
      <c r="O88" s="2" t="s">
        <v>49</v>
      </c>
      <c r="P88" s="2" t="s">
        <v>35</v>
      </c>
      <c r="Q88" s="2" t="s">
        <v>35</v>
      </c>
    </row>
    <row r="89" spans="1:17" ht="72">
      <c r="A89" s="8" t="str">
        <f>HYPERLINK("http://sipi.sic.gov.co/sipi/View.ashx?4048502","SD2022/0018228")</f>
        <v>SD2022/0018228</v>
      </c>
      <c r="B89" s="2" t="s">
        <v>392</v>
      </c>
      <c r="C89" s="2" t="s">
        <v>35</v>
      </c>
      <c r="D89" s="2" t="s">
        <v>393</v>
      </c>
      <c r="E89" s="2" t="s">
        <v>35</v>
      </c>
      <c r="F89" s="2" t="s">
        <v>37</v>
      </c>
      <c r="G89" s="2" t="s">
        <v>392</v>
      </c>
      <c r="H89" s="2" t="s">
        <v>394</v>
      </c>
      <c r="I89" s="2" t="s">
        <v>12</v>
      </c>
      <c r="J89" s="2" t="s">
        <v>40</v>
      </c>
      <c r="K89" s="2" t="s">
        <v>395</v>
      </c>
      <c r="L89" s="2" t="s">
        <v>42</v>
      </c>
      <c r="M89" s="2" t="s">
        <v>35</v>
      </c>
      <c r="N89" s="2" t="s">
        <v>35</v>
      </c>
      <c r="O89" s="2" t="s">
        <v>57</v>
      </c>
      <c r="P89" s="2" t="s">
        <v>35</v>
      </c>
      <c r="Q89" s="2" t="s">
        <v>35</v>
      </c>
    </row>
    <row r="90" spans="1:17" ht="129.6">
      <c r="A90" s="8" t="str">
        <f>HYPERLINK("http://sipi.sic.gov.co/sipi/View.ashx?4050580","SD2022/0018581")</f>
        <v>SD2022/0018581</v>
      </c>
      <c r="B90" s="2" t="s">
        <v>396</v>
      </c>
      <c r="C90" s="2" t="s">
        <v>35</v>
      </c>
      <c r="D90" s="2" t="s">
        <v>43</v>
      </c>
      <c r="E90" s="2" t="s">
        <v>35</v>
      </c>
      <c r="F90" s="2" t="s">
        <v>37</v>
      </c>
      <c r="G90" s="2" t="s">
        <v>396</v>
      </c>
      <c r="H90" s="2" t="s">
        <v>397</v>
      </c>
      <c r="I90" s="2" t="s">
        <v>12</v>
      </c>
      <c r="J90" s="2" t="s">
        <v>40</v>
      </c>
      <c r="K90" s="2" t="s">
        <v>398</v>
      </c>
      <c r="L90" s="2" t="s">
        <v>42</v>
      </c>
      <c r="M90" s="2" t="s">
        <v>399</v>
      </c>
      <c r="N90" s="2" t="s">
        <v>35</v>
      </c>
      <c r="O90" s="2" t="s">
        <v>57</v>
      </c>
      <c r="P90" s="2" t="s">
        <v>400</v>
      </c>
      <c r="Q90" s="2" t="s">
        <v>35</v>
      </c>
    </row>
    <row r="91" spans="1:17" ht="409.6">
      <c r="A91" s="8" t="str">
        <f>HYPERLINK("http://sipi.sic.gov.co/sipi/View.ashx?4051449","SD2022/0018812")</f>
        <v>SD2022/0018812</v>
      </c>
      <c r="B91" s="2" t="s">
        <v>401</v>
      </c>
      <c r="C91" s="2" t="s">
        <v>35</v>
      </c>
      <c r="D91" s="2" t="s">
        <v>43</v>
      </c>
      <c r="E91" s="2" t="s">
        <v>35</v>
      </c>
      <c r="F91" s="2" t="s">
        <v>37</v>
      </c>
      <c r="G91" s="2" t="s">
        <v>35</v>
      </c>
      <c r="H91" s="2" t="s">
        <v>402</v>
      </c>
      <c r="I91" s="2" t="s">
        <v>403</v>
      </c>
      <c r="J91" s="2" t="s">
        <v>40</v>
      </c>
      <c r="K91" s="2" t="s">
        <v>404</v>
      </c>
      <c r="L91" s="2" t="s">
        <v>55</v>
      </c>
      <c r="M91" s="2" t="s">
        <v>35</v>
      </c>
      <c r="N91" s="2" t="s">
        <v>35</v>
      </c>
      <c r="O91" s="2" t="s">
        <v>129</v>
      </c>
      <c r="P91" s="2" t="s">
        <v>35</v>
      </c>
      <c r="Q91" s="2" t="s">
        <v>35</v>
      </c>
    </row>
    <row r="92" spans="1:17" ht="129.6">
      <c r="A92" s="8" t="str">
        <f>HYPERLINK("http://sipi.sic.gov.co/sipi/View.ashx?4053050","SD2022/0019181")</f>
        <v>SD2022/0019181</v>
      </c>
      <c r="B92" s="2" t="s">
        <v>405</v>
      </c>
      <c r="C92" s="2" t="s">
        <v>35</v>
      </c>
      <c r="D92" s="2" t="s">
        <v>389</v>
      </c>
      <c r="E92" s="2" t="s">
        <v>35</v>
      </c>
      <c r="F92" s="2" t="s">
        <v>37</v>
      </c>
      <c r="G92" s="2" t="s">
        <v>406</v>
      </c>
      <c r="H92" s="2" t="s">
        <v>407</v>
      </c>
      <c r="I92" s="2" t="s">
        <v>12</v>
      </c>
      <c r="J92" s="2" t="s">
        <v>40</v>
      </c>
      <c r="K92" s="2" t="s">
        <v>408</v>
      </c>
      <c r="L92" s="2" t="s">
        <v>42</v>
      </c>
      <c r="M92" s="2" t="s">
        <v>409</v>
      </c>
      <c r="N92" s="2" t="s">
        <v>35</v>
      </c>
      <c r="O92" s="2" t="s">
        <v>205</v>
      </c>
      <c r="P92" s="2" t="s">
        <v>35</v>
      </c>
      <c r="Q92" s="2" t="s">
        <v>35</v>
      </c>
    </row>
    <row r="93" spans="1:17" ht="129.6">
      <c r="A93" s="8" t="str">
        <f>HYPERLINK("http://sipi.sic.gov.co/sipi/View.ashx?4053099","SD2022/0019189")</f>
        <v>SD2022/0019189</v>
      </c>
      <c r="B93" s="2" t="s">
        <v>410</v>
      </c>
      <c r="C93" s="2" t="s">
        <v>35</v>
      </c>
      <c r="D93" s="2" t="s">
        <v>389</v>
      </c>
      <c r="E93" s="2" t="s">
        <v>35</v>
      </c>
      <c r="F93" s="2" t="s">
        <v>37</v>
      </c>
      <c r="G93" s="2" t="s">
        <v>411</v>
      </c>
      <c r="H93" s="2" t="s">
        <v>407</v>
      </c>
      <c r="I93" s="2" t="s">
        <v>12</v>
      </c>
      <c r="J93" s="2" t="s">
        <v>40</v>
      </c>
      <c r="K93" s="2" t="s">
        <v>104</v>
      </c>
      <c r="L93" s="2" t="s">
        <v>55</v>
      </c>
      <c r="M93" s="2" t="s">
        <v>409</v>
      </c>
      <c r="N93" s="2" t="s">
        <v>35</v>
      </c>
      <c r="O93" s="2" t="s">
        <v>205</v>
      </c>
      <c r="P93" s="2" t="s">
        <v>35</v>
      </c>
      <c r="Q93" s="2" t="s">
        <v>35</v>
      </c>
    </row>
    <row r="94" spans="1:17" ht="129.6">
      <c r="A94" s="8" t="str">
        <f>HYPERLINK("http://sipi.sic.gov.co/sipi/View.ashx?4053308","SD2022/0019573")</f>
        <v>SD2022/0019573</v>
      </c>
      <c r="B94" s="2" t="s">
        <v>412</v>
      </c>
      <c r="C94" s="2" t="s">
        <v>35</v>
      </c>
      <c r="D94" s="2" t="s">
        <v>413</v>
      </c>
      <c r="E94" s="2" t="s">
        <v>35</v>
      </c>
      <c r="F94" s="2" t="s">
        <v>37</v>
      </c>
      <c r="G94" s="2" t="s">
        <v>414</v>
      </c>
      <c r="H94" s="2" t="s">
        <v>415</v>
      </c>
      <c r="I94" s="2" t="s">
        <v>12</v>
      </c>
      <c r="J94" s="2" t="s">
        <v>40</v>
      </c>
      <c r="K94" s="2" t="s">
        <v>416</v>
      </c>
      <c r="L94" s="2" t="s">
        <v>42</v>
      </c>
      <c r="M94" s="2" t="s">
        <v>417</v>
      </c>
      <c r="N94" s="2" t="s">
        <v>35</v>
      </c>
      <c r="O94" s="2" t="s">
        <v>49</v>
      </c>
      <c r="P94" s="2" t="s">
        <v>35</v>
      </c>
      <c r="Q94" s="2" t="s">
        <v>35</v>
      </c>
    </row>
    <row r="95" spans="1:17" ht="144">
      <c r="A95" s="8" t="str">
        <f>HYPERLINK("http://sipi.sic.gov.co/sipi/View.ashx?4053457","SD2022/0019621")</f>
        <v>SD2022/0019621</v>
      </c>
      <c r="B95" s="2" t="s">
        <v>418</v>
      </c>
      <c r="C95" s="2" t="s">
        <v>35</v>
      </c>
      <c r="D95" s="2" t="s">
        <v>413</v>
      </c>
      <c r="E95" s="2" t="s">
        <v>35</v>
      </c>
      <c r="F95" s="2" t="s">
        <v>37</v>
      </c>
      <c r="G95" s="2" t="s">
        <v>35</v>
      </c>
      <c r="H95" s="2" t="s">
        <v>419</v>
      </c>
      <c r="I95" s="2" t="s">
        <v>12</v>
      </c>
      <c r="J95" s="2" t="s">
        <v>40</v>
      </c>
      <c r="K95" s="2" t="s">
        <v>420</v>
      </c>
      <c r="L95" s="2" t="s">
        <v>42</v>
      </c>
      <c r="M95" s="2" t="s">
        <v>139</v>
      </c>
      <c r="N95" s="2" t="s">
        <v>35</v>
      </c>
      <c r="O95" s="2" t="s">
        <v>74</v>
      </c>
      <c r="P95" s="2" t="s">
        <v>35</v>
      </c>
      <c r="Q95" s="2" t="s">
        <v>35</v>
      </c>
    </row>
    <row r="96" spans="1:17" ht="144">
      <c r="A96" s="8" t="str">
        <f>HYPERLINK("http://sipi.sic.gov.co/sipi/View.ashx?4054279","SD2022/0019670")</f>
        <v>SD2022/0019670</v>
      </c>
      <c r="B96" s="2" t="s">
        <v>421</v>
      </c>
      <c r="C96" s="2" t="s">
        <v>35</v>
      </c>
      <c r="D96" s="2" t="s">
        <v>413</v>
      </c>
      <c r="E96" s="2" t="s">
        <v>35</v>
      </c>
      <c r="F96" s="2" t="s">
        <v>37</v>
      </c>
      <c r="G96" s="2" t="s">
        <v>35</v>
      </c>
      <c r="H96" s="2" t="s">
        <v>419</v>
      </c>
      <c r="I96" s="2" t="s">
        <v>12</v>
      </c>
      <c r="J96" s="2" t="s">
        <v>40</v>
      </c>
      <c r="K96" s="2" t="s">
        <v>420</v>
      </c>
      <c r="L96" s="2" t="s">
        <v>42</v>
      </c>
      <c r="M96" s="2" t="s">
        <v>139</v>
      </c>
      <c r="N96" s="2" t="s">
        <v>35</v>
      </c>
      <c r="O96" s="2" t="s">
        <v>49</v>
      </c>
      <c r="P96" s="2" t="s">
        <v>35</v>
      </c>
      <c r="Q96" s="2" t="s">
        <v>35</v>
      </c>
    </row>
    <row r="97" spans="1:17" ht="144">
      <c r="A97" s="8" t="str">
        <f>HYPERLINK("http://sipi.sic.gov.co/sipi/View.ashx?4055141","SD2022/0019625")</f>
        <v>SD2022/0019625</v>
      </c>
      <c r="B97" s="2" t="s">
        <v>422</v>
      </c>
      <c r="C97" s="2" t="s">
        <v>35</v>
      </c>
      <c r="D97" s="2" t="s">
        <v>413</v>
      </c>
      <c r="E97" s="2" t="s">
        <v>35</v>
      </c>
      <c r="F97" s="2" t="s">
        <v>37</v>
      </c>
      <c r="G97" s="2" t="s">
        <v>35</v>
      </c>
      <c r="H97" s="2" t="s">
        <v>419</v>
      </c>
      <c r="I97" s="2" t="s">
        <v>12</v>
      </c>
      <c r="J97" s="2" t="s">
        <v>40</v>
      </c>
      <c r="K97" s="2" t="s">
        <v>420</v>
      </c>
      <c r="L97" s="2" t="s">
        <v>42</v>
      </c>
      <c r="M97" s="2" t="s">
        <v>139</v>
      </c>
      <c r="N97" s="2" t="s">
        <v>35</v>
      </c>
      <c r="O97" s="2" t="s">
        <v>74</v>
      </c>
      <c r="P97" s="2" t="s">
        <v>35</v>
      </c>
      <c r="Q97" s="2" t="s">
        <v>35</v>
      </c>
    </row>
    <row r="98" spans="1:17" ht="144">
      <c r="A98" s="8" t="str">
        <f>HYPERLINK("http://sipi.sic.gov.co/sipi/View.ashx?4060616","SD2022/0021577")</f>
        <v>SD2022/0021577</v>
      </c>
      <c r="B98" s="2" t="s">
        <v>423</v>
      </c>
      <c r="C98" s="7" t="s">
        <v>35</v>
      </c>
      <c r="D98" s="2" t="s">
        <v>424</v>
      </c>
      <c r="E98" s="2" t="s">
        <v>35</v>
      </c>
      <c r="F98" s="2" t="s">
        <v>37</v>
      </c>
      <c r="G98" s="2" t="s">
        <v>425</v>
      </c>
      <c r="H98" s="2" t="s">
        <v>426</v>
      </c>
      <c r="I98" s="2" t="s">
        <v>12</v>
      </c>
      <c r="J98" s="2" t="s">
        <v>40</v>
      </c>
      <c r="K98" s="2" t="s">
        <v>41</v>
      </c>
      <c r="L98" s="2" t="s">
        <v>55</v>
      </c>
      <c r="M98" s="2" t="s">
        <v>427</v>
      </c>
      <c r="N98" s="2" t="s">
        <v>35</v>
      </c>
      <c r="O98" s="2" t="s">
        <v>74</v>
      </c>
      <c r="P98" s="2" t="s">
        <v>35</v>
      </c>
      <c r="Q98" s="2" t="s">
        <v>35</v>
      </c>
    </row>
    <row r="99" spans="1:17" ht="259.2">
      <c r="A99" s="8" t="str">
        <f>HYPERLINK("http://sipi.sic.gov.co/sipi/View.ashx?4061245","SD2022/0021400")</f>
        <v>SD2022/0021400</v>
      </c>
      <c r="B99" s="2" t="s">
        <v>428</v>
      </c>
      <c r="C99" s="7" t="s">
        <v>35</v>
      </c>
      <c r="D99" s="2" t="s">
        <v>429</v>
      </c>
      <c r="E99" s="2" t="s">
        <v>35</v>
      </c>
      <c r="F99" s="2" t="s">
        <v>37</v>
      </c>
      <c r="G99" s="2" t="s">
        <v>428</v>
      </c>
      <c r="H99" s="2" t="s">
        <v>430</v>
      </c>
      <c r="I99" s="2" t="s">
        <v>12</v>
      </c>
      <c r="J99" s="2" t="s">
        <v>40</v>
      </c>
      <c r="K99" s="2" t="s">
        <v>431</v>
      </c>
      <c r="L99" s="2" t="s">
        <v>55</v>
      </c>
      <c r="M99" s="2" t="s">
        <v>432</v>
      </c>
      <c r="N99" s="2" t="s">
        <v>35</v>
      </c>
      <c r="O99" s="2" t="s">
        <v>258</v>
      </c>
      <c r="P99" s="2" t="s">
        <v>35</v>
      </c>
      <c r="Q99" s="2" t="s">
        <v>35</v>
      </c>
    </row>
    <row r="100" spans="1:17" ht="115.2">
      <c r="A100" s="8" t="str">
        <f>HYPERLINK("http://sipi.sic.gov.co/sipi/View.ashx?4063175","SD2022/0021957")</f>
        <v>SD2022/0021957</v>
      </c>
      <c r="B100" s="2" t="s">
        <v>433</v>
      </c>
      <c r="C100" s="7" t="s">
        <v>35</v>
      </c>
      <c r="D100" s="2" t="s">
        <v>424</v>
      </c>
      <c r="E100" s="2" t="s">
        <v>35</v>
      </c>
      <c r="F100" s="2" t="s">
        <v>37</v>
      </c>
      <c r="G100" s="2" t="s">
        <v>433</v>
      </c>
      <c r="H100" s="2" t="s">
        <v>434</v>
      </c>
      <c r="I100" s="2" t="s">
        <v>12</v>
      </c>
      <c r="J100" s="2" t="s">
        <v>40</v>
      </c>
      <c r="K100" s="2" t="s">
        <v>104</v>
      </c>
      <c r="L100" s="2" t="s">
        <v>55</v>
      </c>
      <c r="M100" s="2" t="s">
        <v>435</v>
      </c>
      <c r="N100" s="2" t="s">
        <v>35</v>
      </c>
      <c r="O100" s="2" t="s">
        <v>129</v>
      </c>
      <c r="P100" s="2" t="s">
        <v>35</v>
      </c>
      <c r="Q100" s="2" t="s">
        <v>35</v>
      </c>
    </row>
    <row r="101" spans="1:17" ht="100.8">
      <c r="A101" s="8" t="str">
        <f>HYPERLINK("http://sipi.sic.gov.co/sipi/View.ashx?4064656","SD2022/0022117")</f>
        <v>SD2022/0022117</v>
      </c>
      <c r="B101" s="2" t="s">
        <v>436</v>
      </c>
      <c r="C101" s="2" t="s">
        <v>35</v>
      </c>
      <c r="D101" s="2" t="s">
        <v>57</v>
      </c>
      <c r="E101" s="2" t="s">
        <v>35</v>
      </c>
      <c r="F101" s="2" t="s">
        <v>37</v>
      </c>
      <c r="G101" s="2" t="s">
        <v>437</v>
      </c>
      <c r="H101" s="2" t="s">
        <v>438</v>
      </c>
      <c r="I101" s="2" t="s">
        <v>12</v>
      </c>
      <c r="J101" s="2" t="s">
        <v>40</v>
      </c>
      <c r="K101" s="2" t="s">
        <v>439</v>
      </c>
      <c r="L101" s="2" t="s">
        <v>42</v>
      </c>
      <c r="M101" s="2" t="s">
        <v>440</v>
      </c>
      <c r="N101" s="2" t="s">
        <v>35</v>
      </c>
      <c r="O101" s="2" t="s">
        <v>258</v>
      </c>
      <c r="P101" s="2" t="s">
        <v>35</v>
      </c>
      <c r="Q101" s="2" t="s">
        <v>35</v>
      </c>
    </row>
    <row r="102" spans="1:17" ht="409.6">
      <c r="A102" s="8" t="str">
        <f>HYPERLINK("http://sipi.sic.gov.co/sipi/View.ashx?4065654","SD2022/0022323")</f>
        <v>SD2022/0022323</v>
      </c>
      <c r="B102" s="2" t="s">
        <v>441</v>
      </c>
      <c r="C102" s="7" t="s">
        <v>35</v>
      </c>
      <c r="D102" s="2" t="s">
        <v>442</v>
      </c>
      <c r="E102" s="2" t="s">
        <v>35</v>
      </c>
      <c r="F102" s="2" t="s">
        <v>37</v>
      </c>
      <c r="G102" s="2" t="s">
        <v>441</v>
      </c>
      <c r="H102" s="2" t="s">
        <v>443</v>
      </c>
      <c r="I102" s="2" t="s">
        <v>444</v>
      </c>
      <c r="J102" s="2" t="s">
        <v>40</v>
      </c>
      <c r="K102" s="2" t="s">
        <v>445</v>
      </c>
      <c r="L102" s="2" t="s">
        <v>42</v>
      </c>
      <c r="M102" s="2" t="s">
        <v>446</v>
      </c>
      <c r="N102" s="2" t="s">
        <v>35</v>
      </c>
      <c r="O102" s="2" t="s">
        <v>268</v>
      </c>
      <c r="P102" s="2" t="s">
        <v>35</v>
      </c>
      <c r="Q102" s="2" t="s">
        <v>35</v>
      </c>
    </row>
    <row r="103" spans="1:17" ht="129.6">
      <c r="A103" s="8" t="str">
        <f>HYPERLINK("http://sipi.sic.gov.co/sipi/View.ashx?4066797","SD2022/0022631")</f>
        <v>SD2022/0022631</v>
      </c>
      <c r="B103" s="2" t="s">
        <v>447</v>
      </c>
      <c r="C103" s="2" t="s">
        <v>35</v>
      </c>
      <c r="D103" s="2" t="s">
        <v>442</v>
      </c>
      <c r="E103" s="2" t="s">
        <v>35</v>
      </c>
      <c r="F103" s="2" t="s">
        <v>37</v>
      </c>
      <c r="G103" s="2" t="s">
        <v>448</v>
      </c>
      <c r="H103" s="2" t="s">
        <v>449</v>
      </c>
      <c r="I103" s="2" t="s">
        <v>12</v>
      </c>
      <c r="J103" s="2" t="s">
        <v>40</v>
      </c>
      <c r="K103" s="2" t="s">
        <v>450</v>
      </c>
      <c r="L103" s="2" t="s">
        <v>42</v>
      </c>
      <c r="M103" s="2" t="s">
        <v>451</v>
      </c>
      <c r="N103" s="2" t="s">
        <v>35</v>
      </c>
      <c r="O103" s="2" t="s">
        <v>74</v>
      </c>
      <c r="P103" s="2" t="s">
        <v>35</v>
      </c>
      <c r="Q103" s="2" t="s">
        <v>35</v>
      </c>
    </row>
    <row r="104" spans="1:17" ht="129.6">
      <c r="A104" s="8" t="str">
        <f>HYPERLINK("http://sipi.sic.gov.co/sipi/View.ashx?4068121","SD2022/0022888")</f>
        <v>SD2022/0022888</v>
      </c>
      <c r="B104" s="2" t="s">
        <v>452</v>
      </c>
      <c r="C104" s="7" t="s">
        <v>35</v>
      </c>
      <c r="D104" s="2" t="s">
        <v>442</v>
      </c>
      <c r="E104" s="2" t="s">
        <v>35</v>
      </c>
      <c r="F104" s="2" t="s">
        <v>37</v>
      </c>
      <c r="G104" s="2" t="s">
        <v>452</v>
      </c>
      <c r="H104" s="2" t="s">
        <v>430</v>
      </c>
      <c r="I104" s="2" t="s">
        <v>12</v>
      </c>
      <c r="J104" s="2" t="s">
        <v>40</v>
      </c>
      <c r="K104" s="2" t="s">
        <v>453</v>
      </c>
      <c r="L104" s="2" t="s">
        <v>55</v>
      </c>
      <c r="M104" s="2" t="s">
        <v>432</v>
      </c>
      <c r="N104" s="2" t="s">
        <v>35</v>
      </c>
      <c r="O104" s="2" t="s">
        <v>129</v>
      </c>
      <c r="P104" s="2" t="s">
        <v>35</v>
      </c>
      <c r="Q104" s="2" t="s">
        <v>35</v>
      </c>
    </row>
    <row r="105" spans="1:17" ht="86.4">
      <c r="A105" s="8" t="str">
        <f>HYPERLINK("http://sipi.sic.gov.co/sipi/View.ashx?4068734","SD2022/0023110")</f>
        <v>SD2022/0023110</v>
      </c>
      <c r="B105" s="2" t="s">
        <v>454</v>
      </c>
      <c r="C105" s="7" t="s">
        <v>35</v>
      </c>
      <c r="D105" s="2" t="s">
        <v>455</v>
      </c>
      <c r="E105" s="2" t="s">
        <v>35</v>
      </c>
      <c r="F105" s="2" t="s">
        <v>37</v>
      </c>
      <c r="G105" s="2" t="s">
        <v>454</v>
      </c>
      <c r="H105" s="2" t="s">
        <v>456</v>
      </c>
      <c r="I105" s="2" t="s">
        <v>457</v>
      </c>
      <c r="J105" s="2" t="s">
        <v>40</v>
      </c>
      <c r="K105" s="2" t="s">
        <v>458</v>
      </c>
      <c r="L105" s="2" t="s">
        <v>55</v>
      </c>
      <c r="M105" s="2" t="s">
        <v>35</v>
      </c>
      <c r="N105" s="2" t="s">
        <v>35</v>
      </c>
      <c r="O105" s="2" t="s">
        <v>191</v>
      </c>
      <c r="P105" s="2" t="s">
        <v>35</v>
      </c>
      <c r="Q105" s="2" t="s">
        <v>35</v>
      </c>
    </row>
    <row r="106" spans="1:17" ht="244.8">
      <c r="A106" s="8" t="str">
        <f>HYPERLINK("http://sipi.sic.gov.co/sipi/View.ashx?4070234","SD2022/0023500")</f>
        <v>SD2022/0023500</v>
      </c>
      <c r="B106" s="2" t="s">
        <v>459</v>
      </c>
      <c r="C106" s="7" t="s">
        <v>35</v>
      </c>
      <c r="D106" s="2" t="s">
        <v>460</v>
      </c>
      <c r="E106" s="2" t="s">
        <v>35</v>
      </c>
      <c r="F106" s="2" t="s">
        <v>37</v>
      </c>
      <c r="G106" s="2" t="s">
        <v>35</v>
      </c>
      <c r="H106" s="2" t="s">
        <v>461</v>
      </c>
      <c r="I106" s="2" t="s">
        <v>12</v>
      </c>
      <c r="J106" s="2" t="s">
        <v>40</v>
      </c>
      <c r="K106" s="2" t="s">
        <v>462</v>
      </c>
      <c r="L106" s="2" t="s">
        <v>42</v>
      </c>
      <c r="M106" s="2" t="s">
        <v>35</v>
      </c>
      <c r="N106" s="2" t="s">
        <v>35</v>
      </c>
      <c r="O106" s="2" t="s">
        <v>49</v>
      </c>
      <c r="P106" s="2" t="s">
        <v>35</v>
      </c>
      <c r="Q106" s="2" t="s">
        <v>35</v>
      </c>
    </row>
    <row r="107" spans="1:17" ht="144">
      <c r="A107" s="8" t="str">
        <f>HYPERLINK("http://sipi.sic.gov.co/sipi/View.ashx?4073395","SD2022/0024318")</f>
        <v>SD2022/0024318</v>
      </c>
      <c r="B107" s="2" t="s">
        <v>463</v>
      </c>
      <c r="C107" s="7" t="s">
        <v>35</v>
      </c>
      <c r="D107" s="2" t="s">
        <v>455</v>
      </c>
      <c r="E107" s="2" t="s">
        <v>35</v>
      </c>
      <c r="F107" s="2" t="s">
        <v>37</v>
      </c>
      <c r="G107" s="2" t="s">
        <v>464</v>
      </c>
      <c r="H107" s="2" t="s">
        <v>465</v>
      </c>
      <c r="I107" s="2" t="s">
        <v>12</v>
      </c>
      <c r="J107" s="2" t="s">
        <v>40</v>
      </c>
      <c r="K107" s="2" t="s">
        <v>466</v>
      </c>
      <c r="L107" s="2" t="s">
        <v>42</v>
      </c>
      <c r="M107" s="2" t="s">
        <v>110</v>
      </c>
      <c r="N107" s="2" t="s">
        <v>35</v>
      </c>
      <c r="O107" s="2" t="s">
        <v>205</v>
      </c>
      <c r="P107" s="2" t="s">
        <v>35</v>
      </c>
      <c r="Q107" s="2" t="s">
        <v>35</v>
      </c>
    </row>
    <row r="108" spans="1:17" ht="144">
      <c r="A108" s="8" t="str">
        <f>HYPERLINK("http://sipi.sic.gov.co/sipi/View.ashx?4076098","SD2022/0024963")</f>
        <v>SD2022/0024963</v>
      </c>
      <c r="B108" s="2" t="s">
        <v>467</v>
      </c>
      <c r="C108" s="7" t="s">
        <v>35</v>
      </c>
      <c r="D108" s="2" t="s">
        <v>468</v>
      </c>
      <c r="E108" s="2" t="s">
        <v>35</v>
      </c>
      <c r="F108" s="2" t="s">
        <v>37</v>
      </c>
      <c r="G108" s="2" t="s">
        <v>467</v>
      </c>
      <c r="H108" s="2" t="s">
        <v>469</v>
      </c>
      <c r="I108" s="2" t="s">
        <v>61</v>
      </c>
      <c r="J108" s="2" t="s">
        <v>40</v>
      </c>
      <c r="K108" s="2" t="s">
        <v>470</v>
      </c>
      <c r="L108" s="2" t="s">
        <v>42</v>
      </c>
      <c r="M108" s="2" t="s">
        <v>471</v>
      </c>
      <c r="N108" s="2" t="s">
        <v>35</v>
      </c>
      <c r="O108" s="2" t="s">
        <v>205</v>
      </c>
      <c r="P108" s="2" t="s">
        <v>35</v>
      </c>
      <c r="Q108" s="2" t="s">
        <v>35</v>
      </c>
    </row>
    <row r="109" spans="1:17" ht="129.6">
      <c r="A109" s="8" t="str">
        <f>HYPERLINK("http://sipi.sic.gov.co/sipi/View.ashx?4078207","SD2022/0025248")</f>
        <v>SD2022/0025248</v>
      </c>
      <c r="B109" s="2" t="s">
        <v>472</v>
      </c>
      <c r="C109" s="2" t="s">
        <v>35</v>
      </c>
      <c r="D109" s="2" t="s">
        <v>473</v>
      </c>
      <c r="E109" s="2" t="s">
        <v>35</v>
      </c>
      <c r="F109" s="2" t="s">
        <v>37</v>
      </c>
      <c r="G109" s="2" t="s">
        <v>472</v>
      </c>
      <c r="H109" s="2" t="s">
        <v>474</v>
      </c>
      <c r="I109" s="2" t="s">
        <v>12</v>
      </c>
      <c r="J109" s="2" t="s">
        <v>40</v>
      </c>
      <c r="K109" s="2" t="s">
        <v>41</v>
      </c>
      <c r="L109" s="2" t="s">
        <v>42</v>
      </c>
      <c r="M109" s="2" t="s">
        <v>475</v>
      </c>
      <c r="N109" s="2" t="s">
        <v>35</v>
      </c>
      <c r="O109" s="2" t="s">
        <v>476</v>
      </c>
      <c r="P109" s="2" t="s">
        <v>35</v>
      </c>
      <c r="Q109" s="2" t="s">
        <v>35</v>
      </c>
    </row>
    <row r="110" spans="1:17" ht="144">
      <c r="A110" s="8" t="str">
        <f>HYPERLINK("http://sipi.sic.gov.co/sipi/View.ashx?4080986","SD2022/0026026")</f>
        <v>SD2022/0026026</v>
      </c>
      <c r="B110" s="2" t="s">
        <v>477</v>
      </c>
      <c r="C110" s="7" t="s">
        <v>35</v>
      </c>
      <c r="D110" s="2" t="s">
        <v>478</v>
      </c>
      <c r="E110" s="2" t="s">
        <v>35</v>
      </c>
      <c r="F110" s="2" t="s">
        <v>37</v>
      </c>
      <c r="G110" s="2" t="s">
        <v>479</v>
      </c>
      <c r="H110" s="2" t="s">
        <v>480</v>
      </c>
      <c r="I110" s="2" t="s">
        <v>12</v>
      </c>
      <c r="J110" s="2" t="s">
        <v>40</v>
      </c>
      <c r="K110" s="2" t="s">
        <v>481</v>
      </c>
      <c r="L110" s="2" t="s">
        <v>55</v>
      </c>
      <c r="M110" s="2" t="s">
        <v>482</v>
      </c>
      <c r="N110" s="2" t="s">
        <v>35</v>
      </c>
      <c r="O110" s="2" t="s">
        <v>476</v>
      </c>
      <c r="P110" s="2" t="s">
        <v>35</v>
      </c>
      <c r="Q110" s="2" t="s">
        <v>35</v>
      </c>
    </row>
    <row r="111" spans="1:17" ht="409.6">
      <c r="A111" s="8" t="str">
        <f>HYPERLINK("http://sipi.sic.gov.co/sipi/View.ashx?4083146","SD2022/0026548")</f>
        <v>SD2022/0026548</v>
      </c>
      <c r="B111" s="2" t="s">
        <v>483</v>
      </c>
      <c r="C111" s="7" t="s">
        <v>35</v>
      </c>
      <c r="D111" s="2" t="s">
        <v>129</v>
      </c>
      <c r="E111" s="2" t="s">
        <v>35</v>
      </c>
      <c r="F111" s="2" t="s">
        <v>37</v>
      </c>
      <c r="G111" s="2" t="s">
        <v>484</v>
      </c>
      <c r="H111" s="2" t="s">
        <v>485</v>
      </c>
      <c r="I111" s="2" t="s">
        <v>250</v>
      </c>
      <c r="J111" s="2" t="s">
        <v>40</v>
      </c>
      <c r="K111" s="2" t="s">
        <v>486</v>
      </c>
      <c r="L111" s="2" t="s">
        <v>42</v>
      </c>
      <c r="M111" s="2" t="s">
        <v>35</v>
      </c>
      <c r="N111" s="2" t="s">
        <v>35</v>
      </c>
      <c r="O111" s="2" t="s">
        <v>487</v>
      </c>
      <c r="P111" s="2" t="s">
        <v>35</v>
      </c>
      <c r="Q111" s="2" t="s">
        <v>35</v>
      </c>
    </row>
    <row r="112" spans="1:17" ht="115.2">
      <c r="A112" s="8" t="str">
        <f>HYPERLINK("http://sipi.sic.gov.co/sipi/View.ashx?4083431","SD2022/0026604")</f>
        <v>SD2022/0026604</v>
      </c>
      <c r="B112" s="2" t="s">
        <v>488</v>
      </c>
      <c r="C112" s="7" t="s">
        <v>35</v>
      </c>
      <c r="D112" s="2" t="s">
        <v>129</v>
      </c>
      <c r="E112" s="2" t="s">
        <v>35</v>
      </c>
      <c r="F112" s="2" t="s">
        <v>37</v>
      </c>
      <c r="G112" s="2" t="s">
        <v>489</v>
      </c>
      <c r="H112" s="2" t="s">
        <v>490</v>
      </c>
      <c r="I112" s="2" t="s">
        <v>12</v>
      </c>
      <c r="J112" s="2" t="s">
        <v>40</v>
      </c>
      <c r="K112" s="2" t="s">
        <v>491</v>
      </c>
      <c r="L112" s="2" t="s">
        <v>42</v>
      </c>
      <c r="M112" s="2" t="s">
        <v>492</v>
      </c>
      <c r="N112" s="2" t="s">
        <v>35</v>
      </c>
      <c r="O112" s="2" t="s">
        <v>493</v>
      </c>
      <c r="P112" s="2" t="s">
        <v>35</v>
      </c>
      <c r="Q112" s="2" t="s">
        <v>35</v>
      </c>
    </row>
    <row r="113" spans="1:17" ht="129.6">
      <c r="A113" s="8" t="str">
        <f>HYPERLINK("http://sipi.sic.gov.co/sipi/View.ashx?4083434","SD2022/0026601")</f>
        <v>SD2022/0026601</v>
      </c>
      <c r="B113" s="2" t="s">
        <v>494</v>
      </c>
      <c r="C113" s="7" t="s">
        <v>35</v>
      </c>
      <c r="D113" s="2" t="s">
        <v>129</v>
      </c>
      <c r="E113" s="2" t="s">
        <v>35</v>
      </c>
      <c r="F113" s="2" t="s">
        <v>37</v>
      </c>
      <c r="G113" s="2" t="s">
        <v>35</v>
      </c>
      <c r="H113" s="2" t="s">
        <v>495</v>
      </c>
      <c r="I113" s="2" t="s">
        <v>12</v>
      </c>
      <c r="J113" s="2" t="s">
        <v>40</v>
      </c>
      <c r="K113" s="2" t="s">
        <v>496</v>
      </c>
      <c r="L113" s="2" t="s">
        <v>42</v>
      </c>
      <c r="M113" s="2" t="s">
        <v>371</v>
      </c>
      <c r="N113" s="2" t="s">
        <v>35</v>
      </c>
      <c r="O113" s="2" t="s">
        <v>191</v>
      </c>
      <c r="P113" s="2" t="s">
        <v>35</v>
      </c>
      <c r="Q113" s="2" t="s">
        <v>35</v>
      </c>
    </row>
    <row r="114" spans="1:17" ht="374.4">
      <c r="A114" s="8" t="str">
        <f>HYPERLINK("http://sipi.sic.gov.co/sipi/View.ashx?4083785","SD2022/0026819")</f>
        <v>SD2022/0026819</v>
      </c>
      <c r="B114" s="2" t="s">
        <v>497</v>
      </c>
      <c r="C114" s="7" t="s">
        <v>35</v>
      </c>
      <c r="D114" s="2" t="s">
        <v>129</v>
      </c>
      <c r="E114" s="2" t="s">
        <v>35</v>
      </c>
      <c r="F114" s="2" t="s">
        <v>37</v>
      </c>
      <c r="G114" s="2" t="s">
        <v>498</v>
      </c>
      <c r="H114" s="2" t="s">
        <v>499</v>
      </c>
      <c r="I114" s="2" t="s">
        <v>500</v>
      </c>
      <c r="J114" s="2" t="s">
        <v>40</v>
      </c>
      <c r="K114" s="2" t="s">
        <v>501</v>
      </c>
      <c r="L114" s="2" t="s">
        <v>55</v>
      </c>
      <c r="M114" s="2" t="s">
        <v>502</v>
      </c>
      <c r="N114" s="2" t="s">
        <v>35</v>
      </c>
      <c r="O114" s="2" t="s">
        <v>476</v>
      </c>
      <c r="P114" s="2" t="s">
        <v>503</v>
      </c>
      <c r="Q114" s="2" t="s">
        <v>35</v>
      </c>
    </row>
    <row r="115" spans="1:17" ht="144">
      <c r="A115" s="8" t="str">
        <f>HYPERLINK("http://sipi.sic.gov.co/sipi/View.ashx?4084117","SD2022/0026857")</f>
        <v>SD2022/0026857</v>
      </c>
      <c r="B115" s="2" t="s">
        <v>504</v>
      </c>
      <c r="C115" s="2" t="s">
        <v>35</v>
      </c>
      <c r="D115" s="2" t="s">
        <v>129</v>
      </c>
      <c r="E115" s="2" t="s">
        <v>35</v>
      </c>
      <c r="F115" s="2" t="s">
        <v>37</v>
      </c>
      <c r="G115" s="2" t="s">
        <v>504</v>
      </c>
      <c r="H115" s="2" t="s">
        <v>505</v>
      </c>
      <c r="I115" s="2" t="s">
        <v>12</v>
      </c>
      <c r="J115" s="2" t="s">
        <v>40</v>
      </c>
      <c r="K115" s="2" t="s">
        <v>506</v>
      </c>
      <c r="L115" s="2" t="s">
        <v>42</v>
      </c>
      <c r="M115" s="2" t="s">
        <v>507</v>
      </c>
      <c r="N115" s="2" t="s">
        <v>35</v>
      </c>
      <c r="O115" s="2" t="s">
        <v>74</v>
      </c>
      <c r="P115" s="2" t="s">
        <v>35</v>
      </c>
      <c r="Q115" s="2" t="s">
        <v>35</v>
      </c>
    </row>
    <row r="116" spans="1:17" ht="144">
      <c r="A116" s="8" t="str">
        <f>HYPERLINK("http://sipi.sic.gov.co/sipi/View.ashx?4084143","SD2022/0026868")</f>
        <v>SD2022/0026868</v>
      </c>
      <c r="B116" s="2" t="s">
        <v>508</v>
      </c>
      <c r="C116" s="2" t="s">
        <v>35</v>
      </c>
      <c r="D116" s="2" t="s">
        <v>129</v>
      </c>
      <c r="E116" s="2" t="s">
        <v>35</v>
      </c>
      <c r="F116" s="2" t="s">
        <v>37</v>
      </c>
      <c r="G116" s="2" t="s">
        <v>508</v>
      </c>
      <c r="H116" s="2" t="s">
        <v>505</v>
      </c>
      <c r="I116" s="2" t="s">
        <v>12</v>
      </c>
      <c r="J116" s="2" t="s">
        <v>40</v>
      </c>
      <c r="K116" s="2" t="s">
        <v>509</v>
      </c>
      <c r="L116" s="2" t="s">
        <v>42</v>
      </c>
      <c r="M116" s="2" t="s">
        <v>507</v>
      </c>
      <c r="N116" s="2" t="s">
        <v>35</v>
      </c>
      <c r="O116" s="2" t="s">
        <v>74</v>
      </c>
      <c r="P116" s="2" t="s">
        <v>35</v>
      </c>
      <c r="Q116" s="2" t="s">
        <v>35</v>
      </c>
    </row>
    <row r="117" spans="1:17" ht="187.2">
      <c r="A117" s="8" t="str">
        <f>HYPERLINK("http://sipi.sic.gov.co/sipi/View.ashx?4085937","SD2022/0028314")</f>
        <v>SD2022/0028314</v>
      </c>
      <c r="B117" s="2" t="s">
        <v>510</v>
      </c>
      <c r="C117" s="7" t="s">
        <v>35</v>
      </c>
      <c r="D117" s="2" t="s">
        <v>511</v>
      </c>
      <c r="E117" s="2" t="s">
        <v>35</v>
      </c>
      <c r="F117" s="2" t="s">
        <v>37</v>
      </c>
      <c r="G117" s="2" t="s">
        <v>512</v>
      </c>
      <c r="H117" s="2" t="s">
        <v>513</v>
      </c>
      <c r="I117" s="2" t="s">
        <v>61</v>
      </c>
      <c r="J117" s="2" t="s">
        <v>40</v>
      </c>
      <c r="K117" s="2" t="s">
        <v>514</v>
      </c>
      <c r="L117" s="2" t="s">
        <v>55</v>
      </c>
      <c r="M117" s="2" t="s">
        <v>515</v>
      </c>
      <c r="N117" s="2" t="s">
        <v>35</v>
      </c>
      <c r="O117" s="2" t="s">
        <v>191</v>
      </c>
      <c r="P117" s="2" t="s">
        <v>35</v>
      </c>
      <c r="Q117" s="2" t="s">
        <v>35</v>
      </c>
    </row>
    <row r="118" spans="1:17" ht="129.6">
      <c r="A118" s="8" t="str">
        <f>HYPERLINK("http://sipi.sic.gov.co/sipi/View.ashx?4086726","SD2022/0027789")</f>
        <v>SD2022/0027789</v>
      </c>
      <c r="B118" s="2" t="s">
        <v>516</v>
      </c>
      <c r="C118" s="2" t="s">
        <v>35</v>
      </c>
      <c r="D118" s="2" t="s">
        <v>517</v>
      </c>
      <c r="E118" s="2" t="s">
        <v>35</v>
      </c>
      <c r="F118" s="2" t="s">
        <v>37</v>
      </c>
      <c r="G118" s="2" t="s">
        <v>518</v>
      </c>
      <c r="H118" s="2" t="s">
        <v>407</v>
      </c>
      <c r="I118" s="2" t="s">
        <v>12</v>
      </c>
      <c r="J118" s="2" t="s">
        <v>40</v>
      </c>
      <c r="K118" s="2" t="s">
        <v>519</v>
      </c>
      <c r="L118" s="2" t="s">
        <v>42</v>
      </c>
      <c r="M118" s="2" t="s">
        <v>409</v>
      </c>
      <c r="N118" s="2" t="s">
        <v>35</v>
      </c>
      <c r="O118" s="2" t="s">
        <v>49</v>
      </c>
      <c r="P118" s="2" t="s">
        <v>35</v>
      </c>
      <c r="Q118" s="2" t="s">
        <v>35</v>
      </c>
    </row>
    <row r="119" spans="1:17" ht="129.6">
      <c r="A119" s="8" t="str">
        <f>HYPERLINK("http://sipi.sic.gov.co/sipi/View.ashx?4088689","SD2022/0028243")</f>
        <v>SD2022/0028243</v>
      </c>
      <c r="B119" s="2" t="s">
        <v>520</v>
      </c>
      <c r="C119" s="7" t="s">
        <v>35</v>
      </c>
      <c r="D119" s="2" t="s">
        <v>511</v>
      </c>
      <c r="E119" s="2" t="s">
        <v>35</v>
      </c>
      <c r="F119" s="2" t="s">
        <v>37</v>
      </c>
      <c r="G119" s="2" t="s">
        <v>521</v>
      </c>
      <c r="H119" s="2" t="s">
        <v>522</v>
      </c>
      <c r="I119" s="2" t="s">
        <v>12</v>
      </c>
      <c r="J119" s="2" t="s">
        <v>40</v>
      </c>
      <c r="K119" s="2" t="s">
        <v>523</v>
      </c>
      <c r="L119" s="2" t="s">
        <v>42</v>
      </c>
      <c r="M119" s="2" t="s">
        <v>440</v>
      </c>
      <c r="N119" s="2" t="s">
        <v>35</v>
      </c>
      <c r="O119" s="2" t="s">
        <v>205</v>
      </c>
      <c r="P119" s="2" t="s">
        <v>35</v>
      </c>
      <c r="Q119" s="2" t="s">
        <v>35</v>
      </c>
    </row>
    <row r="120" spans="1:17" ht="144">
      <c r="A120" s="8" t="str">
        <f>HYPERLINK("http://sipi.sic.gov.co/sipi/View.ashx?4088825","SD2022/0028334")</f>
        <v>SD2022/0028334</v>
      </c>
      <c r="B120" s="2" t="s">
        <v>524</v>
      </c>
      <c r="C120" s="2" t="s">
        <v>35</v>
      </c>
      <c r="D120" s="2" t="s">
        <v>511</v>
      </c>
      <c r="E120" s="2" t="s">
        <v>35</v>
      </c>
      <c r="F120" s="2" t="s">
        <v>37</v>
      </c>
      <c r="G120" s="2" t="s">
        <v>525</v>
      </c>
      <c r="H120" s="2" t="s">
        <v>526</v>
      </c>
      <c r="I120" s="2" t="s">
        <v>12</v>
      </c>
      <c r="J120" s="2" t="s">
        <v>40</v>
      </c>
      <c r="K120" s="2" t="s">
        <v>104</v>
      </c>
      <c r="L120" s="2" t="s">
        <v>42</v>
      </c>
      <c r="M120" s="2" t="s">
        <v>527</v>
      </c>
      <c r="N120" s="2" t="s">
        <v>35</v>
      </c>
      <c r="O120" s="2" t="s">
        <v>191</v>
      </c>
      <c r="P120" s="2" t="s">
        <v>35</v>
      </c>
      <c r="Q120" s="2" t="s">
        <v>35</v>
      </c>
    </row>
    <row r="121" spans="1:17" ht="144">
      <c r="A121" s="8" t="str">
        <f>HYPERLINK("http://sipi.sic.gov.co/sipi/View.ashx?4089247","SD2022/0028384")</f>
        <v>SD2022/0028384</v>
      </c>
      <c r="B121" s="2" t="s">
        <v>528</v>
      </c>
      <c r="C121" s="2" t="s">
        <v>35</v>
      </c>
      <c r="D121" s="2" t="s">
        <v>511</v>
      </c>
      <c r="E121" s="2" t="s">
        <v>35</v>
      </c>
      <c r="F121" s="2" t="s">
        <v>37</v>
      </c>
      <c r="G121" s="2" t="s">
        <v>35</v>
      </c>
      <c r="H121" s="2" t="s">
        <v>419</v>
      </c>
      <c r="I121" s="2" t="s">
        <v>12</v>
      </c>
      <c r="J121" s="2" t="s">
        <v>40</v>
      </c>
      <c r="K121" s="2" t="s">
        <v>420</v>
      </c>
      <c r="L121" s="2" t="s">
        <v>42</v>
      </c>
      <c r="M121" s="2" t="s">
        <v>139</v>
      </c>
      <c r="N121" s="2" t="s">
        <v>35</v>
      </c>
      <c r="O121" s="2" t="s">
        <v>487</v>
      </c>
      <c r="P121" s="2" t="s">
        <v>35</v>
      </c>
      <c r="Q121" s="2" t="s">
        <v>35</v>
      </c>
    </row>
    <row r="122" spans="1:17" ht="158.4">
      <c r="A122" s="8" t="str">
        <f>HYPERLINK("http://sipi.sic.gov.co/sipi/View.ashx?4090988","SD2022/0028819")</f>
        <v>SD2022/0028819</v>
      </c>
      <c r="B122" s="2" t="s">
        <v>529</v>
      </c>
      <c r="C122" s="2" t="s">
        <v>35</v>
      </c>
      <c r="D122" s="2" t="s">
        <v>530</v>
      </c>
      <c r="E122" s="2" t="s">
        <v>35</v>
      </c>
      <c r="F122" s="2" t="s">
        <v>37</v>
      </c>
      <c r="G122" s="2" t="s">
        <v>531</v>
      </c>
      <c r="H122" s="2" t="s">
        <v>532</v>
      </c>
      <c r="I122" s="2" t="s">
        <v>444</v>
      </c>
      <c r="J122" s="2" t="s">
        <v>40</v>
      </c>
      <c r="K122" s="2" t="s">
        <v>533</v>
      </c>
      <c r="L122" s="2" t="s">
        <v>42</v>
      </c>
      <c r="M122" s="2" t="s">
        <v>534</v>
      </c>
      <c r="N122" s="2" t="s">
        <v>35</v>
      </c>
      <c r="O122" s="2" t="s">
        <v>191</v>
      </c>
      <c r="P122" s="2" t="s">
        <v>35</v>
      </c>
      <c r="Q122" s="2" t="s">
        <v>35</v>
      </c>
    </row>
    <row r="123" spans="1:17" ht="158.4">
      <c r="A123" s="8" t="str">
        <f>HYPERLINK("http://sipi.sic.gov.co/sipi/View.ashx?4091764","SD2022/0029713")</f>
        <v>SD2022/0029713</v>
      </c>
      <c r="B123" s="2" t="s">
        <v>535</v>
      </c>
      <c r="C123" s="7" t="s">
        <v>35</v>
      </c>
      <c r="D123" s="2" t="s">
        <v>536</v>
      </c>
      <c r="E123" s="2" t="s">
        <v>35</v>
      </c>
      <c r="F123" s="2" t="s">
        <v>37</v>
      </c>
      <c r="G123" s="2" t="s">
        <v>535</v>
      </c>
      <c r="H123" s="2" t="s">
        <v>537</v>
      </c>
      <c r="I123" s="2" t="s">
        <v>12</v>
      </c>
      <c r="J123" s="2" t="s">
        <v>40</v>
      </c>
      <c r="K123" s="2" t="s">
        <v>538</v>
      </c>
      <c r="L123" s="2" t="s">
        <v>42</v>
      </c>
      <c r="M123" s="2" t="s">
        <v>35</v>
      </c>
      <c r="N123" s="2" t="s">
        <v>35</v>
      </c>
      <c r="O123" s="2" t="s">
        <v>191</v>
      </c>
      <c r="P123" s="2" t="s">
        <v>35</v>
      </c>
      <c r="Q123" s="2" t="s">
        <v>35</v>
      </c>
    </row>
    <row r="124" spans="1:17" ht="129.6">
      <c r="A124" s="8" t="str">
        <f>HYPERLINK("http://sipi.sic.gov.co/sipi/View.ashx?4092804","SD2022/0029346")</f>
        <v>SD2022/0029346</v>
      </c>
      <c r="B124" s="2" t="s">
        <v>539</v>
      </c>
      <c r="C124" s="7" t="s">
        <v>35</v>
      </c>
      <c r="D124" s="2" t="s">
        <v>536</v>
      </c>
      <c r="E124" s="2" t="s">
        <v>35</v>
      </c>
      <c r="F124" s="2" t="s">
        <v>37</v>
      </c>
      <c r="G124" s="2" t="s">
        <v>35</v>
      </c>
      <c r="H124" s="2" t="s">
        <v>540</v>
      </c>
      <c r="I124" s="2" t="s">
        <v>12</v>
      </c>
      <c r="J124" s="2" t="s">
        <v>40</v>
      </c>
      <c r="K124" s="2" t="s">
        <v>541</v>
      </c>
      <c r="L124" s="2" t="s">
        <v>42</v>
      </c>
      <c r="M124" s="2" t="s">
        <v>542</v>
      </c>
      <c r="N124" s="2" t="s">
        <v>35</v>
      </c>
      <c r="O124" s="2" t="s">
        <v>476</v>
      </c>
      <c r="P124" s="2" t="s">
        <v>35</v>
      </c>
      <c r="Q124" s="2" t="s">
        <v>35</v>
      </c>
    </row>
    <row r="125" spans="1:17" ht="100.8">
      <c r="A125" s="8" t="str">
        <f>HYPERLINK("http://sipi.sic.gov.co/sipi/View.ashx?4092913","SD2022/0030101")</f>
        <v>SD2022/0030101</v>
      </c>
      <c r="B125" s="2" t="s">
        <v>543</v>
      </c>
      <c r="C125" s="2" t="s">
        <v>35</v>
      </c>
      <c r="D125" s="2" t="s">
        <v>544</v>
      </c>
      <c r="E125" s="2" t="s">
        <v>35</v>
      </c>
      <c r="F125" s="2" t="s">
        <v>37</v>
      </c>
      <c r="G125" s="2" t="s">
        <v>543</v>
      </c>
      <c r="H125" s="2" t="s">
        <v>545</v>
      </c>
      <c r="I125" s="2" t="s">
        <v>12</v>
      </c>
      <c r="J125" s="2" t="s">
        <v>40</v>
      </c>
      <c r="K125" s="2" t="s">
        <v>546</v>
      </c>
      <c r="L125" s="2" t="s">
        <v>42</v>
      </c>
      <c r="M125" s="2" t="s">
        <v>547</v>
      </c>
      <c r="N125" s="2" t="s">
        <v>35</v>
      </c>
      <c r="O125" s="2" t="s">
        <v>49</v>
      </c>
      <c r="P125" s="2" t="s">
        <v>35</v>
      </c>
      <c r="Q125" s="2" t="s">
        <v>35</v>
      </c>
    </row>
    <row r="126" spans="1:17" ht="115.2">
      <c r="A126" s="8" t="str">
        <f>HYPERLINK("http://sipi.sic.gov.co/sipi/View.ashx?4093375","SD2022/0029514")</f>
        <v>SD2022/0029514</v>
      </c>
      <c r="B126" s="2" t="s">
        <v>548</v>
      </c>
      <c r="C126" s="2" t="s">
        <v>35</v>
      </c>
      <c r="D126" s="2" t="s">
        <v>536</v>
      </c>
      <c r="E126" s="2" t="s">
        <v>35</v>
      </c>
      <c r="F126" s="2" t="s">
        <v>37</v>
      </c>
      <c r="G126" s="2" t="s">
        <v>549</v>
      </c>
      <c r="H126" s="2" t="s">
        <v>550</v>
      </c>
      <c r="I126" s="2" t="s">
        <v>12</v>
      </c>
      <c r="J126" s="2" t="s">
        <v>40</v>
      </c>
      <c r="K126" s="2" t="s">
        <v>551</v>
      </c>
      <c r="L126" s="2" t="s">
        <v>55</v>
      </c>
      <c r="M126" s="2" t="s">
        <v>115</v>
      </c>
      <c r="N126" s="2" t="s">
        <v>35</v>
      </c>
      <c r="O126" s="2" t="s">
        <v>74</v>
      </c>
      <c r="P126" s="2" t="s">
        <v>35</v>
      </c>
      <c r="Q126" s="2" t="s">
        <v>35</v>
      </c>
    </row>
    <row r="127" spans="1:17" ht="115.2">
      <c r="A127" s="8" t="str">
        <f>HYPERLINK("http://sipi.sic.gov.co/sipi/View.ashx?4093412","SD2022/0029526")</f>
        <v>SD2022/0029526</v>
      </c>
      <c r="B127" s="2" t="s">
        <v>552</v>
      </c>
      <c r="C127" s="7" t="s">
        <v>35</v>
      </c>
      <c r="D127" s="2" t="s">
        <v>536</v>
      </c>
      <c r="E127" s="2" t="s">
        <v>35</v>
      </c>
      <c r="F127" s="2" t="s">
        <v>37</v>
      </c>
      <c r="G127" s="2" t="s">
        <v>553</v>
      </c>
      <c r="H127" s="2" t="s">
        <v>554</v>
      </c>
      <c r="I127" s="2" t="s">
        <v>12</v>
      </c>
      <c r="J127" s="2" t="s">
        <v>40</v>
      </c>
      <c r="K127" s="2" t="s">
        <v>41</v>
      </c>
      <c r="L127" s="2" t="s">
        <v>55</v>
      </c>
      <c r="M127" s="2" t="s">
        <v>35</v>
      </c>
      <c r="N127" s="2" t="s">
        <v>35</v>
      </c>
      <c r="O127" s="2" t="s">
        <v>555</v>
      </c>
      <c r="P127" s="2" t="s">
        <v>35</v>
      </c>
      <c r="Q127" s="2" t="s">
        <v>35</v>
      </c>
    </row>
    <row r="128" spans="1:17" ht="115.2">
      <c r="A128" s="8" t="str">
        <f>HYPERLINK("http://sipi.sic.gov.co/sipi/View.ashx?4093607","SD2022/0029596")</f>
        <v>SD2022/0029596</v>
      </c>
      <c r="B128" s="2" t="s">
        <v>556</v>
      </c>
      <c r="C128" s="7" t="s">
        <v>35</v>
      </c>
      <c r="D128" s="2" t="s">
        <v>74</v>
      </c>
      <c r="E128" s="2" t="s">
        <v>35</v>
      </c>
      <c r="F128" s="2" t="s">
        <v>37</v>
      </c>
      <c r="G128" s="2" t="s">
        <v>557</v>
      </c>
      <c r="H128" s="2" t="s">
        <v>554</v>
      </c>
      <c r="I128" s="2" t="s">
        <v>12</v>
      </c>
      <c r="J128" s="2" t="s">
        <v>40</v>
      </c>
      <c r="K128" s="2" t="s">
        <v>41</v>
      </c>
      <c r="L128" s="2" t="s">
        <v>42</v>
      </c>
      <c r="M128" s="2" t="s">
        <v>35</v>
      </c>
      <c r="N128" s="2" t="s">
        <v>35</v>
      </c>
      <c r="O128" s="2" t="s">
        <v>558</v>
      </c>
      <c r="P128" s="2" t="s">
        <v>35</v>
      </c>
      <c r="Q128" s="2" t="s">
        <v>35</v>
      </c>
    </row>
    <row r="129" spans="1:17" ht="115.2">
      <c r="A129" s="8" t="str">
        <f>HYPERLINK("http://sipi.sic.gov.co/sipi/View.ashx?4093993","SD2022/0029697")</f>
        <v>SD2022/0029697</v>
      </c>
      <c r="B129" s="2" t="s">
        <v>559</v>
      </c>
      <c r="C129" s="2" t="s">
        <v>35</v>
      </c>
      <c r="D129" s="2" t="s">
        <v>536</v>
      </c>
      <c r="E129" s="2" t="s">
        <v>35</v>
      </c>
      <c r="F129" s="2" t="s">
        <v>37</v>
      </c>
      <c r="G129" s="2" t="s">
        <v>560</v>
      </c>
      <c r="H129" s="2" t="s">
        <v>285</v>
      </c>
      <c r="I129" s="2" t="s">
        <v>12</v>
      </c>
      <c r="J129" s="2" t="s">
        <v>40</v>
      </c>
      <c r="K129" s="2" t="s">
        <v>561</v>
      </c>
      <c r="L129" s="2" t="s">
        <v>55</v>
      </c>
      <c r="M129" s="2" t="s">
        <v>287</v>
      </c>
      <c r="N129" s="2" t="s">
        <v>35</v>
      </c>
      <c r="O129" s="2" t="s">
        <v>156</v>
      </c>
      <c r="P129" s="2" t="s">
        <v>35</v>
      </c>
      <c r="Q129" s="2" t="s">
        <v>35</v>
      </c>
    </row>
    <row r="130" spans="1:17" ht="115.2">
      <c r="A130" s="8" t="str">
        <f>HYPERLINK("http://sipi.sic.gov.co/sipi/View.ashx?4095685","SD2022/0030056")</f>
        <v>SD2022/0030056</v>
      </c>
      <c r="B130" s="2" t="s">
        <v>562</v>
      </c>
      <c r="C130" s="2" t="s">
        <v>35</v>
      </c>
      <c r="D130" s="2" t="s">
        <v>544</v>
      </c>
      <c r="E130" s="2" t="s">
        <v>35</v>
      </c>
      <c r="F130" s="2" t="s">
        <v>37</v>
      </c>
      <c r="G130" s="2" t="s">
        <v>563</v>
      </c>
      <c r="H130" s="2" t="s">
        <v>564</v>
      </c>
      <c r="I130" s="2" t="s">
        <v>12</v>
      </c>
      <c r="J130" s="2" t="s">
        <v>40</v>
      </c>
      <c r="K130" s="2" t="s">
        <v>565</v>
      </c>
      <c r="L130" s="2" t="s">
        <v>42</v>
      </c>
      <c r="M130" s="2" t="s">
        <v>566</v>
      </c>
      <c r="N130" s="2" t="s">
        <v>35</v>
      </c>
      <c r="O130" s="2" t="s">
        <v>49</v>
      </c>
      <c r="P130" s="2" t="s">
        <v>35</v>
      </c>
      <c r="Q130" s="2" t="s">
        <v>35</v>
      </c>
    </row>
    <row r="131" spans="1:17" ht="100.8">
      <c r="A131" s="8" t="str">
        <f>HYPERLINK("http://sipi.sic.gov.co/sipi/View.ashx?4096242","SD2022/0030179")</f>
        <v>SD2022/0030179</v>
      </c>
      <c r="B131" s="2" t="s">
        <v>567</v>
      </c>
      <c r="C131" s="2" t="s">
        <v>35</v>
      </c>
      <c r="D131" s="2" t="s">
        <v>544</v>
      </c>
      <c r="E131" s="2" t="s">
        <v>35</v>
      </c>
      <c r="F131" s="2" t="s">
        <v>37</v>
      </c>
      <c r="G131" s="2" t="s">
        <v>568</v>
      </c>
      <c r="H131" s="2" t="s">
        <v>569</v>
      </c>
      <c r="I131" s="2" t="s">
        <v>12</v>
      </c>
      <c r="J131" s="2" t="s">
        <v>40</v>
      </c>
      <c r="K131" s="2" t="s">
        <v>380</v>
      </c>
      <c r="L131" s="2" t="s">
        <v>55</v>
      </c>
      <c r="M131" s="2" t="s">
        <v>570</v>
      </c>
      <c r="N131" s="2" t="s">
        <v>35</v>
      </c>
      <c r="O131" s="2" t="s">
        <v>49</v>
      </c>
      <c r="P131" s="2" t="s">
        <v>35</v>
      </c>
      <c r="Q131" s="2" t="s">
        <v>35</v>
      </c>
    </row>
    <row r="132" spans="1:17" ht="129.6">
      <c r="A132" s="8" t="str">
        <f>HYPERLINK("http://sipi.sic.gov.co/sipi/View.ashx?4098762","SD2022/0030821")</f>
        <v>SD2022/0030821</v>
      </c>
      <c r="B132" s="2" t="s">
        <v>571</v>
      </c>
      <c r="C132" s="2" t="s">
        <v>35</v>
      </c>
      <c r="D132" s="2" t="s">
        <v>74</v>
      </c>
      <c r="E132" s="2" t="s">
        <v>35</v>
      </c>
      <c r="F132" s="2" t="s">
        <v>37</v>
      </c>
      <c r="G132" s="2" t="s">
        <v>35</v>
      </c>
      <c r="H132" s="2" t="s">
        <v>572</v>
      </c>
      <c r="I132" s="2" t="s">
        <v>12</v>
      </c>
      <c r="J132" s="2" t="s">
        <v>40</v>
      </c>
      <c r="K132" s="2" t="s">
        <v>573</v>
      </c>
      <c r="L132" s="2" t="s">
        <v>42</v>
      </c>
      <c r="M132" s="2" t="s">
        <v>371</v>
      </c>
      <c r="N132" s="2" t="s">
        <v>35</v>
      </c>
      <c r="O132" s="2" t="s">
        <v>191</v>
      </c>
      <c r="P132" s="2" t="s">
        <v>35</v>
      </c>
      <c r="Q132" s="2" t="s">
        <v>35</v>
      </c>
    </row>
    <row r="133" spans="1:17" ht="230.4">
      <c r="A133" s="8" t="str">
        <f>HYPERLINK("http://sipi.sic.gov.co/sipi/View.ashx?4099264","SD2022/0031256")</f>
        <v>SD2022/0031256</v>
      </c>
      <c r="B133" s="2" t="s">
        <v>574</v>
      </c>
      <c r="C133" s="7" t="s">
        <v>35</v>
      </c>
      <c r="D133" s="2" t="s">
        <v>575</v>
      </c>
      <c r="E133" s="2" t="s">
        <v>35</v>
      </c>
      <c r="F133" s="2" t="s">
        <v>37</v>
      </c>
      <c r="G133" s="2" t="s">
        <v>576</v>
      </c>
      <c r="H133" s="2" t="s">
        <v>577</v>
      </c>
      <c r="I133" s="2" t="s">
        <v>195</v>
      </c>
      <c r="J133" s="2" t="s">
        <v>40</v>
      </c>
      <c r="K133" s="2" t="s">
        <v>578</v>
      </c>
      <c r="L133" s="2" t="s">
        <v>42</v>
      </c>
      <c r="M133" s="2" t="s">
        <v>579</v>
      </c>
      <c r="N133" s="2" t="s">
        <v>35</v>
      </c>
      <c r="O133" s="2" t="s">
        <v>580</v>
      </c>
      <c r="P133" s="2" t="s">
        <v>35</v>
      </c>
      <c r="Q133" s="2" t="s">
        <v>35</v>
      </c>
    </row>
    <row r="134" spans="1:17" ht="129.6">
      <c r="A134" s="8" t="str">
        <f>HYPERLINK("http://sipi.sic.gov.co/sipi/View.ashx?4101052","SD2022/0031971")</f>
        <v>SD2022/0031971</v>
      </c>
      <c r="B134" s="2" t="s">
        <v>581</v>
      </c>
      <c r="C134" s="7" t="s">
        <v>35</v>
      </c>
      <c r="D134" s="2" t="s">
        <v>582</v>
      </c>
      <c r="E134" s="2" t="s">
        <v>35</v>
      </c>
      <c r="F134" s="2" t="s">
        <v>37</v>
      </c>
      <c r="G134" s="2" t="s">
        <v>583</v>
      </c>
      <c r="H134" s="2" t="s">
        <v>584</v>
      </c>
      <c r="I134" s="2" t="s">
        <v>12</v>
      </c>
      <c r="J134" s="2" t="s">
        <v>40</v>
      </c>
      <c r="K134" s="2" t="s">
        <v>585</v>
      </c>
      <c r="L134" s="2" t="s">
        <v>42</v>
      </c>
      <c r="M134" s="2" t="s">
        <v>128</v>
      </c>
      <c r="N134" s="2" t="s">
        <v>35</v>
      </c>
      <c r="O134" s="2" t="s">
        <v>487</v>
      </c>
      <c r="P134" s="2" t="s">
        <v>35</v>
      </c>
      <c r="Q134" s="2" t="s">
        <v>35</v>
      </c>
    </row>
    <row r="135" spans="1:17" ht="76.8">
      <c r="A135" s="8" t="str">
        <f>HYPERLINK("http://sipi.sic.gov.co/sipi/View.ashx?4102497","SD2022/0031702")</f>
        <v>SD2022/0031702</v>
      </c>
      <c r="B135" s="2" t="s">
        <v>586</v>
      </c>
      <c r="C135" s="7" t="s">
        <v>35</v>
      </c>
      <c r="D135" s="2" t="s">
        <v>582</v>
      </c>
      <c r="E135" s="2" t="s">
        <v>35</v>
      </c>
      <c r="F135" s="2" t="s">
        <v>37</v>
      </c>
      <c r="G135" s="2" t="s">
        <v>587</v>
      </c>
      <c r="H135" s="2" t="s">
        <v>588</v>
      </c>
      <c r="I135" s="2" t="s">
        <v>12</v>
      </c>
      <c r="J135" s="2" t="s">
        <v>40</v>
      </c>
      <c r="K135" s="2" t="s">
        <v>589</v>
      </c>
      <c r="L135" s="2" t="s">
        <v>55</v>
      </c>
      <c r="M135" s="2" t="s">
        <v>35</v>
      </c>
      <c r="N135" s="2" t="s">
        <v>35</v>
      </c>
      <c r="O135" s="2" t="s">
        <v>590</v>
      </c>
      <c r="P135" s="2" t="s">
        <v>35</v>
      </c>
      <c r="Q135" s="2" t="s">
        <v>35</v>
      </c>
    </row>
    <row r="136" spans="1:17" ht="76.8">
      <c r="A136" s="8" t="str">
        <f>HYPERLINK("http://sipi.sic.gov.co/sipi/View.ashx?4102727","SD2022/0031755")</f>
        <v>SD2022/0031755</v>
      </c>
      <c r="B136" s="2" t="s">
        <v>591</v>
      </c>
      <c r="C136" s="7" t="s">
        <v>35</v>
      </c>
      <c r="D136" s="2" t="s">
        <v>582</v>
      </c>
      <c r="E136" s="2" t="s">
        <v>35</v>
      </c>
      <c r="F136" s="2" t="s">
        <v>37</v>
      </c>
      <c r="G136" s="2" t="s">
        <v>587</v>
      </c>
      <c r="H136" s="2" t="s">
        <v>588</v>
      </c>
      <c r="I136" s="2" t="s">
        <v>12</v>
      </c>
      <c r="J136" s="2" t="s">
        <v>40</v>
      </c>
      <c r="K136" s="2" t="s">
        <v>592</v>
      </c>
      <c r="L136" s="2" t="s">
        <v>55</v>
      </c>
      <c r="M136" s="2" t="s">
        <v>35</v>
      </c>
      <c r="N136" s="2" t="s">
        <v>35</v>
      </c>
      <c r="O136" s="2" t="s">
        <v>590</v>
      </c>
      <c r="P136" s="2" t="s">
        <v>35</v>
      </c>
      <c r="Q136" s="2" t="s">
        <v>35</v>
      </c>
    </row>
    <row r="137" spans="1:17" ht="76.8">
      <c r="A137" s="8" t="str">
        <f>HYPERLINK("http://sipi.sic.gov.co/sipi/View.ashx?4102848","SD2022/0031774")</f>
        <v>SD2022/0031774</v>
      </c>
      <c r="B137" s="2" t="s">
        <v>593</v>
      </c>
      <c r="C137" s="7" t="s">
        <v>35</v>
      </c>
      <c r="D137" s="2" t="s">
        <v>582</v>
      </c>
      <c r="E137" s="2" t="s">
        <v>35</v>
      </c>
      <c r="F137" s="2" t="s">
        <v>37</v>
      </c>
      <c r="G137" s="2" t="s">
        <v>587</v>
      </c>
      <c r="H137" s="2" t="s">
        <v>588</v>
      </c>
      <c r="I137" s="2" t="s">
        <v>12</v>
      </c>
      <c r="J137" s="2" t="s">
        <v>40</v>
      </c>
      <c r="K137" s="2" t="s">
        <v>594</v>
      </c>
      <c r="L137" s="2" t="s">
        <v>42</v>
      </c>
      <c r="M137" s="2" t="s">
        <v>35</v>
      </c>
      <c r="N137" s="2" t="s">
        <v>35</v>
      </c>
      <c r="O137" s="2" t="s">
        <v>595</v>
      </c>
      <c r="P137" s="2" t="s">
        <v>35</v>
      </c>
      <c r="Q137" s="2" t="s">
        <v>35</v>
      </c>
    </row>
    <row r="138" spans="1:17" ht="230.4">
      <c r="A138" s="8" t="str">
        <f>HYPERLINK("http://sipi.sic.gov.co/sipi/View.ashx?4104178","SD2022/0032158")</f>
        <v>SD2022/0032158</v>
      </c>
      <c r="B138" s="2" t="s">
        <v>596</v>
      </c>
      <c r="C138" s="7" t="s">
        <v>35</v>
      </c>
      <c r="D138" s="2" t="s">
        <v>597</v>
      </c>
      <c r="E138" s="2" t="s">
        <v>35</v>
      </c>
      <c r="F138" s="2" t="s">
        <v>37</v>
      </c>
      <c r="G138" s="2" t="s">
        <v>35</v>
      </c>
      <c r="H138" s="2" t="s">
        <v>598</v>
      </c>
      <c r="I138" s="2" t="s">
        <v>61</v>
      </c>
      <c r="J138" s="2" t="s">
        <v>40</v>
      </c>
      <c r="K138" s="2" t="s">
        <v>599</v>
      </c>
      <c r="L138" s="2" t="s">
        <v>42</v>
      </c>
      <c r="M138" s="2" t="s">
        <v>35</v>
      </c>
      <c r="N138" s="2" t="s">
        <v>35</v>
      </c>
      <c r="O138" s="2" t="s">
        <v>191</v>
      </c>
      <c r="P138" s="2" t="s">
        <v>35</v>
      </c>
      <c r="Q138" s="2" t="s">
        <v>35</v>
      </c>
    </row>
    <row r="139" spans="1:17" ht="144">
      <c r="A139" s="8" t="str">
        <f>HYPERLINK("http://sipi.sic.gov.co/sipi/View.ashx?4104317","SD2022/0032187")</f>
        <v>SD2022/0032187</v>
      </c>
      <c r="B139" s="2" t="s">
        <v>600</v>
      </c>
      <c r="C139" s="7" t="s">
        <v>35</v>
      </c>
      <c r="D139" s="2" t="s">
        <v>597</v>
      </c>
      <c r="E139" s="2" t="s">
        <v>35</v>
      </c>
      <c r="F139" s="2" t="s">
        <v>37</v>
      </c>
      <c r="G139" s="2" t="s">
        <v>600</v>
      </c>
      <c r="H139" s="2" t="s">
        <v>601</v>
      </c>
      <c r="I139" s="2" t="s">
        <v>12</v>
      </c>
      <c r="J139" s="2" t="s">
        <v>40</v>
      </c>
      <c r="K139" s="2" t="s">
        <v>602</v>
      </c>
      <c r="L139" s="2" t="s">
        <v>42</v>
      </c>
      <c r="M139" s="2" t="s">
        <v>603</v>
      </c>
      <c r="N139" s="2" t="s">
        <v>35</v>
      </c>
      <c r="O139" s="2" t="s">
        <v>344</v>
      </c>
      <c r="P139" s="2" t="s">
        <v>35</v>
      </c>
      <c r="Q139" s="2" t="s">
        <v>35</v>
      </c>
    </row>
    <row r="140" spans="1:17" ht="76.8">
      <c r="A140" s="8" t="str">
        <f>HYPERLINK("http://sipi.sic.gov.co/sipi/View.ashx?4104604","SD2022/0032287")</f>
        <v>SD2022/0032287</v>
      </c>
      <c r="B140" s="2" t="s">
        <v>604</v>
      </c>
      <c r="C140" s="7" t="s">
        <v>35</v>
      </c>
      <c r="D140" s="2" t="s">
        <v>597</v>
      </c>
      <c r="E140" s="2" t="s">
        <v>35</v>
      </c>
      <c r="F140" s="2" t="s">
        <v>37</v>
      </c>
      <c r="G140" s="2" t="s">
        <v>35</v>
      </c>
      <c r="H140" s="2" t="s">
        <v>605</v>
      </c>
      <c r="I140" s="2" t="s">
        <v>606</v>
      </c>
      <c r="J140" s="2" t="s">
        <v>40</v>
      </c>
      <c r="K140" s="2" t="s">
        <v>607</v>
      </c>
      <c r="L140" s="2" t="s">
        <v>42</v>
      </c>
      <c r="M140" s="2" t="s">
        <v>35</v>
      </c>
      <c r="N140" s="2" t="s">
        <v>35</v>
      </c>
      <c r="O140" s="2" t="s">
        <v>487</v>
      </c>
      <c r="P140" s="2" t="s">
        <v>35</v>
      </c>
      <c r="Q140" s="2" t="s">
        <v>35</v>
      </c>
    </row>
    <row r="141" spans="1:17" ht="100.8">
      <c r="A141" s="8" t="str">
        <f>HYPERLINK("http://sipi.sic.gov.co/sipi/View.ashx?4104958","SD2022/0032729")</f>
        <v>SD2022/0032729</v>
      </c>
      <c r="B141" s="2" t="s">
        <v>608</v>
      </c>
      <c r="C141" s="7" t="s">
        <v>35</v>
      </c>
      <c r="D141" s="2" t="s">
        <v>609</v>
      </c>
      <c r="E141" s="2" t="s">
        <v>35</v>
      </c>
      <c r="F141" s="2" t="s">
        <v>37</v>
      </c>
      <c r="G141" s="2" t="s">
        <v>608</v>
      </c>
      <c r="H141" s="2" t="s">
        <v>610</v>
      </c>
      <c r="I141" s="2" t="s">
        <v>12</v>
      </c>
      <c r="J141" s="2" t="s">
        <v>40</v>
      </c>
      <c r="K141" s="2" t="s">
        <v>611</v>
      </c>
      <c r="L141" s="2" t="s">
        <v>55</v>
      </c>
      <c r="M141" s="2" t="s">
        <v>612</v>
      </c>
      <c r="N141" s="2" t="s">
        <v>35</v>
      </c>
      <c r="O141" s="2" t="s">
        <v>487</v>
      </c>
      <c r="P141" s="2" t="s">
        <v>35</v>
      </c>
      <c r="Q141" s="2" t="s">
        <v>35</v>
      </c>
    </row>
    <row r="142" spans="1:17" ht="129.6">
      <c r="A142" s="8" t="str">
        <f>HYPERLINK("http://sipi.sic.gov.co/sipi/View.ashx?4104995","SD2022/0032739")</f>
        <v>SD2022/0032739</v>
      </c>
      <c r="B142" s="2" t="s">
        <v>613</v>
      </c>
      <c r="C142" s="7" t="s">
        <v>35</v>
      </c>
      <c r="D142" s="2" t="s">
        <v>609</v>
      </c>
      <c r="E142" s="2" t="s">
        <v>35</v>
      </c>
      <c r="F142" s="2" t="s">
        <v>37</v>
      </c>
      <c r="G142" s="2" t="s">
        <v>614</v>
      </c>
      <c r="H142" s="2" t="s">
        <v>610</v>
      </c>
      <c r="I142" s="2" t="s">
        <v>12</v>
      </c>
      <c r="J142" s="2" t="s">
        <v>40</v>
      </c>
      <c r="K142" s="2" t="s">
        <v>615</v>
      </c>
      <c r="L142" s="2" t="s">
        <v>42</v>
      </c>
      <c r="M142" s="2" t="s">
        <v>612</v>
      </c>
      <c r="N142" s="2" t="s">
        <v>35</v>
      </c>
      <c r="O142" s="2" t="s">
        <v>123</v>
      </c>
      <c r="P142" s="2" t="s">
        <v>35</v>
      </c>
      <c r="Q142" s="2" t="s">
        <v>35</v>
      </c>
    </row>
    <row r="143" spans="1:17" ht="129.6">
      <c r="A143" s="8" t="str">
        <f>HYPERLINK("http://sipi.sic.gov.co/sipi/View.ashx?4105081","SD2022/0032909")</f>
        <v>SD2022/0032909</v>
      </c>
      <c r="B143" s="2" t="s">
        <v>616</v>
      </c>
      <c r="C143" s="7" t="s">
        <v>35</v>
      </c>
      <c r="D143" s="2" t="s">
        <v>609</v>
      </c>
      <c r="E143" s="2" t="s">
        <v>35</v>
      </c>
      <c r="F143" s="2" t="s">
        <v>37</v>
      </c>
      <c r="G143" s="2" t="s">
        <v>616</v>
      </c>
      <c r="H143" s="2" t="s">
        <v>610</v>
      </c>
      <c r="I143" s="2" t="s">
        <v>12</v>
      </c>
      <c r="J143" s="2" t="s">
        <v>40</v>
      </c>
      <c r="K143" s="2" t="s">
        <v>615</v>
      </c>
      <c r="L143" s="2" t="s">
        <v>42</v>
      </c>
      <c r="M143" s="2" t="s">
        <v>612</v>
      </c>
      <c r="N143" s="2" t="s">
        <v>35</v>
      </c>
      <c r="O143" s="2" t="s">
        <v>487</v>
      </c>
      <c r="P143" s="2" t="s">
        <v>35</v>
      </c>
      <c r="Q143" s="2" t="s">
        <v>35</v>
      </c>
    </row>
    <row r="144" spans="1:17" ht="115.2">
      <c r="A144" s="8" t="str">
        <f>HYPERLINK("http://sipi.sic.gov.co/sipi/View.ashx?4105608","SD2022/0032531")</f>
        <v>SD2022/0032531</v>
      </c>
      <c r="B144" s="2" t="s">
        <v>617</v>
      </c>
      <c r="C144" s="2" t="s">
        <v>35</v>
      </c>
      <c r="D144" s="2" t="s">
        <v>618</v>
      </c>
      <c r="E144" s="2" t="s">
        <v>35</v>
      </c>
      <c r="F144" s="2" t="s">
        <v>37</v>
      </c>
      <c r="G144" s="2" t="s">
        <v>35</v>
      </c>
      <c r="H144" s="2" t="s">
        <v>619</v>
      </c>
      <c r="I144" s="2" t="s">
        <v>12</v>
      </c>
      <c r="J144" s="2" t="s">
        <v>40</v>
      </c>
      <c r="K144" s="2" t="s">
        <v>620</v>
      </c>
      <c r="L144" s="2" t="s">
        <v>42</v>
      </c>
      <c r="M144" s="2" t="s">
        <v>621</v>
      </c>
      <c r="N144" s="2" t="s">
        <v>35</v>
      </c>
      <c r="O144" s="2" t="s">
        <v>476</v>
      </c>
      <c r="P144" s="2" t="s">
        <v>35</v>
      </c>
      <c r="Q144" s="2" t="s">
        <v>35</v>
      </c>
    </row>
    <row r="145" spans="1:17" ht="129.6">
      <c r="A145" s="8" t="str">
        <f>HYPERLINK("http://sipi.sic.gov.co/sipi/View.ashx?4106694","SD2022/0032783")</f>
        <v>SD2022/0032783</v>
      </c>
      <c r="B145" s="2" t="s">
        <v>622</v>
      </c>
      <c r="C145" s="2" t="s">
        <v>35</v>
      </c>
      <c r="D145" s="2" t="s">
        <v>609</v>
      </c>
      <c r="E145" s="2" t="s">
        <v>35</v>
      </c>
      <c r="F145" s="2" t="s">
        <v>37</v>
      </c>
      <c r="G145" s="2" t="s">
        <v>623</v>
      </c>
      <c r="H145" s="2" t="s">
        <v>624</v>
      </c>
      <c r="I145" s="2" t="s">
        <v>12</v>
      </c>
      <c r="J145" s="2" t="s">
        <v>40</v>
      </c>
      <c r="K145" s="2" t="s">
        <v>625</v>
      </c>
      <c r="L145" s="2" t="s">
        <v>42</v>
      </c>
      <c r="M145" s="2" t="s">
        <v>417</v>
      </c>
      <c r="N145" s="2" t="s">
        <v>35</v>
      </c>
      <c r="O145" s="2" t="s">
        <v>476</v>
      </c>
      <c r="P145" s="2" t="s">
        <v>35</v>
      </c>
      <c r="Q145" s="2" t="s">
        <v>35</v>
      </c>
    </row>
    <row r="146" spans="1:17" ht="129.6">
      <c r="A146" s="8" t="str">
        <f>HYPERLINK("http://sipi.sic.gov.co/sipi/View.ashx?4106703","SD2022/0032790")</f>
        <v>SD2022/0032790</v>
      </c>
      <c r="B146" s="2" t="s">
        <v>626</v>
      </c>
      <c r="C146" s="2" t="s">
        <v>35</v>
      </c>
      <c r="D146" s="2" t="s">
        <v>609</v>
      </c>
      <c r="E146" s="2" t="s">
        <v>35</v>
      </c>
      <c r="F146" s="2" t="s">
        <v>37</v>
      </c>
      <c r="G146" s="2" t="s">
        <v>627</v>
      </c>
      <c r="H146" s="2" t="s">
        <v>624</v>
      </c>
      <c r="I146" s="2" t="s">
        <v>12</v>
      </c>
      <c r="J146" s="2" t="s">
        <v>40</v>
      </c>
      <c r="K146" s="2" t="s">
        <v>628</v>
      </c>
      <c r="L146" s="2" t="s">
        <v>42</v>
      </c>
      <c r="M146" s="2" t="s">
        <v>417</v>
      </c>
      <c r="N146" s="2" t="s">
        <v>35</v>
      </c>
      <c r="O146" s="2" t="s">
        <v>476</v>
      </c>
      <c r="P146" s="2" t="s">
        <v>35</v>
      </c>
      <c r="Q146" s="2" t="s">
        <v>35</v>
      </c>
    </row>
    <row r="147" spans="1:17" ht="129.6">
      <c r="A147" s="8" t="str">
        <f>HYPERLINK("http://sipi.sic.gov.co/sipi/View.ashx?4107290","SD2022/0032785")</f>
        <v>SD2022/0032785</v>
      </c>
      <c r="B147" s="2" t="s">
        <v>629</v>
      </c>
      <c r="C147" s="7" t="s">
        <v>35</v>
      </c>
      <c r="D147" s="2" t="s">
        <v>609</v>
      </c>
      <c r="E147" s="2" t="s">
        <v>35</v>
      </c>
      <c r="F147" s="2" t="s">
        <v>37</v>
      </c>
      <c r="G147" s="2" t="s">
        <v>629</v>
      </c>
      <c r="H147" s="2" t="s">
        <v>610</v>
      </c>
      <c r="I147" s="2" t="s">
        <v>12</v>
      </c>
      <c r="J147" s="2" t="s">
        <v>40</v>
      </c>
      <c r="K147" s="2" t="s">
        <v>615</v>
      </c>
      <c r="L147" s="2" t="s">
        <v>55</v>
      </c>
      <c r="M147" s="2" t="s">
        <v>612</v>
      </c>
      <c r="N147" s="2" t="s">
        <v>35</v>
      </c>
      <c r="O147" s="2" t="s">
        <v>487</v>
      </c>
      <c r="P147" s="2" t="s">
        <v>35</v>
      </c>
      <c r="Q147" s="2" t="s">
        <v>35</v>
      </c>
    </row>
    <row r="148" spans="1:17" ht="115.2">
      <c r="A148" s="8" t="str">
        <f>HYPERLINK("http://sipi.sic.gov.co/sipi/View.ashx?4109129","SD2022/0033222")</f>
        <v>SD2022/0033222</v>
      </c>
      <c r="B148" s="2" t="s">
        <v>630</v>
      </c>
      <c r="C148" s="2" t="s">
        <v>35</v>
      </c>
      <c r="D148" s="2" t="s">
        <v>631</v>
      </c>
      <c r="E148" s="2" t="s">
        <v>35</v>
      </c>
      <c r="F148" s="2" t="s">
        <v>37</v>
      </c>
      <c r="G148" s="2" t="s">
        <v>35</v>
      </c>
      <c r="H148" s="2" t="s">
        <v>632</v>
      </c>
      <c r="I148" s="2" t="s">
        <v>12</v>
      </c>
      <c r="J148" s="2" t="s">
        <v>40</v>
      </c>
      <c r="K148" s="2" t="s">
        <v>380</v>
      </c>
      <c r="L148" s="2" t="s">
        <v>42</v>
      </c>
      <c r="M148" s="2" t="s">
        <v>633</v>
      </c>
      <c r="N148" s="2" t="s">
        <v>35</v>
      </c>
      <c r="O148" s="2" t="s">
        <v>191</v>
      </c>
      <c r="P148" s="2" t="s">
        <v>35</v>
      </c>
      <c r="Q148" s="2" t="s">
        <v>35</v>
      </c>
    </row>
    <row r="149" spans="1:17" ht="129.6">
      <c r="A149" s="8" t="str">
        <f>HYPERLINK("http://sipi.sic.gov.co/sipi/View.ashx?4109427","SD2022/0033342")</f>
        <v>SD2022/0033342</v>
      </c>
      <c r="B149" s="2" t="s">
        <v>634</v>
      </c>
      <c r="C149" s="7" t="s">
        <v>35</v>
      </c>
      <c r="D149" s="2" t="s">
        <v>631</v>
      </c>
      <c r="E149" s="2" t="s">
        <v>35</v>
      </c>
      <c r="F149" s="2" t="s">
        <v>37</v>
      </c>
      <c r="G149" s="2" t="s">
        <v>634</v>
      </c>
      <c r="H149" s="2" t="s">
        <v>610</v>
      </c>
      <c r="I149" s="2" t="s">
        <v>12</v>
      </c>
      <c r="J149" s="2" t="s">
        <v>40</v>
      </c>
      <c r="K149" s="2" t="s">
        <v>615</v>
      </c>
      <c r="L149" s="2" t="s">
        <v>42</v>
      </c>
      <c r="M149" s="2" t="s">
        <v>612</v>
      </c>
      <c r="N149" s="2" t="s">
        <v>35</v>
      </c>
      <c r="O149" s="2" t="s">
        <v>487</v>
      </c>
      <c r="P149" s="2" t="s">
        <v>35</v>
      </c>
      <c r="Q149" s="2" t="s">
        <v>35</v>
      </c>
    </row>
    <row r="150" spans="1:17" ht="201.6">
      <c r="A150" s="8" t="str">
        <f>HYPERLINK("http://sipi.sic.gov.co/sipi/View.ashx?4109650","SD2022/0033494")</f>
        <v>SD2022/0033494</v>
      </c>
      <c r="B150" s="2" t="s">
        <v>635</v>
      </c>
      <c r="C150" s="7" t="s">
        <v>35</v>
      </c>
      <c r="D150" s="2" t="s">
        <v>631</v>
      </c>
      <c r="E150" s="2" t="s">
        <v>35</v>
      </c>
      <c r="F150" s="2" t="s">
        <v>37</v>
      </c>
      <c r="G150" s="2" t="s">
        <v>636</v>
      </c>
      <c r="H150" s="2" t="s">
        <v>637</v>
      </c>
      <c r="I150" s="2" t="s">
        <v>61</v>
      </c>
      <c r="J150" s="2" t="s">
        <v>40</v>
      </c>
      <c r="K150" s="2" t="s">
        <v>638</v>
      </c>
      <c r="L150" s="2" t="s">
        <v>42</v>
      </c>
      <c r="M150" s="2" t="s">
        <v>128</v>
      </c>
      <c r="N150" s="2" t="s">
        <v>35</v>
      </c>
      <c r="O150" s="2" t="s">
        <v>191</v>
      </c>
      <c r="P150" s="2" t="s">
        <v>35</v>
      </c>
      <c r="Q150" s="2" t="s">
        <v>35</v>
      </c>
    </row>
    <row r="151" spans="1:17" ht="201.6">
      <c r="A151" s="8" t="str">
        <f>HYPERLINK("http://sipi.sic.gov.co/sipi/View.ashx?4109705","SD2022/0033496")</f>
        <v>SD2022/0033496</v>
      </c>
      <c r="B151" s="2" t="s">
        <v>639</v>
      </c>
      <c r="C151" s="7" t="s">
        <v>35</v>
      </c>
      <c r="D151" s="2" t="s">
        <v>631</v>
      </c>
      <c r="E151" s="2" t="s">
        <v>35</v>
      </c>
      <c r="F151" s="2" t="s">
        <v>37</v>
      </c>
      <c r="G151" s="2" t="s">
        <v>640</v>
      </c>
      <c r="H151" s="2" t="s">
        <v>637</v>
      </c>
      <c r="I151" s="2" t="s">
        <v>61</v>
      </c>
      <c r="J151" s="2" t="s">
        <v>40</v>
      </c>
      <c r="K151" s="2" t="s">
        <v>638</v>
      </c>
      <c r="L151" s="2" t="s">
        <v>55</v>
      </c>
      <c r="M151" s="2" t="s">
        <v>128</v>
      </c>
      <c r="N151" s="2" t="s">
        <v>35</v>
      </c>
      <c r="O151" s="2" t="s">
        <v>476</v>
      </c>
      <c r="P151" s="2" t="s">
        <v>35</v>
      </c>
      <c r="Q151" s="2" t="s">
        <v>35</v>
      </c>
    </row>
    <row r="152" spans="1:17" ht="230.4">
      <c r="A152" s="8" t="str">
        <f>HYPERLINK("http://sipi.sic.gov.co/sipi/View.ashx?4109774","SD2022/0033498")</f>
        <v>SD2022/0033498</v>
      </c>
      <c r="B152" s="2" t="s">
        <v>641</v>
      </c>
      <c r="C152" s="2" t="s">
        <v>35</v>
      </c>
      <c r="D152" s="2" t="s">
        <v>631</v>
      </c>
      <c r="E152" s="2" t="s">
        <v>35</v>
      </c>
      <c r="F152" s="2" t="s">
        <v>37</v>
      </c>
      <c r="G152" s="2" t="s">
        <v>642</v>
      </c>
      <c r="H152" s="2" t="s">
        <v>637</v>
      </c>
      <c r="I152" s="2" t="s">
        <v>61</v>
      </c>
      <c r="J152" s="2" t="s">
        <v>40</v>
      </c>
      <c r="K152" s="2" t="s">
        <v>643</v>
      </c>
      <c r="L152" s="2" t="s">
        <v>55</v>
      </c>
      <c r="M152" s="2" t="s">
        <v>128</v>
      </c>
      <c r="N152" s="2" t="s">
        <v>35</v>
      </c>
      <c r="O152" s="2" t="s">
        <v>487</v>
      </c>
      <c r="P152" s="2" t="s">
        <v>35</v>
      </c>
      <c r="Q152" s="2" t="s">
        <v>35</v>
      </c>
    </row>
    <row r="153" spans="1:17" ht="409.6">
      <c r="A153" s="8" t="str">
        <f>HYPERLINK("http://sipi.sic.gov.co/sipi/View.ashx?4109829","SD2022/0037737")</f>
        <v>SD2022/0037737</v>
      </c>
      <c r="B153" s="2" t="s">
        <v>644</v>
      </c>
      <c r="C153" s="7" t="s">
        <v>35</v>
      </c>
      <c r="D153" s="2" t="s">
        <v>156</v>
      </c>
      <c r="E153" s="2" t="s">
        <v>35</v>
      </c>
      <c r="F153" s="2" t="s">
        <v>37</v>
      </c>
      <c r="G153" s="2" t="s">
        <v>35</v>
      </c>
      <c r="H153" s="2" t="s">
        <v>645</v>
      </c>
      <c r="I153" s="2" t="s">
        <v>646</v>
      </c>
      <c r="J153" s="2" t="s">
        <v>40</v>
      </c>
      <c r="K153" s="2" t="s">
        <v>647</v>
      </c>
      <c r="L153" s="2" t="s">
        <v>55</v>
      </c>
      <c r="M153" s="2" t="s">
        <v>648</v>
      </c>
      <c r="N153" s="2" t="s">
        <v>35</v>
      </c>
      <c r="O153" s="2" t="s">
        <v>649</v>
      </c>
      <c r="P153" s="2" t="s">
        <v>35</v>
      </c>
      <c r="Q153" s="2" t="s">
        <v>35</v>
      </c>
    </row>
    <row r="154" spans="1:17" ht="144">
      <c r="A154" s="8" t="str">
        <f>HYPERLINK("http://sipi.sic.gov.co/sipi/View.ashx?4110326","SD2022/0033527")</f>
        <v>SD2022/0033527</v>
      </c>
      <c r="B154" s="2" t="s">
        <v>650</v>
      </c>
      <c r="C154" s="2" t="s">
        <v>35</v>
      </c>
      <c r="D154" s="2" t="s">
        <v>651</v>
      </c>
      <c r="E154" s="2" t="s">
        <v>35</v>
      </c>
      <c r="F154" s="2" t="s">
        <v>37</v>
      </c>
      <c r="G154" s="2" t="s">
        <v>35</v>
      </c>
      <c r="H154" s="2" t="s">
        <v>652</v>
      </c>
      <c r="I154" s="2" t="s">
        <v>12</v>
      </c>
      <c r="J154" s="2" t="s">
        <v>40</v>
      </c>
      <c r="K154" s="2" t="s">
        <v>653</v>
      </c>
      <c r="L154" s="2" t="s">
        <v>42</v>
      </c>
      <c r="M154" s="2" t="s">
        <v>654</v>
      </c>
      <c r="N154" s="2" t="s">
        <v>35</v>
      </c>
      <c r="O154" s="2" t="s">
        <v>49</v>
      </c>
      <c r="P154" s="2" t="s">
        <v>35</v>
      </c>
      <c r="Q154" s="2" t="s">
        <v>35</v>
      </c>
    </row>
    <row r="155" spans="1:17" ht="129.6">
      <c r="A155" s="8" t="str">
        <f>HYPERLINK("http://sipi.sic.gov.co/sipi/View.ashx?4110924","SD2022/0033705")</f>
        <v>SD2022/0033705</v>
      </c>
      <c r="B155" s="2" t="s">
        <v>655</v>
      </c>
      <c r="C155" s="7" t="s">
        <v>35</v>
      </c>
      <c r="D155" s="2" t="s">
        <v>651</v>
      </c>
      <c r="E155" s="2" t="s">
        <v>35</v>
      </c>
      <c r="F155" s="2" t="s">
        <v>37</v>
      </c>
      <c r="G155" s="2" t="s">
        <v>35</v>
      </c>
      <c r="H155" s="2" t="s">
        <v>656</v>
      </c>
      <c r="I155" s="2" t="s">
        <v>12</v>
      </c>
      <c r="J155" s="2" t="s">
        <v>40</v>
      </c>
      <c r="K155" s="2" t="s">
        <v>657</v>
      </c>
      <c r="L155" s="2" t="s">
        <v>42</v>
      </c>
      <c r="M155" s="2" t="s">
        <v>371</v>
      </c>
      <c r="N155" s="2" t="s">
        <v>35</v>
      </c>
      <c r="O155" s="2" t="s">
        <v>476</v>
      </c>
      <c r="P155" s="2" t="s">
        <v>35</v>
      </c>
      <c r="Q155" s="2" t="s">
        <v>35</v>
      </c>
    </row>
    <row r="156" spans="1:17" ht="129.6">
      <c r="A156" s="8" t="str">
        <f>HYPERLINK("http://sipi.sic.gov.co/sipi/View.ashx?4110967","SD2022/0033726")</f>
        <v>SD2022/0033726</v>
      </c>
      <c r="B156" s="2" t="s">
        <v>658</v>
      </c>
      <c r="C156" s="7" t="s">
        <v>35</v>
      </c>
      <c r="D156" s="2" t="s">
        <v>651</v>
      </c>
      <c r="E156" s="2" t="s">
        <v>35</v>
      </c>
      <c r="F156" s="2" t="s">
        <v>37</v>
      </c>
      <c r="G156" s="2" t="s">
        <v>35</v>
      </c>
      <c r="H156" s="2" t="s">
        <v>656</v>
      </c>
      <c r="I156" s="2" t="s">
        <v>12</v>
      </c>
      <c r="J156" s="2" t="s">
        <v>40</v>
      </c>
      <c r="K156" s="2" t="s">
        <v>657</v>
      </c>
      <c r="L156" s="2" t="s">
        <v>42</v>
      </c>
      <c r="M156" s="2" t="s">
        <v>371</v>
      </c>
      <c r="N156" s="2" t="s">
        <v>35</v>
      </c>
      <c r="O156" s="2" t="s">
        <v>156</v>
      </c>
      <c r="P156" s="2" t="s">
        <v>35</v>
      </c>
      <c r="Q156" s="2" t="s">
        <v>35</v>
      </c>
    </row>
    <row r="157" spans="1:17" ht="129.6">
      <c r="A157" s="8" t="str">
        <f>HYPERLINK("http://sipi.sic.gov.co/sipi/View.ashx?4111096","SD2022/0033768")</f>
        <v>SD2022/0033768</v>
      </c>
      <c r="B157" s="2" t="s">
        <v>659</v>
      </c>
      <c r="C157" s="2" t="s">
        <v>35</v>
      </c>
      <c r="D157" s="2" t="s">
        <v>651</v>
      </c>
      <c r="E157" s="2" t="s">
        <v>35</v>
      </c>
      <c r="F157" s="2" t="s">
        <v>37</v>
      </c>
      <c r="G157" s="2" t="s">
        <v>35</v>
      </c>
      <c r="H157" s="2" t="s">
        <v>660</v>
      </c>
      <c r="I157" s="2" t="s">
        <v>12</v>
      </c>
      <c r="J157" s="2" t="s">
        <v>40</v>
      </c>
      <c r="K157" s="2" t="s">
        <v>661</v>
      </c>
      <c r="L157" s="2" t="s">
        <v>42</v>
      </c>
      <c r="M157" s="2" t="s">
        <v>662</v>
      </c>
      <c r="N157" s="2" t="s">
        <v>35</v>
      </c>
      <c r="O157" s="2" t="s">
        <v>191</v>
      </c>
      <c r="P157" s="2" t="s">
        <v>35</v>
      </c>
      <c r="Q157" s="2" t="s">
        <v>35</v>
      </c>
    </row>
    <row r="158" spans="1:17" ht="129.6">
      <c r="A158" s="8" t="str">
        <f>HYPERLINK("http://sipi.sic.gov.co/sipi/View.ashx?4111146","SD2022/0033779")</f>
        <v>SD2022/0033779</v>
      </c>
      <c r="B158" s="2" t="s">
        <v>663</v>
      </c>
      <c r="C158" s="2" t="s">
        <v>35</v>
      </c>
      <c r="D158" s="2" t="s">
        <v>651</v>
      </c>
      <c r="E158" s="2" t="s">
        <v>35</v>
      </c>
      <c r="F158" s="2" t="s">
        <v>37</v>
      </c>
      <c r="G158" s="2" t="s">
        <v>35</v>
      </c>
      <c r="H158" s="2" t="s">
        <v>660</v>
      </c>
      <c r="I158" s="2" t="s">
        <v>12</v>
      </c>
      <c r="J158" s="2" t="s">
        <v>40</v>
      </c>
      <c r="K158" s="2" t="s">
        <v>664</v>
      </c>
      <c r="L158" s="2" t="s">
        <v>42</v>
      </c>
      <c r="M158" s="2" t="s">
        <v>662</v>
      </c>
      <c r="N158" s="2" t="s">
        <v>35</v>
      </c>
      <c r="O158" s="2" t="s">
        <v>191</v>
      </c>
      <c r="P158" s="2" t="s">
        <v>35</v>
      </c>
      <c r="Q158" s="2" t="s">
        <v>35</v>
      </c>
    </row>
    <row r="159" spans="1:17" ht="158.4">
      <c r="A159" s="8" t="str">
        <f>HYPERLINK("http://sipi.sic.gov.co/sipi/View.ashx?4113557","SD2022/0034478")</f>
        <v>SD2022/0034478</v>
      </c>
      <c r="B159" s="2" t="s">
        <v>665</v>
      </c>
      <c r="C159" s="7" t="s">
        <v>35</v>
      </c>
      <c r="D159" s="2" t="s">
        <v>666</v>
      </c>
      <c r="E159" s="2" t="s">
        <v>35</v>
      </c>
      <c r="F159" s="2" t="s">
        <v>37</v>
      </c>
      <c r="G159" s="2" t="s">
        <v>667</v>
      </c>
      <c r="H159" s="2" t="s">
        <v>668</v>
      </c>
      <c r="I159" s="2" t="s">
        <v>12</v>
      </c>
      <c r="J159" s="2" t="s">
        <v>40</v>
      </c>
      <c r="K159" s="2" t="s">
        <v>669</v>
      </c>
      <c r="L159" s="2" t="s">
        <v>42</v>
      </c>
      <c r="M159" s="2" t="s">
        <v>670</v>
      </c>
      <c r="N159" s="2" t="s">
        <v>35</v>
      </c>
      <c r="O159" s="2" t="s">
        <v>156</v>
      </c>
      <c r="P159" s="2" t="s">
        <v>35</v>
      </c>
      <c r="Q159" s="2" t="s">
        <v>35</v>
      </c>
    </row>
    <row r="160" spans="1:17" ht="129.6">
      <c r="A160" s="8" t="str">
        <f>HYPERLINK("http://sipi.sic.gov.co/sipi/View.ashx?4113736","SD2022/0034645")</f>
        <v>SD2022/0034645</v>
      </c>
      <c r="B160" s="2" t="s">
        <v>671</v>
      </c>
      <c r="C160" s="2" t="s">
        <v>35</v>
      </c>
      <c r="D160" s="2" t="s">
        <v>49</v>
      </c>
      <c r="E160" s="2" t="s">
        <v>35</v>
      </c>
      <c r="F160" s="2" t="s">
        <v>37</v>
      </c>
      <c r="G160" s="2" t="s">
        <v>35</v>
      </c>
      <c r="H160" s="2" t="s">
        <v>672</v>
      </c>
      <c r="I160" s="2" t="s">
        <v>12</v>
      </c>
      <c r="J160" s="2" t="s">
        <v>40</v>
      </c>
      <c r="K160" s="2" t="s">
        <v>673</v>
      </c>
      <c r="L160" s="2" t="s">
        <v>42</v>
      </c>
      <c r="M160" s="2" t="s">
        <v>110</v>
      </c>
      <c r="N160" s="2" t="s">
        <v>35</v>
      </c>
      <c r="O160" s="2" t="s">
        <v>191</v>
      </c>
      <c r="P160" s="2" t="s">
        <v>35</v>
      </c>
      <c r="Q160" s="2" t="s">
        <v>35</v>
      </c>
    </row>
    <row r="161" spans="1:17" ht="129.6">
      <c r="A161" s="8" t="str">
        <f>HYPERLINK("http://sipi.sic.gov.co/sipi/View.ashx?4113741","SD2022/0034642")</f>
        <v>SD2022/0034642</v>
      </c>
      <c r="B161" s="2" t="s">
        <v>674</v>
      </c>
      <c r="C161" s="2" t="s">
        <v>35</v>
      </c>
      <c r="D161" s="2" t="s">
        <v>49</v>
      </c>
      <c r="E161" s="2" t="s">
        <v>35</v>
      </c>
      <c r="F161" s="2" t="s">
        <v>37</v>
      </c>
      <c r="G161" s="2" t="s">
        <v>35</v>
      </c>
      <c r="H161" s="2" t="s">
        <v>672</v>
      </c>
      <c r="I161" s="2" t="s">
        <v>12</v>
      </c>
      <c r="J161" s="2" t="s">
        <v>40</v>
      </c>
      <c r="K161" s="2" t="s">
        <v>673</v>
      </c>
      <c r="L161" s="2" t="s">
        <v>42</v>
      </c>
      <c r="M161" s="2" t="s">
        <v>110</v>
      </c>
      <c r="N161" s="2" t="s">
        <v>35</v>
      </c>
      <c r="O161" s="2" t="s">
        <v>476</v>
      </c>
      <c r="P161" s="2" t="s">
        <v>35</v>
      </c>
      <c r="Q161" s="2" t="s">
        <v>35</v>
      </c>
    </row>
    <row r="162" spans="1:17" ht="129.6">
      <c r="A162" s="8" t="str">
        <f>HYPERLINK("http://sipi.sic.gov.co/sipi/View.ashx?4113758","SD2022/0034628")</f>
        <v>SD2022/0034628</v>
      </c>
      <c r="B162" s="2" t="s">
        <v>675</v>
      </c>
      <c r="C162" s="2" t="s">
        <v>35</v>
      </c>
      <c r="D162" s="2" t="s">
        <v>49</v>
      </c>
      <c r="E162" s="2" t="s">
        <v>35</v>
      </c>
      <c r="F162" s="2" t="s">
        <v>37</v>
      </c>
      <c r="G162" s="2" t="s">
        <v>35</v>
      </c>
      <c r="H162" s="2" t="s">
        <v>672</v>
      </c>
      <c r="I162" s="2" t="s">
        <v>12</v>
      </c>
      <c r="J162" s="2" t="s">
        <v>40</v>
      </c>
      <c r="K162" s="2" t="s">
        <v>673</v>
      </c>
      <c r="L162" s="2" t="s">
        <v>42</v>
      </c>
      <c r="M162" s="2" t="s">
        <v>110</v>
      </c>
      <c r="N162" s="2" t="s">
        <v>35</v>
      </c>
      <c r="O162" s="2" t="s">
        <v>476</v>
      </c>
      <c r="P162" s="2" t="s">
        <v>35</v>
      </c>
      <c r="Q162" s="2" t="s">
        <v>35</v>
      </c>
    </row>
    <row r="163" spans="1:17" ht="129.6">
      <c r="A163" s="8" t="str">
        <f>HYPERLINK("http://sipi.sic.gov.co/sipi/View.ashx?4113766","SD2022/0034623")</f>
        <v>SD2022/0034623</v>
      </c>
      <c r="B163" s="2" t="s">
        <v>676</v>
      </c>
      <c r="C163" s="2" t="s">
        <v>35</v>
      </c>
      <c r="D163" s="2" t="s">
        <v>49</v>
      </c>
      <c r="E163" s="2" t="s">
        <v>35</v>
      </c>
      <c r="F163" s="2" t="s">
        <v>37</v>
      </c>
      <c r="G163" s="2" t="s">
        <v>35</v>
      </c>
      <c r="H163" s="2" t="s">
        <v>672</v>
      </c>
      <c r="I163" s="2" t="s">
        <v>12</v>
      </c>
      <c r="J163" s="2" t="s">
        <v>40</v>
      </c>
      <c r="K163" s="2" t="s">
        <v>673</v>
      </c>
      <c r="L163" s="2" t="s">
        <v>42</v>
      </c>
      <c r="M163" s="2" t="s">
        <v>110</v>
      </c>
      <c r="N163" s="2" t="s">
        <v>35</v>
      </c>
      <c r="O163" s="2" t="s">
        <v>191</v>
      </c>
      <c r="P163" s="2" t="s">
        <v>35</v>
      </c>
      <c r="Q163" s="2" t="s">
        <v>35</v>
      </c>
    </row>
    <row r="164" spans="1:17" ht="158.4">
      <c r="A164" s="8" t="str">
        <f>HYPERLINK("http://sipi.sic.gov.co/sipi/View.ashx?4113935","SD2022/0034497")</f>
        <v>SD2022/0034497</v>
      </c>
      <c r="B164" s="2" t="s">
        <v>677</v>
      </c>
      <c r="C164" s="7" t="s">
        <v>35</v>
      </c>
      <c r="D164" s="2" t="s">
        <v>666</v>
      </c>
      <c r="E164" s="2" t="s">
        <v>35</v>
      </c>
      <c r="F164" s="2" t="s">
        <v>37</v>
      </c>
      <c r="G164" s="2" t="s">
        <v>678</v>
      </c>
      <c r="H164" s="2" t="s">
        <v>668</v>
      </c>
      <c r="I164" s="2" t="s">
        <v>12</v>
      </c>
      <c r="J164" s="2" t="s">
        <v>40</v>
      </c>
      <c r="K164" s="2" t="s">
        <v>679</v>
      </c>
      <c r="L164" s="2" t="s">
        <v>42</v>
      </c>
      <c r="M164" s="2" t="s">
        <v>670</v>
      </c>
      <c r="N164" s="2" t="s">
        <v>35</v>
      </c>
      <c r="O164" s="2" t="s">
        <v>156</v>
      </c>
      <c r="P164" s="2" t="s">
        <v>35</v>
      </c>
      <c r="Q164" s="2" t="s">
        <v>35</v>
      </c>
    </row>
    <row r="165" spans="1:17" ht="172.8">
      <c r="A165" s="8" t="str">
        <f>HYPERLINK("http://sipi.sic.gov.co/sipi/View.ashx?4115592","SD2022/0034971")</f>
        <v>SD2022/0034971</v>
      </c>
      <c r="B165" s="2" t="s">
        <v>680</v>
      </c>
      <c r="C165" s="7" t="s">
        <v>35</v>
      </c>
      <c r="D165" s="2" t="s">
        <v>49</v>
      </c>
      <c r="E165" s="2" t="s">
        <v>35</v>
      </c>
      <c r="F165" s="2" t="s">
        <v>37</v>
      </c>
      <c r="G165" s="2" t="s">
        <v>35</v>
      </c>
      <c r="H165" s="2" t="s">
        <v>681</v>
      </c>
      <c r="I165" s="2" t="s">
        <v>12</v>
      </c>
      <c r="J165" s="2" t="s">
        <v>40</v>
      </c>
      <c r="K165" s="2" t="s">
        <v>682</v>
      </c>
      <c r="L165" s="2" t="s">
        <v>42</v>
      </c>
      <c r="M165" s="2" t="s">
        <v>110</v>
      </c>
      <c r="N165" s="2" t="s">
        <v>35</v>
      </c>
      <c r="O165" s="2" t="s">
        <v>359</v>
      </c>
      <c r="P165" s="2" t="s">
        <v>35</v>
      </c>
      <c r="Q165" s="2" t="s">
        <v>35</v>
      </c>
    </row>
    <row r="166" spans="1:17" ht="201.6">
      <c r="A166" s="8" t="str">
        <f>HYPERLINK("http://sipi.sic.gov.co/sipi/View.ashx?4116889","SD2022/0035206")</f>
        <v>SD2022/0035206</v>
      </c>
      <c r="B166" s="2" t="s">
        <v>683</v>
      </c>
      <c r="C166" s="7" t="s">
        <v>35</v>
      </c>
      <c r="D166" s="2" t="s">
        <v>684</v>
      </c>
      <c r="E166" s="2" t="s">
        <v>35</v>
      </c>
      <c r="F166" s="2" t="s">
        <v>37</v>
      </c>
      <c r="G166" s="2" t="s">
        <v>35</v>
      </c>
      <c r="H166" s="2" t="s">
        <v>685</v>
      </c>
      <c r="I166" s="2" t="s">
        <v>61</v>
      </c>
      <c r="J166" s="2" t="s">
        <v>40</v>
      </c>
      <c r="K166" s="2" t="s">
        <v>686</v>
      </c>
      <c r="L166" s="2" t="s">
        <v>42</v>
      </c>
      <c r="M166" s="2" t="s">
        <v>35</v>
      </c>
      <c r="N166" s="2" t="s">
        <v>35</v>
      </c>
      <c r="O166" s="2" t="s">
        <v>268</v>
      </c>
      <c r="P166" s="2" t="s">
        <v>35</v>
      </c>
      <c r="Q166" s="2" t="s">
        <v>35</v>
      </c>
    </row>
    <row r="167" spans="1:17" ht="172.8">
      <c r="A167" s="8" t="str">
        <f>HYPERLINK("http://sipi.sic.gov.co/sipi/View.ashx?4117228","SD2022/0035305")</f>
        <v>SD2022/0035305</v>
      </c>
      <c r="B167" s="2" t="s">
        <v>687</v>
      </c>
      <c r="C167" s="7" t="s">
        <v>35</v>
      </c>
      <c r="D167" s="2" t="s">
        <v>688</v>
      </c>
      <c r="E167" s="2" t="s">
        <v>35</v>
      </c>
      <c r="F167" s="2" t="s">
        <v>37</v>
      </c>
      <c r="G167" s="2" t="s">
        <v>689</v>
      </c>
      <c r="H167" s="2" t="s">
        <v>690</v>
      </c>
      <c r="I167" s="2" t="s">
        <v>61</v>
      </c>
      <c r="J167" s="2" t="s">
        <v>40</v>
      </c>
      <c r="K167" s="2" t="s">
        <v>691</v>
      </c>
      <c r="L167" s="2" t="s">
        <v>42</v>
      </c>
      <c r="M167" s="2" t="s">
        <v>417</v>
      </c>
      <c r="N167" s="2" t="s">
        <v>35</v>
      </c>
      <c r="O167" s="2" t="s">
        <v>487</v>
      </c>
      <c r="P167" s="2" t="s">
        <v>35</v>
      </c>
      <c r="Q167" s="2" t="s">
        <v>35</v>
      </c>
    </row>
    <row r="168" spans="1:17" ht="172.8">
      <c r="A168" s="8" t="str">
        <f>HYPERLINK("http://sipi.sic.gov.co/sipi/View.ashx?4117236","SD2022/0035311")</f>
        <v>SD2022/0035311</v>
      </c>
      <c r="B168" s="2" t="s">
        <v>687</v>
      </c>
      <c r="C168" s="7" t="s">
        <v>35</v>
      </c>
      <c r="D168" s="2" t="s">
        <v>688</v>
      </c>
      <c r="E168" s="2" t="s">
        <v>35</v>
      </c>
      <c r="F168" s="2" t="s">
        <v>37</v>
      </c>
      <c r="G168" s="2" t="s">
        <v>692</v>
      </c>
      <c r="H168" s="2" t="s">
        <v>690</v>
      </c>
      <c r="I168" s="2" t="s">
        <v>61</v>
      </c>
      <c r="J168" s="2" t="s">
        <v>40</v>
      </c>
      <c r="K168" s="2" t="s">
        <v>691</v>
      </c>
      <c r="L168" s="2" t="s">
        <v>42</v>
      </c>
      <c r="M168" s="2" t="s">
        <v>417</v>
      </c>
      <c r="N168" s="2" t="s">
        <v>35</v>
      </c>
      <c r="O168" s="2" t="s">
        <v>487</v>
      </c>
      <c r="P168" s="2" t="s">
        <v>35</v>
      </c>
      <c r="Q168" s="2" t="s">
        <v>35</v>
      </c>
    </row>
    <row r="169" spans="1:17" ht="273.60000000000002">
      <c r="A169" s="8" t="str">
        <f>HYPERLINK("http://sipi.sic.gov.co/sipi/View.ashx?4117465","SD2022/0035343")</f>
        <v>SD2022/0035343</v>
      </c>
      <c r="B169" s="2" t="s">
        <v>693</v>
      </c>
      <c r="C169" s="7" t="s">
        <v>35</v>
      </c>
      <c r="D169" s="2" t="s">
        <v>688</v>
      </c>
      <c r="E169" s="2" t="s">
        <v>35</v>
      </c>
      <c r="F169" s="2" t="s">
        <v>37</v>
      </c>
      <c r="G169" s="2" t="s">
        <v>35</v>
      </c>
      <c r="H169" s="2" t="s">
        <v>694</v>
      </c>
      <c r="I169" s="2" t="s">
        <v>12</v>
      </c>
      <c r="J169" s="2" t="s">
        <v>40</v>
      </c>
      <c r="K169" s="2" t="s">
        <v>695</v>
      </c>
      <c r="L169" s="2" t="s">
        <v>42</v>
      </c>
      <c r="M169" s="2" t="s">
        <v>35</v>
      </c>
      <c r="N169" s="2" t="s">
        <v>35</v>
      </c>
      <c r="O169" s="2" t="s">
        <v>156</v>
      </c>
      <c r="P169" s="2" t="s">
        <v>35</v>
      </c>
      <c r="Q169" s="2" t="s">
        <v>35</v>
      </c>
    </row>
    <row r="170" spans="1:17" ht="187.2">
      <c r="A170" s="8" t="str">
        <f>HYPERLINK("http://sipi.sic.gov.co/sipi/View.ashx?4117546","SD2022/0035349")</f>
        <v>SD2022/0035349</v>
      </c>
      <c r="B170" s="2" t="s">
        <v>696</v>
      </c>
      <c r="C170" s="7" t="s">
        <v>35</v>
      </c>
      <c r="D170" s="2" t="s">
        <v>688</v>
      </c>
      <c r="E170" s="2" t="s">
        <v>35</v>
      </c>
      <c r="F170" s="2" t="s">
        <v>37</v>
      </c>
      <c r="G170" s="2" t="s">
        <v>35</v>
      </c>
      <c r="H170" s="2" t="s">
        <v>697</v>
      </c>
      <c r="I170" s="2" t="s">
        <v>12</v>
      </c>
      <c r="J170" s="2" t="s">
        <v>40</v>
      </c>
      <c r="K170" s="2" t="s">
        <v>698</v>
      </c>
      <c r="L170" s="2" t="s">
        <v>55</v>
      </c>
      <c r="M170" s="2" t="s">
        <v>252</v>
      </c>
      <c r="N170" s="2" t="s">
        <v>35</v>
      </c>
      <c r="O170" s="2" t="s">
        <v>344</v>
      </c>
      <c r="P170" s="2" t="s">
        <v>35</v>
      </c>
      <c r="Q170" s="2" t="s">
        <v>35</v>
      </c>
    </row>
    <row r="171" spans="1:17" ht="129.6">
      <c r="A171" s="8" t="str">
        <f>HYPERLINK("http://sipi.sic.gov.co/sipi/View.ashx?4120489","SD2022/0040784")</f>
        <v>SD2022/0040784</v>
      </c>
      <c r="B171" s="2" t="s">
        <v>699</v>
      </c>
      <c r="C171" s="7" t="s">
        <v>35</v>
      </c>
      <c r="D171" s="2" t="s">
        <v>700</v>
      </c>
      <c r="E171" s="2" t="s">
        <v>35</v>
      </c>
      <c r="F171" s="2" t="s">
        <v>37</v>
      </c>
      <c r="G171" s="2" t="s">
        <v>701</v>
      </c>
      <c r="H171" s="2" t="s">
        <v>702</v>
      </c>
      <c r="I171" s="2" t="s">
        <v>12</v>
      </c>
      <c r="J171" s="2" t="s">
        <v>40</v>
      </c>
      <c r="K171" s="2" t="s">
        <v>703</v>
      </c>
      <c r="L171" s="2" t="s">
        <v>42</v>
      </c>
      <c r="M171" s="2" t="s">
        <v>100</v>
      </c>
      <c r="N171" s="2" t="s">
        <v>35</v>
      </c>
      <c r="O171" s="2" t="s">
        <v>704</v>
      </c>
      <c r="P171" s="2" t="s">
        <v>35</v>
      </c>
      <c r="Q171" s="2" t="s">
        <v>35</v>
      </c>
    </row>
    <row r="172" spans="1:17" ht="302.39999999999998">
      <c r="A172" s="8" t="str">
        <f>HYPERLINK("http://sipi.sic.gov.co/sipi/View.ashx?4124462","SD2022/0036902")</f>
        <v>SD2022/0036902</v>
      </c>
      <c r="B172" s="2" t="s">
        <v>705</v>
      </c>
      <c r="C172" s="2" t="s">
        <v>35</v>
      </c>
      <c r="D172" s="2" t="s">
        <v>706</v>
      </c>
      <c r="E172" s="2" t="s">
        <v>35</v>
      </c>
      <c r="F172" s="2" t="s">
        <v>37</v>
      </c>
      <c r="G172" s="2" t="s">
        <v>707</v>
      </c>
      <c r="H172" s="2" t="s">
        <v>708</v>
      </c>
      <c r="I172" s="2" t="s">
        <v>12</v>
      </c>
      <c r="J172" s="2" t="s">
        <v>40</v>
      </c>
      <c r="K172" s="2" t="s">
        <v>709</v>
      </c>
      <c r="L172" s="2" t="s">
        <v>42</v>
      </c>
      <c r="M172" s="2" t="s">
        <v>710</v>
      </c>
      <c r="N172" s="2" t="s">
        <v>35</v>
      </c>
      <c r="O172" s="2" t="s">
        <v>476</v>
      </c>
      <c r="P172" s="2" t="s">
        <v>35</v>
      </c>
      <c r="Q172" s="2" t="s">
        <v>35</v>
      </c>
    </row>
    <row r="173" spans="1:17" ht="187.2">
      <c r="A173" s="8" t="str">
        <f>HYPERLINK("http://sipi.sic.gov.co/sipi/View.ashx?4124904","SD2022/0037098")</f>
        <v>SD2022/0037098</v>
      </c>
      <c r="B173" s="2" t="s">
        <v>711</v>
      </c>
      <c r="C173" s="2" t="s">
        <v>35</v>
      </c>
      <c r="D173" s="2" t="s">
        <v>706</v>
      </c>
      <c r="E173" s="2" t="s">
        <v>35</v>
      </c>
      <c r="F173" s="2" t="s">
        <v>37</v>
      </c>
      <c r="G173" s="2" t="s">
        <v>712</v>
      </c>
      <c r="H173" s="2" t="s">
        <v>713</v>
      </c>
      <c r="I173" s="2" t="s">
        <v>12</v>
      </c>
      <c r="J173" s="2" t="s">
        <v>40</v>
      </c>
      <c r="K173" s="2" t="s">
        <v>714</v>
      </c>
      <c r="L173" s="2" t="s">
        <v>42</v>
      </c>
      <c r="M173" s="2" t="s">
        <v>252</v>
      </c>
      <c r="N173" s="2" t="s">
        <v>35</v>
      </c>
      <c r="O173" s="2" t="s">
        <v>205</v>
      </c>
      <c r="P173" s="2" t="s">
        <v>35</v>
      </c>
      <c r="Q173" s="2" t="s">
        <v>35</v>
      </c>
    </row>
    <row r="174" spans="1:17" ht="187.2">
      <c r="A174" s="8" t="str">
        <f>HYPERLINK("http://sipi.sic.gov.co/sipi/View.ashx?4125239","SD2022/0037103")</f>
        <v>SD2022/0037103</v>
      </c>
      <c r="B174" s="2" t="s">
        <v>715</v>
      </c>
      <c r="C174" s="2" t="s">
        <v>35</v>
      </c>
      <c r="D174" s="2" t="s">
        <v>706</v>
      </c>
      <c r="E174" s="2" t="s">
        <v>35</v>
      </c>
      <c r="F174" s="2" t="s">
        <v>37</v>
      </c>
      <c r="G174" s="2" t="s">
        <v>716</v>
      </c>
      <c r="H174" s="2" t="s">
        <v>713</v>
      </c>
      <c r="I174" s="2" t="s">
        <v>12</v>
      </c>
      <c r="J174" s="2" t="s">
        <v>40</v>
      </c>
      <c r="K174" s="2" t="s">
        <v>41</v>
      </c>
      <c r="L174" s="2" t="s">
        <v>42</v>
      </c>
      <c r="M174" s="2" t="s">
        <v>252</v>
      </c>
      <c r="N174" s="2" t="s">
        <v>35</v>
      </c>
      <c r="O174" s="2" t="s">
        <v>205</v>
      </c>
      <c r="P174" s="2" t="s">
        <v>35</v>
      </c>
      <c r="Q174" s="2" t="s">
        <v>35</v>
      </c>
    </row>
    <row r="175" spans="1:17" ht="187.2">
      <c r="A175" s="8" t="str">
        <f>HYPERLINK("http://sipi.sic.gov.co/sipi/View.ashx?4125303","SD2022/0037226")</f>
        <v>SD2022/0037226</v>
      </c>
      <c r="B175" s="2" t="s">
        <v>717</v>
      </c>
      <c r="C175" s="2" t="s">
        <v>35</v>
      </c>
      <c r="D175" s="2" t="s">
        <v>706</v>
      </c>
      <c r="E175" s="2" t="s">
        <v>35</v>
      </c>
      <c r="F175" s="2" t="s">
        <v>37</v>
      </c>
      <c r="G175" s="2" t="s">
        <v>718</v>
      </c>
      <c r="H175" s="2" t="s">
        <v>713</v>
      </c>
      <c r="I175" s="2" t="s">
        <v>12</v>
      </c>
      <c r="J175" s="2" t="s">
        <v>40</v>
      </c>
      <c r="K175" s="2" t="s">
        <v>41</v>
      </c>
      <c r="L175" s="2" t="s">
        <v>55</v>
      </c>
      <c r="M175" s="2" t="s">
        <v>252</v>
      </c>
      <c r="N175" s="2" t="s">
        <v>35</v>
      </c>
      <c r="O175" s="2" t="s">
        <v>205</v>
      </c>
      <c r="P175" s="2" t="s">
        <v>35</v>
      </c>
      <c r="Q175" s="2" t="s">
        <v>35</v>
      </c>
    </row>
    <row r="176" spans="1:17" ht="187.2">
      <c r="A176" s="8" t="str">
        <f>HYPERLINK("http://sipi.sic.gov.co/sipi/View.ashx?4125340","SD2022/0037236")</f>
        <v>SD2022/0037236</v>
      </c>
      <c r="B176" s="2" t="s">
        <v>719</v>
      </c>
      <c r="C176" s="2" t="s">
        <v>35</v>
      </c>
      <c r="D176" s="2" t="s">
        <v>706</v>
      </c>
      <c r="E176" s="2" t="s">
        <v>35</v>
      </c>
      <c r="F176" s="2" t="s">
        <v>37</v>
      </c>
      <c r="G176" s="2" t="s">
        <v>720</v>
      </c>
      <c r="H176" s="2" t="s">
        <v>713</v>
      </c>
      <c r="I176" s="2" t="s">
        <v>12</v>
      </c>
      <c r="J176" s="2" t="s">
        <v>40</v>
      </c>
      <c r="K176" s="2" t="s">
        <v>41</v>
      </c>
      <c r="L176" s="2" t="s">
        <v>42</v>
      </c>
      <c r="M176" s="2" t="s">
        <v>252</v>
      </c>
      <c r="N176" s="2" t="s">
        <v>35</v>
      </c>
      <c r="O176" s="2" t="s">
        <v>205</v>
      </c>
      <c r="P176" s="2" t="s">
        <v>35</v>
      </c>
      <c r="Q176" s="2" t="s">
        <v>35</v>
      </c>
    </row>
    <row r="177" spans="1:17" ht="187.2">
      <c r="A177" s="8" t="str">
        <f>HYPERLINK("http://sipi.sic.gov.co/sipi/View.ashx?4125728","SD2022/0037264")</f>
        <v>SD2022/0037264</v>
      </c>
      <c r="B177" s="2" t="s">
        <v>721</v>
      </c>
      <c r="C177" s="2" t="s">
        <v>35</v>
      </c>
      <c r="D177" s="2" t="s">
        <v>706</v>
      </c>
      <c r="E177" s="2" t="s">
        <v>35</v>
      </c>
      <c r="F177" s="2" t="s">
        <v>37</v>
      </c>
      <c r="G177" s="2" t="s">
        <v>722</v>
      </c>
      <c r="H177" s="2" t="s">
        <v>713</v>
      </c>
      <c r="I177" s="2" t="s">
        <v>12</v>
      </c>
      <c r="J177" s="2" t="s">
        <v>40</v>
      </c>
      <c r="K177" s="2" t="s">
        <v>41</v>
      </c>
      <c r="L177" s="2" t="s">
        <v>42</v>
      </c>
      <c r="M177" s="2" t="s">
        <v>252</v>
      </c>
      <c r="N177" s="2" t="s">
        <v>35</v>
      </c>
      <c r="O177" s="2" t="s">
        <v>205</v>
      </c>
      <c r="P177" s="2" t="s">
        <v>35</v>
      </c>
      <c r="Q177" s="2" t="s">
        <v>35</v>
      </c>
    </row>
    <row r="178" spans="1:17" ht="187.2">
      <c r="A178" s="8" t="str">
        <f>HYPERLINK("http://sipi.sic.gov.co/sipi/View.ashx?4125757","SD2022/0037275")</f>
        <v>SD2022/0037275</v>
      </c>
      <c r="B178" s="2" t="s">
        <v>723</v>
      </c>
      <c r="C178" s="2" t="s">
        <v>35</v>
      </c>
      <c r="D178" s="2" t="s">
        <v>706</v>
      </c>
      <c r="E178" s="2" t="s">
        <v>35</v>
      </c>
      <c r="F178" s="2" t="s">
        <v>37</v>
      </c>
      <c r="G178" s="2" t="s">
        <v>724</v>
      </c>
      <c r="H178" s="2" t="s">
        <v>713</v>
      </c>
      <c r="I178" s="2" t="s">
        <v>12</v>
      </c>
      <c r="J178" s="2" t="s">
        <v>40</v>
      </c>
      <c r="K178" s="2" t="s">
        <v>41</v>
      </c>
      <c r="L178" s="2" t="s">
        <v>42</v>
      </c>
      <c r="M178" s="2" t="s">
        <v>252</v>
      </c>
      <c r="N178" s="2" t="s">
        <v>35</v>
      </c>
      <c r="O178" s="2" t="s">
        <v>205</v>
      </c>
      <c r="P178" s="2" t="s">
        <v>35</v>
      </c>
      <c r="Q178" s="2" t="s">
        <v>35</v>
      </c>
    </row>
    <row r="179" spans="1:17" ht="187.2">
      <c r="A179" s="8" t="str">
        <f>HYPERLINK("http://sipi.sic.gov.co/sipi/View.ashx?4125793","SD2022/0037286")</f>
        <v>SD2022/0037286</v>
      </c>
      <c r="B179" s="2" t="s">
        <v>725</v>
      </c>
      <c r="C179" s="2" t="s">
        <v>35</v>
      </c>
      <c r="D179" s="2" t="s">
        <v>706</v>
      </c>
      <c r="E179" s="2" t="s">
        <v>35</v>
      </c>
      <c r="F179" s="2" t="s">
        <v>37</v>
      </c>
      <c r="G179" s="2" t="s">
        <v>726</v>
      </c>
      <c r="H179" s="2" t="s">
        <v>713</v>
      </c>
      <c r="I179" s="2" t="s">
        <v>12</v>
      </c>
      <c r="J179" s="2" t="s">
        <v>40</v>
      </c>
      <c r="K179" s="2" t="s">
        <v>41</v>
      </c>
      <c r="L179" s="2" t="s">
        <v>42</v>
      </c>
      <c r="M179" s="2" t="s">
        <v>252</v>
      </c>
      <c r="N179" s="2" t="s">
        <v>35</v>
      </c>
      <c r="O179" s="2" t="s">
        <v>205</v>
      </c>
      <c r="P179" s="2" t="s">
        <v>35</v>
      </c>
      <c r="Q179" s="2" t="s">
        <v>35</v>
      </c>
    </row>
    <row r="180" spans="1:17" ht="187.2">
      <c r="A180" s="8" t="str">
        <f>HYPERLINK("http://sipi.sic.gov.co/sipi/View.ashx?4125834","SD2022/0037296")</f>
        <v>SD2022/0037296</v>
      </c>
      <c r="B180" s="2" t="s">
        <v>727</v>
      </c>
      <c r="C180" s="2" t="s">
        <v>35</v>
      </c>
      <c r="D180" s="2" t="s">
        <v>706</v>
      </c>
      <c r="E180" s="2" t="s">
        <v>35</v>
      </c>
      <c r="F180" s="2" t="s">
        <v>37</v>
      </c>
      <c r="G180" s="2" t="s">
        <v>728</v>
      </c>
      <c r="H180" s="2" t="s">
        <v>713</v>
      </c>
      <c r="I180" s="2" t="s">
        <v>12</v>
      </c>
      <c r="J180" s="2" t="s">
        <v>40</v>
      </c>
      <c r="K180" s="2" t="s">
        <v>41</v>
      </c>
      <c r="L180" s="2" t="s">
        <v>42</v>
      </c>
      <c r="M180" s="2" t="s">
        <v>252</v>
      </c>
      <c r="N180" s="2" t="s">
        <v>35</v>
      </c>
      <c r="O180" s="2" t="s">
        <v>205</v>
      </c>
      <c r="P180" s="2" t="s">
        <v>35</v>
      </c>
      <c r="Q180" s="2" t="s">
        <v>35</v>
      </c>
    </row>
    <row r="181" spans="1:17" ht="129.6">
      <c r="A181" s="8" t="str">
        <f>HYPERLINK("http://sipi.sic.gov.co/sipi/View.ashx?4126108","SD2022/0037379")</f>
        <v>SD2022/0037379</v>
      </c>
      <c r="B181" s="2" t="s">
        <v>729</v>
      </c>
      <c r="C181" s="7" t="s">
        <v>35</v>
      </c>
      <c r="D181" s="2" t="s">
        <v>706</v>
      </c>
      <c r="E181" s="2" t="s">
        <v>35</v>
      </c>
      <c r="F181" s="2" t="s">
        <v>37</v>
      </c>
      <c r="G181" s="2" t="s">
        <v>730</v>
      </c>
      <c r="H181" s="2" t="s">
        <v>731</v>
      </c>
      <c r="I181" s="2" t="s">
        <v>12</v>
      </c>
      <c r="J181" s="2" t="s">
        <v>40</v>
      </c>
      <c r="K181" s="2" t="s">
        <v>41</v>
      </c>
      <c r="L181" s="2" t="s">
        <v>55</v>
      </c>
      <c r="M181" s="2" t="s">
        <v>732</v>
      </c>
      <c r="N181" s="2" t="s">
        <v>35</v>
      </c>
      <c r="O181" s="2" t="s">
        <v>258</v>
      </c>
      <c r="P181" s="2" t="s">
        <v>35</v>
      </c>
      <c r="Q181" s="2" t="s">
        <v>35</v>
      </c>
    </row>
    <row r="182" spans="1:17" ht="144">
      <c r="A182" s="8" t="str">
        <f>HYPERLINK("http://sipi.sic.gov.co/sipi/View.ashx?4126865","SD2022/0039034")</f>
        <v>SD2022/0039034</v>
      </c>
      <c r="B182" s="2" t="s">
        <v>733</v>
      </c>
      <c r="C182" s="7" t="s">
        <v>35</v>
      </c>
      <c r="D182" s="2" t="s">
        <v>684</v>
      </c>
      <c r="E182" s="2" t="s">
        <v>35</v>
      </c>
      <c r="F182" s="2" t="s">
        <v>37</v>
      </c>
      <c r="G182" s="2" t="s">
        <v>734</v>
      </c>
      <c r="H182" s="2" t="s">
        <v>735</v>
      </c>
      <c r="I182" s="2" t="s">
        <v>12</v>
      </c>
      <c r="J182" s="2" t="s">
        <v>40</v>
      </c>
      <c r="K182" s="2" t="s">
        <v>736</v>
      </c>
      <c r="L182" s="2" t="s">
        <v>42</v>
      </c>
      <c r="M182" s="2" t="s">
        <v>527</v>
      </c>
      <c r="N182" s="2" t="s">
        <v>35</v>
      </c>
      <c r="O182" s="2" t="s">
        <v>123</v>
      </c>
      <c r="P182" s="2" t="s">
        <v>35</v>
      </c>
      <c r="Q182" s="2" t="s">
        <v>35</v>
      </c>
    </row>
    <row r="183" spans="1:17" ht="129.6">
      <c r="A183" s="8" t="str">
        <f>HYPERLINK("http://sipi.sic.gov.co/sipi/View.ashx?4129436","SD2022/0038397")</f>
        <v>SD2022/0038397</v>
      </c>
      <c r="B183" s="2" t="s">
        <v>737</v>
      </c>
      <c r="C183" s="7" t="s">
        <v>35</v>
      </c>
      <c r="D183" s="2" t="s">
        <v>738</v>
      </c>
      <c r="E183" s="2" t="s">
        <v>35</v>
      </c>
      <c r="F183" s="2" t="s">
        <v>37</v>
      </c>
      <c r="G183" s="2" t="s">
        <v>739</v>
      </c>
      <c r="H183" s="2" t="s">
        <v>317</v>
      </c>
      <c r="I183" s="2" t="s">
        <v>12</v>
      </c>
      <c r="J183" s="2" t="s">
        <v>40</v>
      </c>
      <c r="K183" s="2" t="s">
        <v>740</v>
      </c>
      <c r="L183" s="2" t="s">
        <v>42</v>
      </c>
      <c r="M183" s="2" t="s">
        <v>319</v>
      </c>
      <c r="N183" s="2" t="s">
        <v>35</v>
      </c>
      <c r="O183" s="2" t="s">
        <v>258</v>
      </c>
      <c r="P183" s="2" t="s">
        <v>35</v>
      </c>
      <c r="Q183" s="2" t="s">
        <v>35</v>
      </c>
    </row>
    <row r="184" spans="1:17" ht="409.6">
      <c r="A184" s="8" t="str">
        <f>HYPERLINK("http://sipi.sic.gov.co/sipi/View.ashx?4130320","SD2022/0038666")</f>
        <v>SD2022/0038666</v>
      </c>
      <c r="B184" s="2" t="s">
        <v>741</v>
      </c>
      <c r="C184" s="7" t="s">
        <v>35</v>
      </c>
      <c r="D184" s="2" t="s">
        <v>738</v>
      </c>
      <c r="E184" s="2" t="s">
        <v>35</v>
      </c>
      <c r="F184" s="2" t="s">
        <v>37</v>
      </c>
      <c r="G184" s="2" t="s">
        <v>35</v>
      </c>
      <c r="H184" s="2" t="s">
        <v>645</v>
      </c>
      <c r="I184" s="2" t="s">
        <v>646</v>
      </c>
      <c r="J184" s="2" t="s">
        <v>40</v>
      </c>
      <c r="K184" s="2" t="s">
        <v>742</v>
      </c>
      <c r="L184" s="2" t="s">
        <v>55</v>
      </c>
      <c r="M184" s="2" t="s">
        <v>648</v>
      </c>
      <c r="N184" s="2" t="s">
        <v>35</v>
      </c>
      <c r="O184" s="2" t="s">
        <v>191</v>
      </c>
      <c r="P184" s="2" t="s">
        <v>35</v>
      </c>
      <c r="Q184" s="2" t="s">
        <v>35</v>
      </c>
    </row>
    <row r="185" spans="1:17" ht="115.2">
      <c r="A185" s="8" t="str">
        <f>HYPERLINK("http://sipi.sic.gov.co/sipi/View.ashx?4131505","SD2022/0039527")</f>
        <v>SD2022/0039527</v>
      </c>
      <c r="B185" s="2" t="s">
        <v>743</v>
      </c>
      <c r="C185" s="2" t="s">
        <v>35</v>
      </c>
      <c r="D185" s="2" t="s">
        <v>744</v>
      </c>
      <c r="E185" s="2" t="s">
        <v>35</v>
      </c>
      <c r="F185" s="2" t="s">
        <v>37</v>
      </c>
      <c r="G185" s="2" t="s">
        <v>743</v>
      </c>
      <c r="H185" s="2" t="s">
        <v>745</v>
      </c>
      <c r="I185" s="2" t="s">
        <v>195</v>
      </c>
      <c r="J185" s="2" t="s">
        <v>40</v>
      </c>
      <c r="K185" s="2" t="s">
        <v>746</v>
      </c>
      <c r="L185" s="2" t="s">
        <v>42</v>
      </c>
      <c r="M185" s="2" t="s">
        <v>747</v>
      </c>
      <c r="N185" s="2" t="s">
        <v>35</v>
      </c>
      <c r="O185" s="2" t="s">
        <v>205</v>
      </c>
      <c r="P185" s="2" t="s">
        <v>35</v>
      </c>
      <c r="Q185" s="2" t="s">
        <v>35</v>
      </c>
    </row>
    <row r="186" spans="1:17" ht="115.2">
      <c r="A186" s="8" t="str">
        <f>HYPERLINK("http://sipi.sic.gov.co/sipi/View.ashx?4131732","SD2022/0039030")</f>
        <v>SD2022/0039030</v>
      </c>
      <c r="B186" s="2" t="s">
        <v>748</v>
      </c>
      <c r="C186" s="2" t="s">
        <v>35</v>
      </c>
      <c r="D186" s="2" t="s">
        <v>684</v>
      </c>
      <c r="E186" s="2" t="s">
        <v>35</v>
      </c>
      <c r="F186" s="2" t="s">
        <v>37</v>
      </c>
      <c r="G186" s="2" t="s">
        <v>35</v>
      </c>
      <c r="H186" s="2" t="s">
        <v>749</v>
      </c>
      <c r="I186" s="2" t="s">
        <v>12</v>
      </c>
      <c r="J186" s="2" t="s">
        <v>40</v>
      </c>
      <c r="K186" s="2" t="s">
        <v>750</v>
      </c>
      <c r="L186" s="2" t="s">
        <v>42</v>
      </c>
      <c r="M186" s="2" t="s">
        <v>751</v>
      </c>
      <c r="N186" s="2" t="s">
        <v>35</v>
      </c>
      <c r="O186" s="2" t="s">
        <v>123</v>
      </c>
      <c r="P186" s="2" t="s">
        <v>35</v>
      </c>
      <c r="Q186" s="2" t="s">
        <v>35</v>
      </c>
    </row>
    <row r="187" spans="1:17" ht="115.2">
      <c r="A187" s="8" t="str">
        <f>HYPERLINK("http://sipi.sic.gov.co/sipi/View.ashx?4135379","SD2022/0039817")</f>
        <v>SD2022/0039817</v>
      </c>
      <c r="B187" s="2" t="s">
        <v>752</v>
      </c>
      <c r="C187" s="2" t="s">
        <v>35</v>
      </c>
      <c r="D187" s="2" t="s">
        <v>753</v>
      </c>
      <c r="E187" s="2" t="s">
        <v>35</v>
      </c>
      <c r="F187" s="2" t="s">
        <v>37</v>
      </c>
      <c r="G187" s="2" t="s">
        <v>754</v>
      </c>
      <c r="H187" s="2" t="s">
        <v>755</v>
      </c>
      <c r="I187" s="2" t="s">
        <v>12</v>
      </c>
      <c r="J187" s="2" t="s">
        <v>40</v>
      </c>
      <c r="K187" s="2" t="s">
        <v>41</v>
      </c>
      <c r="L187" s="2" t="s">
        <v>55</v>
      </c>
      <c r="M187" s="2" t="s">
        <v>35</v>
      </c>
      <c r="N187" s="2" t="s">
        <v>35</v>
      </c>
      <c r="O187" s="2" t="s">
        <v>756</v>
      </c>
      <c r="P187" s="2" t="s">
        <v>35</v>
      </c>
      <c r="Q187" s="2" t="s">
        <v>35</v>
      </c>
    </row>
    <row r="188" spans="1:17" ht="158.4">
      <c r="A188" s="8" t="str">
        <f>HYPERLINK("http://sipi.sic.gov.co/sipi/View.ashx?4137000","SD2022/0040180")</f>
        <v>SD2022/0040180</v>
      </c>
      <c r="B188" s="2" t="s">
        <v>757</v>
      </c>
      <c r="C188" s="2" t="s">
        <v>35</v>
      </c>
      <c r="D188" s="2" t="s">
        <v>758</v>
      </c>
      <c r="E188" s="2" t="s">
        <v>35</v>
      </c>
      <c r="F188" s="2" t="s">
        <v>37</v>
      </c>
      <c r="G188" s="2" t="s">
        <v>35</v>
      </c>
      <c r="H188" s="2" t="s">
        <v>759</v>
      </c>
      <c r="I188" s="2" t="s">
        <v>12</v>
      </c>
      <c r="J188" s="2" t="s">
        <v>40</v>
      </c>
      <c r="K188" s="2" t="s">
        <v>760</v>
      </c>
      <c r="L188" s="2" t="s">
        <v>42</v>
      </c>
      <c r="M188" s="2" t="s">
        <v>761</v>
      </c>
      <c r="N188" s="2" t="s">
        <v>35</v>
      </c>
      <c r="O188" s="2" t="s">
        <v>762</v>
      </c>
      <c r="P188" s="2" t="s">
        <v>35</v>
      </c>
      <c r="Q188" s="2" t="s">
        <v>35</v>
      </c>
    </row>
    <row r="189" spans="1:17" ht="115.2">
      <c r="A189" s="8" t="str">
        <f>HYPERLINK("http://sipi.sic.gov.co/sipi/View.ashx?4137271","SD2022/0040232")</f>
        <v>SD2022/0040232</v>
      </c>
      <c r="B189" s="2" t="s">
        <v>763</v>
      </c>
      <c r="C189" s="7" t="s">
        <v>35</v>
      </c>
      <c r="D189" s="2" t="s">
        <v>758</v>
      </c>
      <c r="E189" s="2" t="s">
        <v>35</v>
      </c>
      <c r="F189" s="2" t="s">
        <v>37</v>
      </c>
      <c r="G189" s="2" t="s">
        <v>763</v>
      </c>
      <c r="H189" s="2" t="s">
        <v>764</v>
      </c>
      <c r="I189" s="2" t="s">
        <v>12</v>
      </c>
      <c r="J189" s="2" t="s">
        <v>40</v>
      </c>
      <c r="K189" s="2" t="s">
        <v>765</v>
      </c>
      <c r="L189" s="2" t="s">
        <v>42</v>
      </c>
      <c r="M189" s="2" t="s">
        <v>766</v>
      </c>
      <c r="N189" s="2" t="s">
        <v>35</v>
      </c>
      <c r="O189" s="2" t="s">
        <v>123</v>
      </c>
      <c r="P189" s="2" t="s">
        <v>35</v>
      </c>
      <c r="Q189" s="2" t="s">
        <v>35</v>
      </c>
    </row>
    <row r="190" spans="1:17" ht="331.2">
      <c r="A190" s="8" t="str">
        <f>HYPERLINK("http://sipi.sic.gov.co/sipi/View.ashx?4137664","SD2022/0040318")</f>
        <v>SD2022/0040318</v>
      </c>
      <c r="B190" s="2" t="s">
        <v>767</v>
      </c>
      <c r="C190" s="7" t="s">
        <v>35</v>
      </c>
      <c r="D190" s="2" t="s">
        <v>758</v>
      </c>
      <c r="E190" s="2" t="s">
        <v>35</v>
      </c>
      <c r="F190" s="2" t="s">
        <v>37</v>
      </c>
      <c r="G190" s="2" t="s">
        <v>768</v>
      </c>
      <c r="H190" s="2" t="s">
        <v>769</v>
      </c>
      <c r="I190" s="2" t="s">
        <v>770</v>
      </c>
      <c r="J190" s="2" t="s">
        <v>40</v>
      </c>
      <c r="K190" s="2" t="s">
        <v>771</v>
      </c>
      <c r="L190" s="2" t="s">
        <v>42</v>
      </c>
      <c r="M190" s="2" t="s">
        <v>772</v>
      </c>
      <c r="N190" s="2" t="s">
        <v>35</v>
      </c>
      <c r="O190" s="2" t="s">
        <v>487</v>
      </c>
      <c r="P190" s="2" t="s">
        <v>35</v>
      </c>
      <c r="Q190" s="2" t="s">
        <v>35</v>
      </c>
    </row>
    <row r="191" spans="1:17" ht="100.8">
      <c r="A191" s="8" t="str">
        <f>HYPERLINK("http://sipi.sic.gov.co/sipi/View.ashx?4138044","SD2022/0040364")</f>
        <v>SD2022/0040364</v>
      </c>
      <c r="B191" s="2" t="s">
        <v>773</v>
      </c>
      <c r="C191" s="2" t="s">
        <v>35</v>
      </c>
      <c r="D191" s="2" t="s">
        <v>700</v>
      </c>
      <c r="E191" s="2" t="s">
        <v>35</v>
      </c>
      <c r="F191" s="2" t="s">
        <v>37</v>
      </c>
      <c r="G191" s="2" t="s">
        <v>774</v>
      </c>
      <c r="H191" s="2" t="s">
        <v>775</v>
      </c>
      <c r="I191" s="2" t="s">
        <v>12</v>
      </c>
      <c r="J191" s="2" t="s">
        <v>40</v>
      </c>
      <c r="K191" s="2" t="s">
        <v>776</v>
      </c>
      <c r="L191" s="2" t="s">
        <v>42</v>
      </c>
      <c r="M191" s="2" t="s">
        <v>777</v>
      </c>
      <c r="N191" s="2" t="s">
        <v>35</v>
      </c>
      <c r="O191" s="2" t="s">
        <v>191</v>
      </c>
      <c r="P191" s="2" t="s">
        <v>35</v>
      </c>
      <c r="Q191" s="2" t="s">
        <v>35</v>
      </c>
    </row>
    <row r="192" spans="1:17" ht="115.2">
      <c r="A192" s="8" t="str">
        <f>HYPERLINK("http://sipi.sic.gov.co/sipi/View.ashx?4138054","SD2022/0040370")</f>
        <v>SD2022/0040370</v>
      </c>
      <c r="B192" s="2" t="s">
        <v>778</v>
      </c>
      <c r="C192" s="2" t="s">
        <v>35</v>
      </c>
      <c r="D192" s="2" t="s">
        <v>700</v>
      </c>
      <c r="E192" s="2" t="s">
        <v>35</v>
      </c>
      <c r="F192" s="2" t="s">
        <v>37</v>
      </c>
      <c r="G192" s="2" t="s">
        <v>779</v>
      </c>
      <c r="H192" s="2" t="s">
        <v>775</v>
      </c>
      <c r="I192" s="2" t="s">
        <v>12</v>
      </c>
      <c r="J192" s="2" t="s">
        <v>40</v>
      </c>
      <c r="K192" s="2" t="s">
        <v>41</v>
      </c>
      <c r="L192" s="2" t="s">
        <v>42</v>
      </c>
      <c r="M192" s="2" t="s">
        <v>777</v>
      </c>
      <c r="N192" s="2" t="s">
        <v>35</v>
      </c>
      <c r="O192" s="2" t="s">
        <v>191</v>
      </c>
      <c r="P192" s="2" t="s">
        <v>35</v>
      </c>
      <c r="Q192" s="2" t="s">
        <v>35</v>
      </c>
    </row>
    <row r="193" spans="1:17" ht="76.8">
      <c r="A193" s="8" t="str">
        <f>HYPERLINK("http://sipi.sic.gov.co/sipi/View.ashx?4138797","SD2022/0040564")</f>
        <v>SD2022/0040564</v>
      </c>
      <c r="B193" s="2" t="s">
        <v>780</v>
      </c>
      <c r="C193" s="7" t="s">
        <v>35</v>
      </c>
      <c r="D193" s="2" t="s">
        <v>700</v>
      </c>
      <c r="E193" s="2" t="s">
        <v>35</v>
      </c>
      <c r="F193" s="2" t="s">
        <v>37</v>
      </c>
      <c r="G193" s="2" t="s">
        <v>780</v>
      </c>
      <c r="H193" s="2" t="s">
        <v>781</v>
      </c>
      <c r="I193" s="2" t="s">
        <v>12</v>
      </c>
      <c r="J193" s="2" t="s">
        <v>40</v>
      </c>
      <c r="K193" s="2" t="s">
        <v>782</v>
      </c>
      <c r="L193" s="2" t="s">
        <v>42</v>
      </c>
      <c r="M193" s="2" t="s">
        <v>35</v>
      </c>
      <c r="N193" s="2" t="s">
        <v>35</v>
      </c>
      <c r="O193" s="2" t="s">
        <v>123</v>
      </c>
      <c r="P193" s="2" t="s">
        <v>35</v>
      </c>
      <c r="Q193" s="2" t="s">
        <v>35</v>
      </c>
    </row>
    <row r="194" spans="1:17" ht="129.6">
      <c r="A194" s="8" t="str">
        <f>HYPERLINK("http://sipi.sic.gov.co/sipi/View.ashx?4139034","SD2022/0040612")</f>
        <v>SD2022/0040612</v>
      </c>
      <c r="B194" s="2" t="s">
        <v>783</v>
      </c>
      <c r="C194" s="7" t="s">
        <v>35</v>
      </c>
      <c r="D194" s="2" t="s">
        <v>700</v>
      </c>
      <c r="E194" s="2" t="s">
        <v>35</v>
      </c>
      <c r="F194" s="2" t="s">
        <v>37</v>
      </c>
      <c r="G194" s="2" t="s">
        <v>783</v>
      </c>
      <c r="H194" s="2" t="s">
        <v>784</v>
      </c>
      <c r="I194" s="2" t="s">
        <v>12</v>
      </c>
      <c r="J194" s="2" t="s">
        <v>40</v>
      </c>
      <c r="K194" s="2" t="s">
        <v>785</v>
      </c>
      <c r="L194" s="2" t="s">
        <v>42</v>
      </c>
      <c r="M194" s="2" t="s">
        <v>786</v>
      </c>
      <c r="N194" s="2" t="s">
        <v>35</v>
      </c>
      <c r="O194" s="2" t="s">
        <v>787</v>
      </c>
      <c r="P194" s="2" t="s">
        <v>35</v>
      </c>
      <c r="Q194" s="2" t="s">
        <v>35</v>
      </c>
    </row>
    <row r="195" spans="1:17" ht="100.8">
      <c r="A195" s="8" t="str">
        <f>HYPERLINK("http://sipi.sic.gov.co/sipi/View.ashx?4139590","SD2022/0040788")</f>
        <v>SD2022/0040788</v>
      </c>
      <c r="B195" s="2" t="s">
        <v>788</v>
      </c>
      <c r="C195" s="2" t="s">
        <v>35</v>
      </c>
      <c r="D195" s="2" t="s">
        <v>700</v>
      </c>
      <c r="E195" s="2" t="s">
        <v>35</v>
      </c>
      <c r="F195" s="2" t="s">
        <v>37</v>
      </c>
      <c r="G195" s="2" t="s">
        <v>35</v>
      </c>
      <c r="H195" s="2" t="s">
        <v>789</v>
      </c>
      <c r="I195" s="2" t="s">
        <v>12</v>
      </c>
      <c r="J195" s="2" t="s">
        <v>40</v>
      </c>
      <c r="K195" s="2" t="s">
        <v>790</v>
      </c>
      <c r="L195" s="2" t="s">
        <v>55</v>
      </c>
      <c r="M195" s="2" t="s">
        <v>290</v>
      </c>
      <c r="N195" s="2" t="s">
        <v>35</v>
      </c>
      <c r="O195" s="2" t="s">
        <v>205</v>
      </c>
      <c r="P195" s="2" t="s">
        <v>35</v>
      </c>
      <c r="Q195" s="2" t="s">
        <v>35</v>
      </c>
    </row>
    <row r="196" spans="1:17" ht="100.8">
      <c r="A196" s="8" t="str">
        <f>HYPERLINK("http://sipi.sic.gov.co/sipi/View.ashx?4139668","SD2022/0040798")</f>
        <v>SD2022/0040798</v>
      </c>
      <c r="B196" s="2" t="s">
        <v>791</v>
      </c>
      <c r="C196" s="7" t="s">
        <v>35</v>
      </c>
      <c r="D196" s="2" t="s">
        <v>700</v>
      </c>
      <c r="E196" s="2" t="s">
        <v>35</v>
      </c>
      <c r="F196" s="2" t="s">
        <v>37</v>
      </c>
      <c r="G196" s="2" t="s">
        <v>35</v>
      </c>
      <c r="H196" s="2" t="s">
        <v>789</v>
      </c>
      <c r="I196" s="2" t="s">
        <v>12</v>
      </c>
      <c r="J196" s="2" t="s">
        <v>40</v>
      </c>
      <c r="K196" s="2" t="s">
        <v>790</v>
      </c>
      <c r="L196" s="2" t="s">
        <v>42</v>
      </c>
      <c r="M196" s="2" t="s">
        <v>290</v>
      </c>
      <c r="N196" s="2" t="s">
        <v>35</v>
      </c>
      <c r="O196" s="2" t="s">
        <v>205</v>
      </c>
      <c r="P196" s="2" t="s">
        <v>35</v>
      </c>
      <c r="Q196" s="2" t="s">
        <v>35</v>
      </c>
    </row>
    <row r="197" spans="1:17" ht="129.6">
      <c r="A197" s="8" t="str">
        <f>HYPERLINK("http://sipi.sic.gov.co/sipi/View.ashx?4139674","SD2022/0040796")</f>
        <v>SD2022/0040796</v>
      </c>
      <c r="B197" s="2" t="s">
        <v>792</v>
      </c>
      <c r="C197" s="2" t="s">
        <v>35</v>
      </c>
      <c r="D197" s="2" t="s">
        <v>700</v>
      </c>
      <c r="E197" s="2" t="s">
        <v>35</v>
      </c>
      <c r="F197" s="2" t="s">
        <v>37</v>
      </c>
      <c r="G197" s="2" t="s">
        <v>35</v>
      </c>
      <c r="H197" s="2" t="s">
        <v>793</v>
      </c>
      <c r="I197" s="2" t="s">
        <v>12</v>
      </c>
      <c r="J197" s="2" t="s">
        <v>40</v>
      </c>
      <c r="K197" s="2" t="s">
        <v>794</v>
      </c>
      <c r="L197" s="2" t="s">
        <v>42</v>
      </c>
      <c r="M197" s="2" t="s">
        <v>795</v>
      </c>
      <c r="N197" s="2" t="s">
        <v>35</v>
      </c>
      <c r="O197" s="2" t="s">
        <v>787</v>
      </c>
      <c r="P197" s="2" t="s">
        <v>35</v>
      </c>
      <c r="Q197" s="2" t="s">
        <v>35</v>
      </c>
    </row>
    <row r="198" spans="1:17" ht="129.6">
      <c r="A198" s="8" t="str">
        <f>HYPERLINK("http://sipi.sic.gov.co/sipi/View.ashx?4139698","SD2022/0040802")</f>
        <v>SD2022/0040802</v>
      </c>
      <c r="B198" s="2" t="s">
        <v>796</v>
      </c>
      <c r="C198" s="2" t="s">
        <v>35</v>
      </c>
      <c r="D198" s="2" t="s">
        <v>700</v>
      </c>
      <c r="E198" s="2" t="s">
        <v>35</v>
      </c>
      <c r="F198" s="2" t="s">
        <v>37</v>
      </c>
      <c r="G198" s="2" t="s">
        <v>35</v>
      </c>
      <c r="H198" s="2" t="s">
        <v>793</v>
      </c>
      <c r="I198" s="2" t="s">
        <v>12</v>
      </c>
      <c r="J198" s="2" t="s">
        <v>40</v>
      </c>
      <c r="K198" s="2" t="s">
        <v>797</v>
      </c>
      <c r="L198" s="2" t="s">
        <v>42</v>
      </c>
      <c r="M198" s="2" t="s">
        <v>795</v>
      </c>
      <c r="N198" s="2" t="s">
        <v>35</v>
      </c>
      <c r="O198" s="2" t="s">
        <v>787</v>
      </c>
      <c r="P198" s="2" t="s">
        <v>35</v>
      </c>
      <c r="Q198" s="2" t="s">
        <v>35</v>
      </c>
    </row>
    <row r="199" spans="1:17" ht="129.6">
      <c r="A199" s="8" t="str">
        <f>HYPERLINK("http://sipi.sic.gov.co/sipi/View.ashx?4139711","SD2022/0040805")</f>
        <v>SD2022/0040805</v>
      </c>
      <c r="B199" s="2" t="s">
        <v>798</v>
      </c>
      <c r="C199" s="2" t="s">
        <v>35</v>
      </c>
      <c r="D199" s="2" t="s">
        <v>700</v>
      </c>
      <c r="E199" s="2" t="s">
        <v>35</v>
      </c>
      <c r="F199" s="2" t="s">
        <v>37</v>
      </c>
      <c r="G199" s="2" t="s">
        <v>35</v>
      </c>
      <c r="H199" s="2" t="s">
        <v>793</v>
      </c>
      <c r="I199" s="2" t="s">
        <v>12</v>
      </c>
      <c r="J199" s="2" t="s">
        <v>40</v>
      </c>
      <c r="K199" s="2" t="s">
        <v>797</v>
      </c>
      <c r="L199" s="2" t="s">
        <v>42</v>
      </c>
      <c r="M199" s="2" t="s">
        <v>795</v>
      </c>
      <c r="N199" s="2" t="s">
        <v>35</v>
      </c>
      <c r="O199" s="2" t="s">
        <v>191</v>
      </c>
      <c r="P199" s="2" t="s">
        <v>35</v>
      </c>
      <c r="Q199" s="2" t="s">
        <v>35</v>
      </c>
    </row>
    <row r="200" spans="1:17" ht="129.6">
      <c r="A200" s="8" t="str">
        <f>HYPERLINK("http://sipi.sic.gov.co/sipi/View.ashx?4139743","SD2022/0040844")</f>
        <v>SD2022/0040844</v>
      </c>
      <c r="B200" s="2" t="s">
        <v>799</v>
      </c>
      <c r="C200" s="2" t="s">
        <v>35</v>
      </c>
      <c r="D200" s="2" t="s">
        <v>800</v>
      </c>
      <c r="E200" s="2" t="s">
        <v>35</v>
      </c>
      <c r="F200" s="2" t="s">
        <v>37</v>
      </c>
      <c r="G200" s="2" t="s">
        <v>35</v>
      </c>
      <c r="H200" s="2" t="s">
        <v>793</v>
      </c>
      <c r="I200" s="2" t="s">
        <v>12</v>
      </c>
      <c r="J200" s="2" t="s">
        <v>40</v>
      </c>
      <c r="K200" s="2" t="s">
        <v>797</v>
      </c>
      <c r="L200" s="2" t="s">
        <v>42</v>
      </c>
      <c r="M200" s="2" t="s">
        <v>795</v>
      </c>
      <c r="N200" s="2" t="s">
        <v>35</v>
      </c>
      <c r="O200" s="2" t="s">
        <v>344</v>
      </c>
      <c r="P200" s="2" t="s">
        <v>35</v>
      </c>
      <c r="Q200" s="2" t="s">
        <v>35</v>
      </c>
    </row>
    <row r="201" spans="1:17" ht="129.6">
      <c r="A201" s="8" t="str">
        <f>HYPERLINK("http://sipi.sic.gov.co/sipi/View.ashx?4139812","SD2022/0040933")</f>
        <v>SD2022/0040933</v>
      </c>
      <c r="B201" s="2" t="s">
        <v>801</v>
      </c>
      <c r="C201" s="2" t="s">
        <v>35</v>
      </c>
      <c r="D201" s="2" t="s">
        <v>800</v>
      </c>
      <c r="E201" s="2" t="s">
        <v>35</v>
      </c>
      <c r="F201" s="2" t="s">
        <v>37</v>
      </c>
      <c r="G201" s="2" t="s">
        <v>35</v>
      </c>
      <c r="H201" s="2" t="s">
        <v>793</v>
      </c>
      <c r="I201" s="2" t="s">
        <v>12</v>
      </c>
      <c r="J201" s="2" t="s">
        <v>40</v>
      </c>
      <c r="K201" s="2" t="s">
        <v>797</v>
      </c>
      <c r="L201" s="2" t="s">
        <v>55</v>
      </c>
      <c r="M201" s="2" t="s">
        <v>795</v>
      </c>
      <c r="N201" s="2" t="s">
        <v>35</v>
      </c>
      <c r="O201" s="2" t="s">
        <v>344</v>
      </c>
      <c r="P201" s="2" t="s">
        <v>35</v>
      </c>
      <c r="Q201" s="2" t="s">
        <v>35</v>
      </c>
    </row>
    <row r="202" spans="1:17" ht="129.6">
      <c r="A202" s="8" t="str">
        <f>HYPERLINK("http://sipi.sic.gov.co/sipi/View.ashx?4142486","SD2022/0041579")</f>
        <v>SD2022/0041579</v>
      </c>
      <c r="B202" s="2" t="s">
        <v>802</v>
      </c>
      <c r="C202" s="7" t="s">
        <v>35</v>
      </c>
      <c r="D202" s="2" t="s">
        <v>803</v>
      </c>
      <c r="E202" s="2" t="s">
        <v>35</v>
      </c>
      <c r="F202" s="2" t="s">
        <v>37</v>
      </c>
      <c r="G202" s="2" t="s">
        <v>35</v>
      </c>
      <c r="H202" s="2" t="s">
        <v>804</v>
      </c>
      <c r="I202" s="2" t="s">
        <v>805</v>
      </c>
      <c r="J202" s="2" t="s">
        <v>40</v>
      </c>
      <c r="K202" s="2" t="s">
        <v>806</v>
      </c>
      <c r="L202" s="2" t="s">
        <v>55</v>
      </c>
      <c r="M202" s="2" t="s">
        <v>542</v>
      </c>
      <c r="N202" s="2" t="s">
        <v>35</v>
      </c>
      <c r="O202" s="2" t="s">
        <v>487</v>
      </c>
      <c r="P202" s="2" t="s">
        <v>35</v>
      </c>
      <c r="Q202" s="2" t="s">
        <v>35</v>
      </c>
    </row>
    <row r="203" spans="1:17" ht="187.2">
      <c r="A203" s="8" t="str">
        <f>HYPERLINK("http://sipi.sic.gov.co/sipi/View.ashx?4142872","SD2022/0041714")</f>
        <v>SD2022/0041714</v>
      </c>
      <c r="B203" s="2" t="s">
        <v>807</v>
      </c>
      <c r="C203" s="7" t="s">
        <v>35</v>
      </c>
      <c r="D203" s="2" t="s">
        <v>803</v>
      </c>
      <c r="E203" s="2" t="s">
        <v>35</v>
      </c>
      <c r="F203" s="2" t="s">
        <v>37</v>
      </c>
      <c r="G203" s="2" t="s">
        <v>808</v>
      </c>
      <c r="H203" s="2" t="s">
        <v>279</v>
      </c>
      <c r="I203" s="2" t="s">
        <v>12</v>
      </c>
      <c r="J203" s="2" t="s">
        <v>40</v>
      </c>
      <c r="K203" s="2" t="s">
        <v>809</v>
      </c>
      <c r="L203" s="2" t="s">
        <v>42</v>
      </c>
      <c r="M203" s="2" t="s">
        <v>281</v>
      </c>
      <c r="N203" s="2" t="s">
        <v>35</v>
      </c>
      <c r="O203" s="2" t="s">
        <v>810</v>
      </c>
      <c r="P203" s="2" t="s">
        <v>35</v>
      </c>
      <c r="Q203" s="2" t="s">
        <v>35</v>
      </c>
    </row>
    <row r="204" spans="1:17" ht="187.2">
      <c r="A204" s="8" t="str">
        <f>HYPERLINK("http://sipi.sic.gov.co/sipi/View.ashx?4143627","SD2022/0041920")</f>
        <v>SD2022/0041920</v>
      </c>
      <c r="B204" s="2" t="s">
        <v>811</v>
      </c>
      <c r="C204" s="7" t="s">
        <v>35</v>
      </c>
      <c r="D204" s="2" t="s">
        <v>803</v>
      </c>
      <c r="E204" s="2" t="s">
        <v>35</v>
      </c>
      <c r="F204" s="2" t="s">
        <v>37</v>
      </c>
      <c r="G204" s="2" t="s">
        <v>35</v>
      </c>
      <c r="H204" s="2" t="s">
        <v>279</v>
      </c>
      <c r="I204" s="2" t="s">
        <v>12</v>
      </c>
      <c r="J204" s="2" t="s">
        <v>40</v>
      </c>
      <c r="K204" s="2" t="s">
        <v>280</v>
      </c>
      <c r="L204" s="2" t="s">
        <v>42</v>
      </c>
      <c r="M204" s="2" t="s">
        <v>281</v>
      </c>
      <c r="N204" s="2" t="s">
        <v>35</v>
      </c>
      <c r="O204" s="2" t="s">
        <v>258</v>
      </c>
      <c r="P204" s="2" t="s">
        <v>35</v>
      </c>
      <c r="Q204" s="2" t="s">
        <v>35</v>
      </c>
    </row>
    <row r="205" spans="1:17" ht="409.6">
      <c r="A205" s="8" t="str">
        <f>HYPERLINK("http://sipi.sic.gov.co/sipi/View.ashx?4144621","SD2022/0042136")</f>
        <v>SD2022/0042136</v>
      </c>
      <c r="B205" s="2" t="s">
        <v>812</v>
      </c>
      <c r="C205" s="7" t="s">
        <v>35</v>
      </c>
      <c r="D205" s="2" t="s">
        <v>205</v>
      </c>
      <c r="E205" s="2" t="s">
        <v>35</v>
      </c>
      <c r="F205" s="2" t="s">
        <v>37</v>
      </c>
      <c r="G205" s="2" t="s">
        <v>812</v>
      </c>
      <c r="H205" s="2" t="s">
        <v>813</v>
      </c>
      <c r="I205" s="2" t="s">
        <v>12</v>
      </c>
      <c r="J205" s="2" t="s">
        <v>40</v>
      </c>
      <c r="K205" s="2" t="s">
        <v>814</v>
      </c>
      <c r="L205" s="2" t="s">
        <v>42</v>
      </c>
      <c r="M205" s="2" t="s">
        <v>35</v>
      </c>
      <c r="N205" s="2" t="s">
        <v>35</v>
      </c>
      <c r="O205" s="2" t="s">
        <v>558</v>
      </c>
      <c r="P205" s="2" t="s">
        <v>35</v>
      </c>
      <c r="Q205" s="2" t="s">
        <v>35</v>
      </c>
    </row>
    <row r="206" spans="1:17" ht="129.6">
      <c r="A206" s="8" t="str">
        <f>HYPERLINK("http://sipi.sic.gov.co/sipi/View.ashx?4144696","SD2022/0042150")</f>
        <v>SD2022/0042150</v>
      </c>
      <c r="B206" s="2" t="s">
        <v>815</v>
      </c>
      <c r="C206" s="2" t="s">
        <v>35</v>
      </c>
      <c r="D206" s="2" t="s">
        <v>205</v>
      </c>
      <c r="E206" s="2" t="s">
        <v>35</v>
      </c>
      <c r="F206" s="2" t="s">
        <v>37</v>
      </c>
      <c r="G206" s="2" t="s">
        <v>35</v>
      </c>
      <c r="H206" s="2" t="s">
        <v>816</v>
      </c>
      <c r="I206" s="2" t="s">
        <v>12</v>
      </c>
      <c r="J206" s="2" t="s">
        <v>40</v>
      </c>
      <c r="K206" s="2" t="s">
        <v>817</v>
      </c>
      <c r="L206" s="2" t="s">
        <v>42</v>
      </c>
      <c r="M206" s="2" t="s">
        <v>48</v>
      </c>
      <c r="N206" s="2" t="s">
        <v>35</v>
      </c>
      <c r="O206" s="2" t="s">
        <v>476</v>
      </c>
      <c r="P206" s="2" t="s">
        <v>35</v>
      </c>
      <c r="Q206" s="2" t="s">
        <v>35</v>
      </c>
    </row>
    <row r="207" spans="1:17" ht="129.6">
      <c r="A207" s="8" t="str">
        <f>HYPERLINK("http://sipi.sic.gov.co/sipi/View.ashx?4147334","SD2022/0042747")</f>
        <v>SD2022/0042747</v>
      </c>
      <c r="B207" s="2" t="s">
        <v>818</v>
      </c>
      <c r="C207" s="2" t="s">
        <v>35</v>
      </c>
      <c r="D207" s="2" t="s">
        <v>819</v>
      </c>
      <c r="E207" s="2" t="s">
        <v>35</v>
      </c>
      <c r="F207" s="2" t="s">
        <v>37</v>
      </c>
      <c r="G207" s="2" t="s">
        <v>818</v>
      </c>
      <c r="H207" s="2" t="s">
        <v>820</v>
      </c>
      <c r="I207" s="2" t="s">
        <v>12</v>
      </c>
      <c r="J207" s="2" t="s">
        <v>40</v>
      </c>
      <c r="K207" s="2" t="s">
        <v>821</v>
      </c>
      <c r="L207" s="2" t="s">
        <v>55</v>
      </c>
      <c r="M207" s="2" t="s">
        <v>822</v>
      </c>
      <c r="N207" s="2" t="s">
        <v>35</v>
      </c>
      <c r="O207" s="2" t="s">
        <v>258</v>
      </c>
      <c r="P207" s="2" t="s">
        <v>35</v>
      </c>
      <c r="Q207" s="2" t="s">
        <v>35</v>
      </c>
    </row>
    <row r="208" spans="1:17" ht="144">
      <c r="A208" s="8" t="str">
        <f>HYPERLINK("http://sipi.sic.gov.co/sipi/View.ashx?4147570","SD2022/0042900")</f>
        <v>SD2022/0042900</v>
      </c>
      <c r="B208" s="2" t="s">
        <v>823</v>
      </c>
      <c r="C208" s="7" t="s">
        <v>35</v>
      </c>
      <c r="D208" s="2" t="s">
        <v>824</v>
      </c>
      <c r="E208" s="2" t="s">
        <v>35</v>
      </c>
      <c r="F208" s="2" t="s">
        <v>37</v>
      </c>
      <c r="G208" s="2" t="s">
        <v>823</v>
      </c>
      <c r="H208" s="2" t="s">
        <v>825</v>
      </c>
      <c r="I208" s="2" t="s">
        <v>12</v>
      </c>
      <c r="J208" s="2" t="s">
        <v>40</v>
      </c>
      <c r="K208" s="2" t="s">
        <v>826</v>
      </c>
      <c r="L208" s="2" t="s">
        <v>42</v>
      </c>
      <c r="M208" s="2" t="s">
        <v>827</v>
      </c>
      <c r="N208" s="2" t="s">
        <v>35</v>
      </c>
      <c r="O208" s="2" t="s">
        <v>344</v>
      </c>
      <c r="P208" s="2" t="s">
        <v>35</v>
      </c>
      <c r="Q208" s="2" t="s">
        <v>35</v>
      </c>
    </row>
    <row r="209" spans="1:17" ht="144">
      <c r="A209" s="8" t="str">
        <f>HYPERLINK("http://sipi.sic.gov.co/sipi/View.ashx?4152520","SD2022/0044149")</f>
        <v>SD2022/0044149</v>
      </c>
      <c r="B209" s="2" t="s">
        <v>828</v>
      </c>
      <c r="C209" s="7" t="s">
        <v>35</v>
      </c>
      <c r="D209" s="2" t="s">
        <v>829</v>
      </c>
      <c r="E209" s="2" t="s">
        <v>35</v>
      </c>
      <c r="F209" s="2" t="s">
        <v>37</v>
      </c>
      <c r="G209" s="2" t="s">
        <v>830</v>
      </c>
      <c r="H209" s="2" t="s">
        <v>831</v>
      </c>
      <c r="I209" s="2" t="s">
        <v>12</v>
      </c>
      <c r="J209" s="2" t="s">
        <v>40</v>
      </c>
      <c r="K209" s="2" t="s">
        <v>832</v>
      </c>
      <c r="L209" s="2" t="s">
        <v>42</v>
      </c>
      <c r="M209" s="2" t="s">
        <v>833</v>
      </c>
      <c r="N209" s="2" t="s">
        <v>35</v>
      </c>
      <c r="O209" s="2" t="s">
        <v>649</v>
      </c>
      <c r="P209" s="2" t="s">
        <v>35</v>
      </c>
      <c r="Q209" s="2" t="s">
        <v>35</v>
      </c>
    </row>
    <row r="210" spans="1:17" ht="144">
      <c r="A210" s="8" t="str">
        <f>HYPERLINK("http://sipi.sic.gov.co/sipi/View.ashx?4153818","SD2022/0044579")</f>
        <v>SD2022/0044579</v>
      </c>
      <c r="B210" s="2" t="s">
        <v>834</v>
      </c>
      <c r="C210" s="2" t="s">
        <v>35</v>
      </c>
      <c r="D210" s="2" t="s">
        <v>835</v>
      </c>
      <c r="E210" s="2" t="s">
        <v>35</v>
      </c>
      <c r="F210" s="2" t="s">
        <v>37</v>
      </c>
      <c r="G210" s="2" t="s">
        <v>834</v>
      </c>
      <c r="H210" s="2" t="s">
        <v>836</v>
      </c>
      <c r="I210" s="2" t="s">
        <v>12</v>
      </c>
      <c r="J210" s="2" t="s">
        <v>40</v>
      </c>
      <c r="K210" s="2" t="s">
        <v>837</v>
      </c>
      <c r="L210" s="2" t="s">
        <v>55</v>
      </c>
      <c r="M210" s="2" t="s">
        <v>838</v>
      </c>
      <c r="N210" s="2" t="s">
        <v>35</v>
      </c>
      <c r="O210" s="2" t="s">
        <v>344</v>
      </c>
      <c r="P210" s="2" t="s">
        <v>35</v>
      </c>
      <c r="Q210" s="2" t="s">
        <v>35</v>
      </c>
    </row>
    <row r="211" spans="1:17" ht="172.8">
      <c r="A211" s="8" t="str">
        <f>HYPERLINK("http://sipi.sic.gov.co/sipi/View.ashx?4154002","SD2022/0044600")</f>
        <v>SD2022/0044600</v>
      </c>
      <c r="B211" s="2" t="s">
        <v>839</v>
      </c>
      <c r="C211" s="2" t="s">
        <v>35</v>
      </c>
      <c r="D211" s="2" t="s">
        <v>835</v>
      </c>
      <c r="E211" s="2" t="s">
        <v>35</v>
      </c>
      <c r="F211" s="2" t="s">
        <v>37</v>
      </c>
      <c r="G211" s="2" t="s">
        <v>840</v>
      </c>
      <c r="H211" s="2" t="s">
        <v>841</v>
      </c>
      <c r="I211" s="2" t="s">
        <v>842</v>
      </c>
      <c r="J211" s="2" t="s">
        <v>40</v>
      </c>
      <c r="K211" s="2" t="s">
        <v>843</v>
      </c>
      <c r="L211" s="2" t="s">
        <v>42</v>
      </c>
      <c r="M211" s="2" t="s">
        <v>451</v>
      </c>
      <c r="N211" s="2" t="s">
        <v>35</v>
      </c>
      <c r="O211" s="2" t="s">
        <v>344</v>
      </c>
      <c r="P211" s="2" t="s">
        <v>35</v>
      </c>
      <c r="Q211" s="2" t="s">
        <v>35</v>
      </c>
    </row>
    <row r="212" spans="1:17" ht="129.6">
      <c r="A212" s="8" t="str">
        <f>HYPERLINK("http://sipi.sic.gov.co/sipi/View.ashx?4154106","SD2022/0044633")</f>
        <v>SD2022/0044633</v>
      </c>
      <c r="B212" s="2" t="s">
        <v>844</v>
      </c>
      <c r="C212" s="2" t="s">
        <v>35</v>
      </c>
      <c r="D212" s="2" t="s">
        <v>835</v>
      </c>
      <c r="E212" s="2" t="s">
        <v>35</v>
      </c>
      <c r="F212" s="2" t="s">
        <v>37</v>
      </c>
      <c r="G212" s="2" t="s">
        <v>845</v>
      </c>
      <c r="H212" s="2" t="s">
        <v>841</v>
      </c>
      <c r="I212" s="2" t="s">
        <v>12</v>
      </c>
      <c r="J212" s="2" t="s">
        <v>40</v>
      </c>
      <c r="K212" s="2" t="s">
        <v>846</v>
      </c>
      <c r="L212" s="2" t="s">
        <v>42</v>
      </c>
      <c r="M212" s="2" t="s">
        <v>451</v>
      </c>
      <c r="N212" s="2" t="s">
        <v>35</v>
      </c>
      <c r="O212" s="2" t="s">
        <v>123</v>
      </c>
      <c r="P212" s="2" t="s">
        <v>35</v>
      </c>
      <c r="Q212" s="2" t="s">
        <v>35</v>
      </c>
    </row>
    <row r="213" spans="1:17" ht="144">
      <c r="A213" s="8" t="str">
        <f>HYPERLINK("http://sipi.sic.gov.co/sipi/View.ashx?4154294","SD2022/0044705")</f>
        <v>SD2022/0044705</v>
      </c>
      <c r="B213" s="2" t="s">
        <v>847</v>
      </c>
      <c r="C213" s="7" t="s">
        <v>35</v>
      </c>
      <c r="D213" s="2" t="s">
        <v>835</v>
      </c>
      <c r="E213" s="2" t="s">
        <v>35</v>
      </c>
      <c r="F213" s="2" t="s">
        <v>37</v>
      </c>
      <c r="G213" s="2" t="s">
        <v>35</v>
      </c>
      <c r="H213" s="2" t="s">
        <v>848</v>
      </c>
      <c r="I213" s="2" t="s">
        <v>120</v>
      </c>
      <c r="J213" s="2" t="s">
        <v>40</v>
      </c>
      <c r="K213" s="2" t="s">
        <v>849</v>
      </c>
      <c r="L213" s="2" t="s">
        <v>42</v>
      </c>
      <c r="M213" s="2" t="s">
        <v>850</v>
      </c>
      <c r="N213" s="2" t="s">
        <v>35</v>
      </c>
      <c r="O213" s="2" t="s">
        <v>191</v>
      </c>
      <c r="P213" s="2" t="s">
        <v>35</v>
      </c>
      <c r="Q213" s="2" t="s">
        <v>35</v>
      </c>
    </row>
    <row r="214" spans="1:17" ht="115.2">
      <c r="A214" s="8" t="str">
        <f>HYPERLINK("http://sipi.sic.gov.co/sipi/View.ashx?4156674","SD2022/0045218")</f>
        <v>SD2022/0045218</v>
      </c>
      <c r="B214" s="2" t="s">
        <v>851</v>
      </c>
      <c r="C214" s="2" t="s">
        <v>35</v>
      </c>
      <c r="D214" s="2" t="s">
        <v>852</v>
      </c>
      <c r="E214" s="2" t="s">
        <v>35</v>
      </c>
      <c r="F214" s="2" t="s">
        <v>37</v>
      </c>
      <c r="G214" s="2" t="s">
        <v>35</v>
      </c>
      <c r="H214" s="2" t="s">
        <v>853</v>
      </c>
      <c r="I214" s="2" t="s">
        <v>12</v>
      </c>
      <c r="J214" s="2" t="s">
        <v>40</v>
      </c>
      <c r="K214" s="2" t="s">
        <v>380</v>
      </c>
      <c r="L214" s="2" t="s">
        <v>42</v>
      </c>
      <c r="M214" s="2" t="s">
        <v>854</v>
      </c>
      <c r="N214" s="2" t="s">
        <v>35</v>
      </c>
      <c r="O214" s="2" t="s">
        <v>123</v>
      </c>
      <c r="P214" s="2" t="s">
        <v>35</v>
      </c>
      <c r="Q214" s="2" t="s">
        <v>35</v>
      </c>
    </row>
    <row r="215" spans="1:17" ht="129.6">
      <c r="A215" s="8" t="str">
        <f>HYPERLINK("http://sipi.sic.gov.co/sipi/View.ashx?4156994","SD2022/0045323")</f>
        <v>SD2022/0045323</v>
      </c>
      <c r="B215" s="2" t="s">
        <v>855</v>
      </c>
      <c r="C215" s="2" t="s">
        <v>35</v>
      </c>
      <c r="D215" s="2" t="s">
        <v>852</v>
      </c>
      <c r="E215" s="2" t="s">
        <v>35</v>
      </c>
      <c r="F215" s="2" t="s">
        <v>37</v>
      </c>
      <c r="G215" s="2" t="s">
        <v>35</v>
      </c>
      <c r="H215" s="2" t="s">
        <v>856</v>
      </c>
      <c r="I215" s="2" t="s">
        <v>12</v>
      </c>
      <c r="J215" s="2" t="s">
        <v>40</v>
      </c>
      <c r="K215" s="2" t="s">
        <v>857</v>
      </c>
      <c r="L215" s="2" t="s">
        <v>42</v>
      </c>
      <c r="M215" s="2" t="s">
        <v>48</v>
      </c>
      <c r="N215" s="2" t="s">
        <v>35</v>
      </c>
      <c r="O215" s="2" t="s">
        <v>123</v>
      </c>
      <c r="P215" s="2" t="s">
        <v>35</v>
      </c>
      <c r="Q215" s="2" t="s">
        <v>35</v>
      </c>
    </row>
    <row r="216" spans="1:17" ht="144">
      <c r="A216" s="8" t="str">
        <f>HYPERLINK("http://sipi.sic.gov.co/sipi/View.ashx?4158499","SD2022/0045570")</f>
        <v>SD2022/0045570</v>
      </c>
      <c r="B216" s="2" t="s">
        <v>858</v>
      </c>
      <c r="C216" s="7" t="s">
        <v>35</v>
      </c>
      <c r="D216" s="2" t="s">
        <v>859</v>
      </c>
      <c r="E216" s="2" t="s">
        <v>35</v>
      </c>
      <c r="F216" s="2" t="s">
        <v>37</v>
      </c>
      <c r="G216" s="2" t="s">
        <v>860</v>
      </c>
      <c r="H216" s="2" t="s">
        <v>550</v>
      </c>
      <c r="I216" s="2" t="s">
        <v>12</v>
      </c>
      <c r="J216" s="2" t="s">
        <v>40</v>
      </c>
      <c r="K216" s="2" t="s">
        <v>861</v>
      </c>
      <c r="L216" s="2" t="s">
        <v>42</v>
      </c>
      <c r="M216" s="2" t="s">
        <v>115</v>
      </c>
      <c r="N216" s="2" t="s">
        <v>35</v>
      </c>
      <c r="O216" s="2" t="s">
        <v>258</v>
      </c>
      <c r="P216" s="2" t="s">
        <v>35</v>
      </c>
      <c r="Q216" s="2" t="s">
        <v>35</v>
      </c>
    </row>
    <row r="217" spans="1:17" ht="409.6">
      <c r="A217" s="8" t="str">
        <f>HYPERLINK("http://sipi.sic.gov.co/sipi/View.ashx?4158551","SD2022/0045621")</f>
        <v>SD2022/0045621</v>
      </c>
      <c r="B217" s="2" t="s">
        <v>862</v>
      </c>
      <c r="C217" s="7" t="s">
        <v>35</v>
      </c>
      <c r="D217" s="2" t="s">
        <v>863</v>
      </c>
      <c r="E217" s="2" t="s">
        <v>35</v>
      </c>
      <c r="F217" s="2" t="s">
        <v>37</v>
      </c>
      <c r="G217" s="2" t="s">
        <v>862</v>
      </c>
      <c r="H217" s="2" t="s">
        <v>864</v>
      </c>
      <c r="I217" s="2" t="s">
        <v>865</v>
      </c>
      <c r="J217" s="2" t="s">
        <v>40</v>
      </c>
      <c r="K217" s="2" t="s">
        <v>866</v>
      </c>
      <c r="L217" s="2" t="s">
        <v>42</v>
      </c>
      <c r="M217" s="2" t="s">
        <v>867</v>
      </c>
      <c r="N217" s="2" t="s">
        <v>35</v>
      </c>
      <c r="O217" s="2" t="s">
        <v>268</v>
      </c>
      <c r="P217" s="2" t="s">
        <v>35</v>
      </c>
      <c r="Q217" s="2" t="s">
        <v>35</v>
      </c>
    </row>
    <row r="218" spans="1:17" ht="144">
      <c r="A218" s="8" t="str">
        <f>HYPERLINK("http://sipi.sic.gov.co/sipi/View.ashx?4158729","SD2022/0045634")</f>
        <v>SD2022/0045634</v>
      </c>
      <c r="B218" s="2" t="s">
        <v>868</v>
      </c>
      <c r="C218" s="2" t="s">
        <v>35</v>
      </c>
      <c r="D218" s="2" t="s">
        <v>859</v>
      </c>
      <c r="E218" s="2" t="s">
        <v>35</v>
      </c>
      <c r="F218" s="2" t="s">
        <v>37</v>
      </c>
      <c r="G218" s="2" t="s">
        <v>35</v>
      </c>
      <c r="H218" s="2" t="s">
        <v>869</v>
      </c>
      <c r="I218" s="2" t="s">
        <v>12</v>
      </c>
      <c r="J218" s="2" t="s">
        <v>40</v>
      </c>
      <c r="K218" s="2" t="s">
        <v>870</v>
      </c>
      <c r="L218" s="2" t="s">
        <v>55</v>
      </c>
      <c r="M218" s="2" t="s">
        <v>871</v>
      </c>
      <c r="N218" s="2" t="s">
        <v>35</v>
      </c>
      <c r="O218" s="2" t="s">
        <v>787</v>
      </c>
      <c r="P218" s="2" t="s">
        <v>35</v>
      </c>
      <c r="Q218" s="2" t="s">
        <v>35</v>
      </c>
    </row>
    <row r="219" spans="1:17" ht="115.2">
      <c r="A219" s="8" t="str">
        <f>HYPERLINK("http://sipi.sic.gov.co/sipi/View.ashx?4158795","SD2022/0045642")</f>
        <v>SD2022/0045642</v>
      </c>
      <c r="B219" s="2" t="s">
        <v>872</v>
      </c>
      <c r="C219" s="7" t="s">
        <v>35</v>
      </c>
      <c r="D219" s="2" t="s">
        <v>859</v>
      </c>
      <c r="E219" s="2" t="s">
        <v>35</v>
      </c>
      <c r="F219" s="2" t="s">
        <v>37</v>
      </c>
      <c r="G219" s="2" t="s">
        <v>873</v>
      </c>
      <c r="H219" s="2" t="s">
        <v>874</v>
      </c>
      <c r="I219" s="2" t="s">
        <v>61</v>
      </c>
      <c r="J219" s="2" t="s">
        <v>40</v>
      </c>
      <c r="K219" s="2" t="s">
        <v>875</v>
      </c>
      <c r="L219" s="2" t="s">
        <v>42</v>
      </c>
      <c r="M219" s="2" t="s">
        <v>876</v>
      </c>
      <c r="N219" s="2" t="s">
        <v>35</v>
      </c>
      <c r="O219" s="2" t="s">
        <v>787</v>
      </c>
      <c r="P219" s="2" t="s">
        <v>35</v>
      </c>
      <c r="Q219" s="2" t="s">
        <v>35</v>
      </c>
    </row>
    <row r="220" spans="1:17" ht="115.2">
      <c r="A220" s="8" t="str">
        <f>HYPERLINK("http://sipi.sic.gov.co/sipi/View.ashx?4161582","SD2022/0046117")</f>
        <v>SD2022/0046117</v>
      </c>
      <c r="B220" s="2" t="s">
        <v>877</v>
      </c>
      <c r="C220" s="7" t="s">
        <v>35</v>
      </c>
      <c r="D220" s="2" t="s">
        <v>191</v>
      </c>
      <c r="E220" s="2" t="s">
        <v>35</v>
      </c>
      <c r="F220" s="2" t="s">
        <v>37</v>
      </c>
      <c r="G220" s="2" t="s">
        <v>877</v>
      </c>
      <c r="H220" s="2" t="s">
        <v>878</v>
      </c>
      <c r="I220" s="2" t="s">
        <v>12</v>
      </c>
      <c r="J220" s="2" t="s">
        <v>40</v>
      </c>
      <c r="K220" s="2" t="s">
        <v>879</v>
      </c>
      <c r="L220" s="2" t="s">
        <v>42</v>
      </c>
      <c r="M220" s="2" t="s">
        <v>880</v>
      </c>
      <c r="N220" s="2" t="s">
        <v>35</v>
      </c>
      <c r="O220" s="2" t="s">
        <v>590</v>
      </c>
      <c r="P220" s="2" t="s">
        <v>35</v>
      </c>
      <c r="Q220" s="2" t="s">
        <v>35</v>
      </c>
    </row>
    <row r="221" spans="1:17" ht="144">
      <c r="A221" s="8" t="str">
        <f>HYPERLINK("http://sipi.sic.gov.co/sipi/View.ashx?4162846","SD2022/0046371")</f>
        <v>SD2022/0046371</v>
      </c>
      <c r="B221" s="2" t="s">
        <v>881</v>
      </c>
      <c r="C221" s="7" t="s">
        <v>35</v>
      </c>
      <c r="D221" s="2" t="s">
        <v>882</v>
      </c>
      <c r="E221" s="2" t="s">
        <v>35</v>
      </c>
      <c r="F221" s="2" t="s">
        <v>37</v>
      </c>
      <c r="G221" s="2" t="s">
        <v>35</v>
      </c>
      <c r="H221" s="2" t="s">
        <v>883</v>
      </c>
      <c r="I221" s="2" t="s">
        <v>113</v>
      </c>
      <c r="J221" s="2" t="s">
        <v>40</v>
      </c>
      <c r="K221" s="2" t="s">
        <v>884</v>
      </c>
      <c r="L221" s="2" t="s">
        <v>42</v>
      </c>
      <c r="M221" s="2" t="s">
        <v>35</v>
      </c>
      <c r="N221" s="2" t="s">
        <v>35</v>
      </c>
      <c r="O221" s="2" t="s">
        <v>344</v>
      </c>
      <c r="P221" s="2" t="s">
        <v>35</v>
      </c>
      <c r="Q221" s="2" t="s">
        <v>35</v>
      </c>
    </row>
    <row r="222" spans="1:17" ht="144">
      <c r="A222" s="8" t="str">
        <f>HYPERLINK("http://sipi.sic.gov.co/sipi/View.ashx?4163224","SD2022/0046452")</f>
        <v>SD2022/0046452</v>
      </c>
      <c r="B222" s="2" t="s">
        <v>885</v>
      </c>
      <c r="C222" s="7" t="s">
        <v>35</v>
      </c>
      <c r="D222" s="2" t="s">
        <v>882</v>
      </c>
      <c r="E222" s="2" t="s">
        <v>35</v>
      </c>
      <c r="F222" s="2" t="s">
        <v>37</v>
      </c>
      <c r="G222" s="2" t="s">
        <v>35</v>
      </c>
      <c r="H222" s="2" t="s">
        <v>886</v>
      </c>
      <c r="I222" s="2" t="s">
        <v>12</v>
      </c>
      <c r="J222" s="2" t="s">
        <v>40</v>
      </c>
      <c r="K222" s="2" t="s">
        <v>887</v>
      </c>
      <c r="L222" s="2" t="s">
        <v>55</v>
      </c>
      <c r="M222" s="2" t="s">
        <v>888</v>
      </c>
      <c r="N222" s="2" t="s">
        <v>35</v>
      </c>
      <c r="O222" s="2" t="s">
        <v>787</v>
      </c>
      <c r="P222" s="2" t="s">
        <v>35</v>
      </c>
      <c r="Q222" s="2" t="s">
        <v>35</v>
      </c>
    </row>
    <row r="223" spans="1:17" ht="115.2">
      <c r="A223" s="8" t="str">
        <f>HYPERLINK("http://sipi.sic.gov.co/sipi/View.ashx?4163375","SD2022/0046573")</f>
        <v>SD2022/0046573</v>
      </c>
      <c r="B223" s="2" t="s">
        <v>889</v>
      </c>
      <c r="C223" s="2" t="s">
        <v>35</v>
      </c>
      <c r="D223" s="2" t="s">
        <v>882</v>
      </c>
      <c r="E223" s="2" t="s">
        <v>35</v>
      </c>
      <c r="F223" s="2" t="s">
        <v>37</v>
      </c>
      <c r="G223" s="2" t="s">
        <v>890</v>
      </c>
      <c r="H223" s="2" t="s">
        <v>891</v>
      </c>
      <c r="I223" s="2" t="s">
        <v>12</v>
      </c>
      <c r="J223" s="2" t="s">
        <v>40</v>
      </c>
      <c r="K223" s="2" t="s">
        <v>892</v>
      </c>
      <c r="L223" s="2" t="s">
        <v>42</v>
      </c>
      <c r="M223" s="2" t="s">
        <v>168</v>
      </c>
      <c r="N223" s="2" t="s">
        <v>35</v>
      </c>
      <c r="O223" s="2" t="s">
        <v>268</v>
      </c>
      <c r="P223" s="2" t="s">
        <v>35</v>
      </c>
      <c r="Q223" s="2" t="s">
        <v>35</v>
      </c>
    </row>
    <row r="224" spans="1:17" ht="129.6">
      <c r="A224" s="8" t="str">
        <f>HYPERLINK("http://sipi.sic.gov.co/sipi/View.ashx?4164053","SD2022/0046692")</f>
        <v>SD2022/0046692</v>
      </c>
      <c r="B224" s="2" t="s">
        <v>893</v>
      </c>
      <c r="C224" s="7" t="s">
        <v>35</v>
      </c>
      <c r="D224" s="2" t="s">
        <v>882</v>
      </c>
      <c r="E224" s="2" t="s">
        <v>35</v>
      </c>
      <c r="F224" s="2" t="s">
        <v>37</v>
      </c>
      <c r="G224" s="2" t="s">
        <v>894</v>
      </c>
      <c r="H224" s="2" t="s">
        <v>895</v>
      </c>
      <c r="I224" s="2" t="s">
        <v>12</v>
      </c>
      <c r="J224" s="2" t="s">
        <v>40</v>
      </c>
      <c r="K224" s="2" t="s">
        <v>896</v>
      </c>
      <c r="L224" s="2" t="s">
        <v>42</v>
      </c>
      <c r="M224" s="2" t="s">
        <v>897</v>
      </c>
      <c r="N224" s="2" t="s">
        <v>35</v>
      </c>
      <c r="O224" s="2" t="s">
        <v>258</v>
      </c>
      <c r="P224" s="2" t="s">
        <v>35</v>
      </c>
      <c r="Q224" s="2" t="s">
        <v>35</v>
      </c>
    </row>
    <row r="225" spans="1:17" ht="216">
      <c r="A225" s="8" t="str">
        <f>HYPERLINK("http://sipi.sic.gov.co/sipi/View.ashx?4164064","SD2022/0047006")</f>
        <v>SD2022/0047006</v>
      </c>
      <c r="B225" s="2" t="s">
        <v>898</v>
      </c>
      <c r="C225" s="2" t="s">
        <v>35</v>
      </c>
      <c r="D225" s="2" t="s">
        <v>899</v>
      </c>
      <c r="E225" s="2" t="s">
        <v>35</v>
      </c>
      <c r="F225" s="2" t="s">
        <v>37</v>
      </c>
      <c r="G225" s="2" t="s">
        <v>900</v>
      </c>
      <c r="H225" s="2" t="s">
        <v>901</v>
      </c>
      <c r="I225" s="2" t="s">
        <v>12</v>
      </c>
      <c r="J225" s="2" t="s">
        <v>40</v>
      </c>
      <c r="K225" s="2" t="s">
        <v>902</v>
      </c>
      <c r="L225" s="2" t="s">
        <v>42</v>
      </c>
      <c r="M225" s="2" t="s">
        <v>417</v>
      </c>
      <c r="N225" s="2" t="s">
        <v>35</v>
      </c>
      <c r="O225" s="2" t="s">
        <v>476</v>
      </c>
      <c r="P225" s="2" t="s">
        <v>35</v>
      </c>
      <c r="Q225" s="2" t="s">
        <v>35</v>
      </c>
    </row>
    <row r="226" spans="1:17" ht="216">
      <c r="A226" s="8" t="str">
        <f>HYPERLINK("http://sipi.sic.gov.co/sipi/View.ashx?4164072","SD2022/0047008")</f>
        <v>SD2022/0047008</v>
      </c>
      <c r="B226" s="2" t="s">
        <v>903</v>
      </c>
      <c r="C226" s="2" t="s">
        <v>35</v>
      </c>
      <c r="D226" s="2" t="s">
        <v>899</v>
      </c>
      <c r="E226" s="2" t="s">
        <v>35</v>
      </c>
      <c r="F226" s="2" t="s">
        <v>37</v>
      </c>
      <c r="G226" s="2" t="s">
        <v>904</v>
      </c>
      <c r="H226" s="2" t="s">
        <v>901</v>
      </c>
      <c r="I226" s="2" t="s">
        <v>12</v>
      </c>
      <c r="J226" s="2" t="s">
        <v>40</v>
      </c>
      <c r="K226" s="2" t="s">
        <v>902</v>
      </c>
      <c r="L226" s="2" t="s">
        <v>42</v>
      </c>
      <c r="M226" s="2" t="s">
        <v>417</v>
      </c>
      <c r="N226" s="2" t="s">
        <v>35</v>
      </c>
      <c r="O226" s="2" t="s">
        <v>476</v>
      </c>
      <c r="P226" s="2" t="s">
        <v>35</v>
      </c>
      <c r="Q226" s="2" t="s">
        <v>35</v>
      </c>
    </row>
    <row r="227" spans="1:17" ht="216">
      <c r="A227" s="8" t="str">
        <f>HYPERLINK("http://sipi.sic.gov.co/sipi/View.ashx?4164093","SD2022/0047015")</f>
        <v>SD2022/0047015</v>
      </c>
      <c r="B227" s="2" t="s">
        <v>905</v>
      </c>
      <c r="C227" s="2" t="s">
        <v>35</v>
      </c>
      <c r="D227" s="2" t="s">
        <v>899</v>
      </c>
      <c r="E227" s="2" t="s">
        <v>35</v>
      </c>
      <c r="F227" s="2" t="s">
        <v>37</v>
      </c>
      <c r="G227" s="2" t="s">
        <v>906</v>
      </c>
      <c r="H227" s="2" t="s">
        <v>901</v>
      </c>
      <c r="I227" s="2" t="s">
        <v>12</v>
      </c>
      <c r="J227" s="2" t="s">
        <v>40</v>
      </c>
      <c r="K227" s="2" t="s">
        <v>902</v>
      </c>
      <c r="L227" s="2" t="s">
        <v>55</v>
      </c>
      <c r="M227" s="2" t="s">
        <v>417</v>
      </c>
      <c r="N227" s="2" t="s">
        <v>35</v>
      </c>
      <c r="O227" s="2" t="s">
        <v>476</v>
      </c>
      <c r="P227" s="2" t="s">
        <v>35</v>
      </c>
      <c r="Q227" s="2" t="s">
        <v>35</v>
      </c>
    </row>
    <row r="228" spans="1:17" ht="216">
      <c r="A228" s="8" t="str">
        <f>HYPERLINK("http://sipi.sic.gov.co/sipi/View.ashx?4164101","SD2022/0047017")</f>
        <v>SD2022/0047017</v>
      </c>
      <c r="B228" s="2" t="s">
        <v>907</v>
      </c>
      <c r="C228" s="2" t="s">
        <v>35</v>
      </c>
      <c r="D228" s="2" t="s">
        <v>899</v>
      </c>
      <c r="E228" s="2" t="s">
        <v>35</v>
      </c>
      <c r="F228" s="2" t="s">
        <v>37</v>
      </c>
      <c r="G228" s="2" t="s">
        <v>908</v>
      </c>
      <c r="H228" s="2" t="s">
        <v>901</v>
      </c>
      <c r="I228" s="2" t="s">
        <v>12</v>
      </c>
      <c r="J228" s="2" t="s">
        <v>40</v>
      </c>
      <c r="K228" s="2" t="s">
        <v>902</v>
      </c>
      <c r="L228" s="2" t="s">
        <v>55</v>
      </c>
      <c r="M228" s="2" t="s">
        <v>417</v>
      </c>
      <c r="N228" s="2" t="s">
        <v>35</v>
      </c>
      <c r="O228" s="2" t="s">
        <v>476</v>
      </c>
      <c r="P228" s="2" t="s">
        <v>35</v>
      </c>
      <c r="Q228" s="2" t="s">
        <v>35</v>
      </c>
    </row>
    <row r="229" spans="1:17" ht="216">
      <c r="A229" s="8" t="str">
        <f>HYPERLINK("http://sipi.sic.gov.co/sipi/View.ashx?4164105","SD2022/0047021")</f>
        <v>SD2022/0047021</v>
      </c>
      <c r="B229" s="2" t="s">
        <v>909</v>
      </c>
      <c r="C229" s="2" t="s">
        <v>35</v>
      </c>
      <c r="D229" s="2" t="s">
        <v>899</v>
      </c>
      <c r="E229" s="2" t="s">
        <v>35</v>
      </c>
      <c r="F229" s="2" t="s">
        <v>37</v>
      </c>
      <c r="G229" s="2" t="s">
        <v>910</v>
      </c>
      <c r="H229" s="2" t="s">
        <v>901</v>
      </c>
      <c r="I229" s="2" t="s">
        <v>12</v>
      </c>
      <c r="J229" s="2" t="s">
        <v>40</v>
      </c>
      <c r="K229" s="2" t="s">
        <v>902</v>
      </c>
      <c r="L229" s="2" t="s">
        <v>42</v>
      </c>
      <c r="M229" s="2" t="s">
        <v>417</v>
      </c>
      <c r="N229" s="2" t="s">
        <v>35</v>
      </c>
      <c r="O229" s="2" t="s">
        <v>476</v>
      </c>
      <c r="P229" s="2" t="s">
        <v>35</v>
      </c>
      <c r="Q229" s="2" t="s">
        <v>35</v>
      </c>
    </row>
    <row r="230" spans="1:17" ht="216">
      <c r="A230" s="8" t="str">
        <f>HYPERLINK("http://sipi.sic.gov.co/sipi/View.ashx?4164114","SD2022/0047024")</f>
        <v>SD2022/0047024</v>
      </c>
      <c r="B230" s="2" t="s">
        <v>911</v>
      </c>
      <c r="C230" s="2" t="s">
        <v>35</v>
      </c>
      <c r="D230" s="2" t="s">
        <v>899</v>
      </c>
      <c r="E230" s="2" t="s">
        <v>35</v>
      </c>
      <c r="F230" s="2" t="s">
        <v>37</v>
      </c>
      <c r="G230" s="2" t="s">
        <v>912</v>
      </c>
      <c r="H230" s="2" t="s">
        <v>901</v>
      </c>
      <c r="I230" s="2" t="s">
        <v>12</v>
      </c>
      <c r="J230" s="2" t="s">
        <v>40</v>
      </c>
      <c r="K230" s="2" t="s">
        <v>902</v>
      </c>
      <c r="L230" s="2" t="s">
        <v>42</v>
      </c>
      <c r="M230" s="2" t="s">
        <v>417</v>
      </c>
      <c r="N230" s="2" t="s">
        <v>35</v>
      </c>
      <c r="O230" s="2" t="s">
        <v>487</v>
      </c>
      <c r="P230" s="2" t="s">
        <v>35</v>
      </c>
      <c r="Q230" s="2" t="s">
        <v>35</v>
      </c>
    </row>
    <row r="231" spans="1:17" ht="216">
      <c r="A231" s="8" t="str">
        <f>HYPERLINK("http://sipi.sic.gov.co/sipi/View.ashx?4164137","SD2022/0047029")</f>
        <v>SD2022/0047029</v>
      </c>
      <c r="B231" s="2" t="s">
        <v>913</v>
      </c>
      <c r="C231" s="2" t="s">
        <v>35</v>
      </c>
      <c r="D231" s="2" t="s">
        <v>899</v>
      </c>
      <c r="E231" s="2" t="s">
        <v>35</v>
      </c>
      <c r="F231" s="2" t="s">
        <v>37</v>
      </c>
      <c r="G231" s="2" t="s">
        <v>914</v>
      </c>
      <c r="H231" s="2" t="s">
        <v>901</v>
      </c>
      <c r="I231" s="2" t="s">
        <v>12</v>
      </c>
      <c r="J231" s="2" t="s">
        <v>40</v>
      </c>
      <c r="K231" s="2" t="s">
        <v>902</v>
      </c>
      <c r="L231" s="2" t="s">
        <v>42</v>
      </c>
      <c r="M231" s="2" t="s">
        <v>417</v>
      </c>
      <c r="N231" s="2" t="s">
        <v>35</v>
      </c>
      <c r="O231" s="2" t="s">
        <v>487</v>
      </c>
      <c r="P231" s="2" t="s">
        <v>35</v>
      </c>
      <c r="Q231" s="2" t="s">
        <v>35</v>
      </c>
    </row>
    <row r="232" spans="1:17" ht="216">
      <c r="A232" s="8" t="str">
        <f>HYPERLINK("http://sipi.sic.gov.co/sipi/View.ashx?4164153","SD2022/0047067")</f>
        <v>SD2022/0047067</v>
      </c>
      <c r="B232" s="2" t="s">
        <v>915</v>
      </c>
      <c r="C232" s="2" t="s">
        <v>35</v>
      </c>
      <c r="D232" s="2" t="s">
        <v>899</v>
      </c>
      <c r="E232" s="2" t="s">
        <v>35</v>
      </c>
      <c r="F232" s="2" t="s">
        <v>37</v>
      </c>
      <c r="G232" s="2" t="s">
        <v>916</v>
      </c>
      <c r="H232" s="2" t="s">
        <v>901</v>
      </c>
      <c r="I232" s="2" t="s">
        <v>12</v>
      </c>
      <c r="J232" s="2" t="s">
        <v>40</v>
      </c>
      <c r="K232" s="2" t="s">
        <v>902</v>
      </c>
      <c r="L232" s="2" t="s">
        <v>55</v>
      </c>
      <c r="M232" s="2" t="s">
        <v>417</v>
      </c>
      <c r="N232" s="2" t="s">
        <v>35</v>
      </c>
      <c r="O232" s="2" t="s">
        <v>123</v>
      </c>
      <c r="P232" s="2" t="s">
        <v>35</v>
      </c>
      <c r="Q232" s="2" t="s">
        <v>35</v>
      </c>
    </row>
    <row r="233" spans="1:17" ht="216">
      <c r="A233" s="8" t="str">
        <f>HYPERLINK("http://sipi.sic.gov.co/sipi/View.ashx?4164163","SD2022/0047070")</f>
        <v>SD2022/0047070</v>
      </c>
      <c r="B233" s="2" t="s">
        <v>917</v>
      </c>
      <c r="C233" s="2" t="s">
        <v>35</v>
      </c>
      <c r="D233" s="2" t="s">
        <v>899</v>
      </c>
      <c r="E233" s="2" t="s">
        <v>35</v>
      </c>
      <c r="F233" s="2" t="s">
        <v>37</v>
      </c>
      <c r="G233" s="2" t="s">
        <v>918</v>
      </c>
      <c r="H233" s="2" t="s">
        <v>901</v>
      </c>
      <c r="I233" s="2" t="s">
        <v>12</v>
      </c>
      <c r="J233" s="2" t="s">
        <v>40</v>
      </c>
      <c r="K233" s="2" t="s">
        <v>902</v>
      </c>
      <c r="L233" s="2" t="s">
        <v>55</v>
      </c>
      <c r="M233" s="2" t="s">
        <v>417</v>
      </c>
      <c r="N233" s="2" t="s">
        <v>35</v>
      </c>
      <c r="O233" s="2" t="s">
        <v>123</v>
      </c>
      <c r="P233" s="2" t="s">
        <v>35</v>
      </c>
      <c r="Q233" s="2" t="s">
        <v>35</v>
      </c>
    </row>
    <row r="234" spans="1:17" ht="216">
      <c r="A234" s="8" t="str">
        <f>HYPERLINK("http://sipi.sic.gov.co/sipi/View.ashx?4164179","SD2022/0047078")</f>
        <v>SD2022/0047078</v>
      </c>
      <c r="B234" s="2" t="s">
        <v>919</v>
      </c>
      <c r="C234" s="2" t="s">
        <v>35</v>
      </c>
      <c r="D234" s="2" t="s">
        <v>899</v>
      </c>
      <c r="E234" s="2" t="s">
        <v>35</v>
      </c>
      <c r="F234" s="2" t="s">
        <v>37</v>
      </c>
      <c r="G234" s="2" t="s">
        <v>920</v>
      </c>
      <c r="H234" s="2" t="s">
        <v>901</v>
      </c>
      <c r="I234" s="2" t="s">
        <v>12</v>
      </c>
      <c r="J234" s="2" t="s">
        <v>40</v>
      </c>
      <c r="K234" s="2" t="s">
        <v>902</v>
      </c>
      <c r="L234" s="2" t="s">
        <v>55</v>
      </c>
      <c r="M234" s="2" t="s">
        <v>417</v>
      </c>
      <c r="N234" s="2" t="s">
        <v>35</v>
      </c>
      <c r="O234" s="2" t="s">
        <v>123</v>
      </c>
      <c r="P234" s="2" t="s">
        <v>35</v>
      </c>
      <c r="Q234" s="2" t="s">
        <v>35</v>
      </c>
    </row>
    <row r="235" spans="1:17" ht="76.8">
      <c r="A235" s="8" t="str">
        <f>HYPERLINK("http://sipi.sic.gov.co/sipi/View.ashx?4164870","SD2022/0046866")</f>
        <v>SD2022/0046866</v>
      </c>
      <c r="B235" s="2" t="s">
        <v>921</v>
      </c>
      <c r="C235" s="7" t="s">
        <v>35</v>
      </c>
      <c r="D235" s="2" t="s">
        <v>899</v>
      </c>
      <c r="E235" s="2" t="s">
        <v>35</v>
      </c>
      <c r="F235" s="2" t="s">
        <v>37</v>
      </c>
      <c r="G235" s="2" t="s">
        <v>35</v>
      </c>
      <c r="H235" s="2" t="s">
        <v>922</v>
      </c>
      <c r="I235" s="2" t="s">
        <v>12</v>
      </c>
      <c r="J235" s="2" t="s">
        <v>40</v>
      </c>
      <c r="K235" s="2" t="s">
        <v>395</v>
      </c>
      <c r="L235" s="2" t="s">
        <v>42</v>
      </c>
      <c r="M235" s="2" t="s">
        <v>35</v>
      </c>
      <c r="N235" s="2" t="s">
        <v>35</v>
      </c>
      <c r="O235" s="2" t="s">
        <v>590</v>
      </c>
      <c r="P235" s="2" t="s">
        <v>35</v>
      </c>
      <c r="Q235" s="2" t="s">
        <v>35</v>
      </c>
    </row>
    <row r="236" spans="1:17" ht="115.2">
      <c r="A236" s="8" t="str">
        <f>HYPERLINK("http://sipi.sic.gov.co/sipi/View.ashx?4165184","SD2022/0046938")</f>
        <v>SD2022/0046938</v>
      </c>
      <c r="B236" s="2" t="s">
        <v>923</v>
      </c>
      <c r="C236" s="2" t="s">
        <v>35</v>
      </c>
      <c r="D236" s="2" t="s">
        <v>899</v>
      </c>
      <c r="E236" s="2" t="s">
        <v>35</v>
      </c>
      <c r="F236" s="2" t="s">
        <v>37</v>
      </c>
      <c r="G236" s="2" t="s">
        <v>924</v>
      </c>
      <c r="H236" s="2" t="s">
        <v>925</v>
      </c>
      <c r="I236" s="2" t="s">
        <v>12</v>
      </c>
      <c r="J236" s="2" t="s">
        <v>40</v>
      </c>
      <c r="K236" s="2" t="s">
        <v>926</v>
      </c>
      <c r="L236" s="2" t="s">
        <v>55</v>
      </c>
      <c r="M236" s="2" t="s">
        <v>197</v>
      </c>
      <c r="N236" s="2" t="s">
        <v>35</v>
      </c>
      <c r="O236" s="2" t="s">
        <v>787</v>
      </c>
      <c r="P236" s="2" t="s">
        <v>35</v>
      </c>
      <c r="Q236" s="2" t="s">
        <v>35</v>
      </c>
    </row>
    <row r="237" spans="1:17" ht="216">
      <c r="A237" s="8" t="str">
        <f>HYPERLINK("http://sipi.sic.gov.co/sipi/View.ashx?4165485","SD2022/0047003")</f>
        <v>SD2022/0047003</v>
      </c>
      <c r="B237" s="2" t="s">
        <v>927</v>
      </c>
      <c r="C237" s="2" t="s">
        <v>35</v>
      </c>
      <c r="D237" s="2" t="s">
        <v>899</v>
      </c>
      <c r="E237" s="2" t="s">
        <v>35</v>
      </c>
      <c r="F237" s="2" t="s">
        <v>37</v>
      </c>
      <c r="G237" s="2" t="s">
        <v>928</v>
      </c>
      <c r="H237" s="2" t="s">
        <v>901</v>
      </c>
      <c r="I237" s="2" t="s">
        <v>12</v>
      </c>
      <c r="J237" s="2" t="s">
        <v>40</v>
      </c>
      <c r="K237" s="2" t="s">
        <v>902</v>
      </c>
      <c r="L237" s="2" t="s">
        <v>42</v>
      </c>
      <c r="M237" s="2" t="s">
        <v>417</v>
      </c>
      <c r="N237" s="2" t="s">
        <v>35</v>
      </c>
      <c r="O237" s="2" t="s">
        <v>476</v>
      </c>
      <c r="P237" s="2" t="s">
        <v>35</v>
      </c>
      <c r="Q237" s="2" t="s">
        <v>35</v>
      </c>
    </row>
    <row r="238" spans="1:17" ht="144">
      <c r="A238" s="8" t="str">
        <f>HYPERLINK("http://sipi.sic.gov.co/sipi/View.ashx?4170672","SD2022/0048336")</f>
        <v>SD2022/0048336</v>
      </c>
      <c r="B238" s="2" t="s">
        <v>929</v>
      </c>
      <c r="C238" s="7" t="s">
        <v>35</v>
      </c>
      <c r="D238" s="2" t="s">
        <v>930</v>
      </c>
      <c r="E238" s="2" t="s">
        <v>35</v>
      </c>
      <c r="F238" s="2" t="s">
        <v>37</v>
      </c>
      <c r="G238" s="2" t="s">
        <v>931</v>
      </c>
      <c r="H238" s="2" t="s">
        <v>932</v>
      </c>
      <c r="I238" s="2" t="s">
        <v>12</v>
      </c>
      <c r="J238" s="2" t="s">
        <v>40</v>
      </c>
      <c r="K238" s="2" t="s">
        <v>933</v>
      </c>
      <c r="L238" s="2" t="s">
        <v>42</v>
      </c>
      <c r="M238" s="2" t="s">
        <v>838</v>
      </c>
      <c r="N238" s="2" t="s">
        <v>35</v>
      </c>
      <c r="O238" s="2" t="s">
        <v>476</v>
      </c>
      <c r="P238" s="2" t="s">
        <v>35</v>
      </c>
      <c r="Q238" s="2" t="s">
        <v>35</v>
      </c>
    </row>
    <row r="239" spans="1:17" ht="144">
      <c r="A239" s="8" t="str">
        <f>HYPERLINK("http://sipi.sic.gov.co/sipi/View.ashx?4170922","SD2022/0050235")</f>
        <v>SD2022/0050235</v>
      </c>
      <c r="B239" s="2" t="s">
        <v>934</v>
      </c>
      <c r="C239" s="7" t="s">
        <v>35</v>
      </c>
      <c r="D239" s="2" t="s">
        <v>476</v>
      </c>
      <c r="E239" s="2" t="s">
        <v>35</v>
      </c>
      <c r="F239" s="2" t="s">
        <v>37</v>
      </c>
      <c r="G239" s="2" t="s">
        <v>934</v>
      </c>
      <c r="H239" s="2" t="s">
        <v>935</v>
      </c>
      <c r="I239" s="2" t="s">
        <v>12</v>
      </c>
      <c r="J239" s="2" t="s">
        <v>40</v>
      </c>
      <c r="K239" s="2" t="s">
        <v>936</v>
      </c>
      <c r="L239" s="2" t="s">
        <v>55</v>
      </c>
      <c r="M239" s="2" t="s">
        <v>937</v>
      </c>
      <c r="N239" s="2" t="s">
        <v>35</v>
      </c>
      <c r="O239" s="2" t="s">
        <v>258</v>
      </c>
      <c r="P239" s="2" t="s">
        <v>35</v>
      </c>
      <c r="Q239" s="2" t="s">
        <v>35</v>
      </c>
    </row>
    <row r="240" spans="1:17" ht="129.6">
      <c r="A240" s="8" t="str">
        <f>HYPERLINK("http://sipi.sic.gov.co/sipi/View.ashx?4172783","SD2022/0049055")</f>
        <v>SD2022/0049055</v>
      </c>
      <c r="B240" s="2" t="s">
        <v>938</v>
      </c>
      <c r="C240" s="2" t="s">
        <v>35</v>
      </c>
      <c r="D240" s="2" t="s">
        <v>939</v>
      </c>
      <c r="E240" s="2" t="s">
        <v>35</v>
      </c>
      <c r="F240" s="2" t="s">
        <v>37</v>
      </c>
      <c r="G240" s="2" t="s">
        <v>940</v>
      </c>
      <c r="H240" s="2" t="s">
        <v>126</v>
      </c>
      <c r="I240" s="2" t="s">
        <v>12</v>
      </c>
      <c r="J240" s="2" t="s">
        <v>40</v>
      </c>
      <c r="K240" s="2" t="s">
        <v>941</v>
      </c>
      <c r="L240" s="2" t="s">
        <v>55</v>
      </c>
      <c r="M240" s="2" t="s">
        <v>128</v>
      </c>
      <c r="N240" s="2" t="s">
        <v>35</v>
      </c>
      <c r="O240" s="2" t="s">
        <v>649</v>
      </c>
      <c r="P240" s="2" t="s">
        <v>35</v>
      </c>
      <c r="Q240" s="2" t="s">
        <v>35</v>
      </c>
    </row>
    <row r="241" spans="1:17" ht="172.8">
      <c r="A241" s="8" t="str">
        <f>HYPERLINK("http://sipi.sic.gov.co/sipi/View.ashx?4173801","SD2022/0049010")</f>
        <v>SD2022/0049010</v>
      </c>
      <c r="B241" s="2" t="s">
        <v>942</v>
      </c>
      <c r="C241" s="7" t="s">
        <v>35</v>
      </c>
      <c r="D241" s="2" t="s">
        <v>939</v>
      </c>
      <c r="E241" s="2" t="s">
        <v>35</v>
      </c>
      <c r="F241" s="2" t="s">
        <v>37</v>
      </c>
      <c r="G241" s="2" t="s">
        <v>942</v>
      </c>
      <c r="H241" s="2" t="s">
        <v>943</v>
      </c>
      <c r="I241" s="2" t="s">
        <v>12</v>
      </c>
      <c r="J241" s="2" t="s">
        <v>40</v>
      </c>
      <c r="K241" s="2" t="s">
        <v>944</v>
      </c>
      <c r="L241" s="2" t="s">
        <v>42</v>
      </c>
      <c r="M241" s="2" t="s">
        <v>945</v>
      </c>
      <c r="N241" s="2" t="s">
        <v>35</v>
      </c>
      <c r="O241" s="2" t="s">
        <v>258</v>
      </c>
      <c r="P241" s="2" t="s">
        <v>35</v>
      </c>
      <c r="Q241" s="2" t="s">
        <v>35</v>
      </c>
    </row>
    <row r="242" spans="1:17" ht="129.6">
      <c r="A242" s="8" t="str">
        <f>HYPERLINK("http://sipi.sic.gov.co/sipi/View.ashx?4174849","SD2022/0049192")</f>
        <v>SD2022/0049192</v>
      </c>
      <c r="B242" s="2" t="s">
        <v>946</v>
      </c>
      <c r="C242" s="2" t="s">
        <v>35</v>
      </c>
      <c r="D242" s="2" t="s">
        <v>947</v>
      </c>
      <c r="E242" s="2" t="s">
        <v>35</v>
      </c>
      <c r="F242" s="2" t="s">
        <v>37</v>
      </c>
      <c r="G242" s="2" t="s">
        <v>35</v>
      </c>
      <c r="H242" s="2" t="s">
        <v>948</v>
      </c>
      <c r="I242" s="2" t="s">
        <v>12</v>
      </c>
      <c r="J242" s="2" t="s">
        <v>40</v>
      </c>
      <c r="K242" s="2" t="s">
        <v>949</v>
      </c>
      <c r="L242" s="2" t="s">
        <v>42</v>
      </c>
      <c r="M242" s="2" t="s">
        <v>371</v>
      </c>
      <c r="N242" s="2" t="s">
        <v>35</v>
      </c>
      <c r="O242" s="2" t="s">
        <v>344</v>
      </c>
      <c r="P242" s="2" t="s">
        <v>35</v>
      </c>
      <c r="Q242" s="2" t="s">
        <v>35</v>
      </c>
    </row>
    <row r="243" spans="1:17" ht="115.2">
      <c r="A243" s="8" t="str">
        <f>HYPERLINK("http://sipi.sic.gov.co/sipi/View.ashx?4175184","SD2022/0049279")</f>
        <v>SD2022/0049279</v>
      </c>
      <c r="B243" s="2" t="s">
        <v>950</v>
      </c>
      <c r="C243" s="7" t="s">
        <v>35</v>
      </c>
      <c r="D243" s="2" t="s">
        <v>947</v>
      </c>
      <c r="E243" s="2" t="s">
        <v>35</v>
      </c>
      <c r="F243" s="2" t="s">
        <v>37</v>
      </c>
      <c r="G243" s="2" t="s">
        <v>950</v>
      </c>
      <c r="H243" s="2" t="s">
        <v>951</v>
      </c>
      <c r="I243" s="2" t="s">
        <v>12</v>
      </c>
      <c r="J243" s="2" t="s">
        <v>40</v>
      </c>
      <c r="K243" s="2" t="s">
        <v>952</v>
      </c>
      <c r="L243" s="2" t="s">
        <v>42</v>
      </c>
      <c r="M243" s="2" t="s">
        <v>953</v>
      </c>
      <c r="N243" s="2" t="s">
        <v>35</v>
      </c>
      <c r="O243" s="2" t="s">
        <v>476</v>
      </c>
      <c r="P243" s="2" t="s">
        <v>35</v>
      </c>
      <c r="Q243" s="2" t="s">
        <v>35</v>
      </c>
    </row>
    <row r="244" spans="1:17" ht="115.2">
      <c r="A244" s="8" t="str">
        <f>HYPERLINK("http://sipi.sic.gov.co/sipi/View.ashx?4175534","SD2022/0049846")</f>
        <v>SD2022/0049846</v>
      </c>
      <c r="B244" s="2" t="s">
        <v>954</v>
      </c>
      <c r="C244" s="7" t="s">
        <v>35</v>
      </c>
      <c r="D244" s="2" t="s">
        <v>955</v>
      </c>
      <c r="E244" s="2" t="s">
        <v>35</v>
      </c>
      <c r="F244" s="2" t="s">
        <v>37</v>
      </c>
      <c r="G244" s="2" t="s">
        <v>954</v>
      </c>
      <c r="H244" s="2" t="s">
        <v>951</v>
      </c>
      <c r="I244" s="2" t="s">
        <v>12</v>
      </c>
      <c r="J244" s="2" t="s">
        <v>40</v>
      </c>
      <c r="K244" s="2" t="s">
        <v>956</v>
      </c>
      <c r="L244" s="2" t="s">
        <v>42</v>
      </c>
      <c r="M244" s="2" t="s">
        <v>953</v>
      </c>
      <c r="N244" s="2" t="s">
        <v>35</v>
      </c>
      <c r="O244" s="2" t="s">
        <v>487</v>
      </c>
      <c r="P244" s="2" t="s">
        <v>35</v>
      </c>
      <c r="Q244" s="2" t="s">
        <v>35</v>
      </c>
    </row>
    <row r="245" spans="1:17" ht="409.6">
      <c r="A245" s="8" t="str">
        <f>HYPERLINK("http://sipi.sic.gov.co/sipi/View.ashx?4177375","SD2022/0049886")</f>
        <v>SD2022/0049886</v>
      </c>
      <c r="B245" s="2" t="s">
        <v>957</v>
      </c>
      <c r="C245" s="7" t="s">
        <v>35</v>
      </c>
      <c r="D245" s="2" t="s">
        <v>955</v>
      </c>
      <c r="E245" s="2" t="s">
        <v>35</v>
      </c>
      <c r="F245" s="2" t="s">
        <v>37</v>
      </c>
      <c r="G245" s="2" t="s">
        <v>957</v>
      </c>
      <c r="H245" s="2" t="s">
        <v>958</v>
      </c>
      <c r="I245" s="2" t="s">
        <v>12</v>
      </c>
      <c r="J245" s="2" t="s">
        <v>40</v>
      </c>
      <c r="K245" s="2" t="s">
        <v>959</v>
      </c>
      <c r="L245" s="2" t="s">
        <v>55</v>
      </c>
      <c r="M245" s="2" t="s">
        <v>960</v>
      </c>
      <c r="N245" s="2" t="s">
        <v>35</v>
      </c>
      <c r="O245" s="2" t="s">
        <v>595</v>
      </c>
      <c r="P245" s="2" t="s">
        <v>35</v>
      </c>
      <c r="Q245" s="2" t="s">
        <v>35</v>
      </c>
    </row>
    <row r="246" spans="1:17" ht="76.8">
      <c r="A246" s="8" t="str">
        <f>HYPERLINK("http://sipi.sic.gov.co/sipi/View.ashx?4177545","SD2022/0049859")</f>
        <v>SD2022/0049859</v>
      </c>
      <c r="B246" s="2" t="s">
        <v>961</v>
      </c>
      <c r="C246" s="7" t="s">
        <v>35</v>
      </c>
      <c r="D246" s="2" t="s">
        <v>955</v>
      </c>
      <c r="E246" s="2" t="s">
        <v>35</v>
      </c>
      <c r="F246" s="2" t="s">
        <v>37</v>
      </c>
      <c r="G246" s="2" t="s">
        <v>35</v>
      </c>
      <c r="H246" s="2" t="s">
        <v>962</v>
      </c>
      <c r="I246" s="2" t="s">
        <v>12</v>
      </c>
      <c r="J246" s="2" t="s">
        <v>40</v>
      </c>
      <c r="K246" s="2" t="s">
        <v>963</v>
      </c>
      <c r="L246" s="2" t="s">
        <v>42</v>
      </c>
      <c r="M246" s="2" t="s">
        <v>35</v>
      </c>
      <c r="N246" s="2" t="s">
        <v>35</v>
      </c>
      <c r="O246" s="2" t="s">
        <v>344</v>
      </c>
      <c r="P246" s="2" t="s">
        <v>35</v>
      </c>
      <c r="Q246" s="2" t="s">
        <v>35</v>
      </c>
    </row>
    <row r="247" spans="1:17" ht="115.2">
      <c r="A247" s="8" t="str">
        <f>HYPERLINK("http://sipi.sic.gov.co/sipi/View.ashx?4178876","SD2022/0050157")</f>
        <v>SD2022/0050157</v>
      </c>
      <c r="B247" s="2" t="s">
        <v>964</v>
      </c>
      <c r="C247" s="2" t="s">
        <v>35</v>
      </c>
      <c r="D247" s="2" t="s">
        <v>965</v>
      </c>
      <c r="E247" s="2" t="s">
        <v>35</v>
      </c>
      <c r="F247" s="2" t="s">
        <v>37</v>
      </c>
      <c r="G247" s="2" t="s">
        <v>964</v>
      </c>
      <c r="H247" s="2" t="s">
        <v>966</v>
      </c>
      <c r="I247" s="2" t="s">
        <v>12</v>
      </c>
      <c r="J247" s="2" t="s">
        <v>40</v>
      </c>
      <c r="K247" s="2" t="s">
        <v>967</v>
      </c>
      <c r="L247" s="2" t="s">
        <v>42</v>
      </c>
      <c r="M247" s="2" t="s">
        <v>880</v>
      </c>
      <c r="N247" s="2" t="s">
        <v>35</v>
      </c>
      <c r="O247" s="2" t="s">
        <v>787</v>
      </c>
      <c r="P247" s="2" t="s">
        <v>35</v>
      </c>
      <c r="Q247" s="2" t="s">
        <v>35</v>
      </c>
    </row>
    <row r="248" spans="1:17" ht="129.6">
      <c r="A248" s="8" t="str">
        <f>HYPERLINK("http://sipi.sic.gov.co/sipi/View.ashx?4179485","SD2022/0050270")</f>
        <v>SD2022/0050270</v>
      </c>
      <c r="B248" s="2" t="s">
        <v>968</v>
      </c>
      <c r="C248" s="7" t="s">
        <v>35</v>
      </c>
      <c r="D248" s="2" t="s">
        <v>476</v>
      </c>
      <c r="E248" s="2" t="s">
        <v>35</v>
      </c>
      <c r="F248" s="2" t="s">
        <v>37</v>
      </c>
      <c r="G248" s="2" t="s">
        <v>968</v>
      </c>
      <c r="H248" s="2" t="s">
        <v>969</v>
      </c>
      <c r="I248" s="2" t="s">
        <v>12</v>
      </c>
      <c r="J248" s="2" t="s">
        <v>40</v>
      </c>
      <c r="K248" s="2" t="s">
        <v>970</v>
      </c>
      <c r="L248" s="2" t="s">
        <v>42</v>
      </c>
      <c r="M248" s="2" t="s">
        <v>971</v>
      </c>
      <c r="N248" s="2" t="s">
        <v>35</v>
      </c>
      <c r="O248" s="2" t="s">
        <v>487</v>
      </c>
      <c r="P248" s="2" t="s">
        <v>35</v>
      </c>
      <c r="Q248" s="2" t="s">
        <v>35</v>
      </c>
    </row>
    <row r="249" spans="1:17" ht="129.6">
      <c r="A249" s="8" t="str">
        <f>HYPERLINK("http://sipi.sic.gov.co/sipi/View.ashx?4179557","SD2022/0050284")</f>
        <v>SD2022/0050284</v>
      </c>
      <c r="B249" s="2" t="s">
        <v>972</v>
      </c>
      <c r="C249" s="7" t="s">
        <v>35</v>
      </c>
      <c r="D249" s="2" t="s">
        <v>476</v>
      </c>
      <c r="E249" s="2" t="s">
        <v>35</v>
      </c>
      <c r="F249" s="2" t="s">
        <v>37</v>
      </c>
      <c r="G249" s="2" t="s">
        <v>35</v>
      </c>
      <c r="H249" s="2" t="s">
        <v>973</v>
      </c>
      <c r="I249" s="2" t="s">
        <v>974</v>
      </c>
      <c r="J249" s="2" t="s">
        <v>40</v>
      </c>
      <c r="K249" s="2" t="s">
        <v>975</v>
      </c>
      <c r="L249" s="2" t="s">
        <v>42</v>
      </c>
      <c r="M249" s="2" t="s">
        <v>48</v>
      </c>
      <c r="N249" s="2" t="s">
        <v>35</v>
      </c>
      <c r="O249" s="2" t="s">
        <v>268</v>
      </c>
      <c r="P249" s="2" t="s">
        <v>35</v>
      </c>
      <c r="Q249" s="2" t="s">
        <v>35</v>
      </c>
    </row>
    <row r="250" spans="1:17" ht="76.8">
      <c r="A250" s="8" t="str">
        <f>HYPERLINK("http://sipi.sic.gov.co/sipi/View.ashx?4181703","SD2022/0050744")</f>
        <v>SD2022/0050744</v>
      </c>
      <c r="B250" s="2" t="s">
        <v>976</v>
      </c>
      <c r="C250" s="7" t="s">
        <v>35</v>
      </c>
      <c r="D250" s="2" t="s">
        <v>977</v>
      </c>
      <c r="E250" s="2" t="s">
        <v>35</v>
      </c>
      <c r="F250" s="2" t="s">
        <v>37</v>
      </c>
      <c r="G250" s="2" t="s">
        <v>976</v>
      </c>
      <c r="H250" s="2" t="s">
        <v>978</v>
      </c>
      <c r="I250" s="2" t="s">
        <v>12</v>
      </c>
      <c r="J250" s="2" t="s">
        <v>40</v>
      </c>
      <c r="K250" s="2" t="s">
        <v>380</v>
      </c>
      <c r="L250" s="2" t="s">
        <v>55</v>
      </c>
      <c r="M250" s="2" t="s">
        <v>35</v>
      </c>
      <c r="N250" s="2" t="s">
        <v>35</v>
      </c>
      <c r="O250" s="2" t="s">
        <v>704</v>
      </c>
      <c r="P250" s="2" t="s">
        <v>35</v>
      </c>
      <c r="Q250" s="2" t="s">
        <v>35</v>
      </c>
    </row>
    <row r="251" spans="1:17" ht="187.2">
      <c r="A251" s="8" t="str">
        <f>HYPERLINK("http://sipi.sic.gov.co/sipi/View.ashx?4181770","SD2022/0050747")</f>
        <v>SD2022/0050747</v>
      </c>
      <c r="B251" s="2" t="s">
        <v>979</v>
      </c>
      <c r="C251" s="2" t="s">
        <v>35</v>
      </c>
      <c r="D251" s="2" t="s">
        <v>977</v>
      </c>
      <c r="E251" s="2" t="s">
        <v>35</v>
      </c>
      <c r="F251" s="2" t="s">
        <v>37</v>
      </c>
      <c r="G251" s="2" t="s">
        <v>979</v>
      </c>
      <c r="H251" s="2" t="s">
        <v>980</v>
      </c>
      <c r="I251" s="2" t="s">
        <v>12</v>
      </c>
      <c r="J251" s="2" t="s">
        <v>40</v>
      </c>
      <c r="K251" s="2" t="s">
        <v>981</v>
      </c>
      <c r="L251" s="2" t="s">
        <v>55</v>
      </c>
      <c r="M251" s="2" t="s">
        <v>515</v>
      </c>
      <c r="N251" s="2" t="s">
        <v>35</v>
      </c>
      <c r="O251" s="2" t="s">
        <v>344</v>
      </c>
      <c r="P251" s="2" t="s">
        <v>35</v>
      </c>
      <c r="Q251" s="2" t="s">
        <v>35</v>
      </c>
    </row>
    <row r="252" spans="1:17" ht="129.6">
      <c r="A252" s="8" t="str">
        <f>HYPERLINK("http://sipi.sic.gov.co/sipi/View.ashx?4181951","SD2022/0050779")</f>
        <v>SD2022/0050779</v>
      </c>
      <c r="B252" s="2" t="s">
        <v>982</v>
      </c>
      <c r="C252" s="2" t="s">
        <v>35</v>
      </c>
      <c r="D252" s="2" t="s">
        <v>977</v>
      </c>
      <c r="E252" s="2" t="s">
        <v>35</v>
      </c>
      <c r="F252" s="2" t="s">
        <v>37</v>
      </c>
      <c r="G252" s="2" t="s">
        <v>35</v>
      </c>
      <c r="H252" s="2" t="s">
        <v>660</v>
      </c>
      <c r="I252" s="2" t="s">
        <v>12</v>
      </c>
      <c r="J252" s="2" t="s">
        <v>40</v>
      </c>
      <c r="K252" s="2" t="s">
        <v>983</v>
      </c>
      <c r="L252" s="2" t="s">
        <v>42</v>
      </c>
      <c r="M252" s="2" t="s">
        <v>662</v>
      </c>
      <c r="N252" s="2" t="s">
        <v>35</v>
      </c>
      <c r="O252" s="2" t="s">
        <v>649</v>
      </c>
      <c r="P252" s="2" t="s">
        <v>35</v>
      </c>
      <c r="Q252" s="2" t="s">
        <v>35</v>
      </c>
    </row>
    <row r="253" spans="1:17" ht="57.6">
      <c r="A253" s="8" t="str">
        <f>HYPERLINK("http://sipi.sic.gov.co/sipi/View.ashx?4183623","SD2022/0051193")</f>
        <v>SD2022/0051193</v>
      </c>
      <c r="B253" s="2" t="s">
        <v>984</v>
      </c>
      <c r="C253" s="2" t="s">
        <v>35</v>
      </c>
      <c r="D253" s="2" t="s">
        <v>965</v>
      </c>
      <c r="E253" s="2" t="s">
        <v>35</v>
      </c>
      <c r="F253" s="2" t="s">
        <v>37</v>
      </c>
      <c r="G253" s="2" t="s">
        <v>35</v>
      </c>
      <c r="H253" s="2" t="s">
        <v>985</v>
      </c>
      <c r="I253" s="2" t="s">
        <v>12</v>
      </c>
      <c r="J253" s="2" t="s">
        <v>40</v>
      </c>
      <c r="K253" s="2" t="s">
        <v>986</v>
      </c>
      <c r="L253" s="2" t="s">
        <v>42</v>
      </c>
      <c r="M253" s="2" t="s">
        <v>35</v>
      </c>
      <c r="N253" s="2" t="s">
        <v>35</v>
      </c>
      <c r="O253" s="2" t="s">
        <v>123</v>
      </c>
      <c r="P253" s="2" t="s">
        <v>35</v>
      </c>
      <c r="Q253" s="2" t="s">
        <v>35</v>
      </c>
    </row>
    <row r="254" spans="1:17" ht="57.6">
      <c r="A254" s="8" t="str">
        <f>HYPERLINK("http://sipi.sic.gov.co/sipi/View.ashx?4184527","SD2022/0051375")</f>
        <v>SD2022/0051375</v>
      </c>
      <c r="B254" s="2" t="s">
        <v>987</v>
      </c>
      <c r="C254" s="2" t="s">
        <v>35</v>
      </c>
      <c r="D254" s="2" t="s">
        <v>965</v>
      </c>
      <c r="E254" s="2" t="s">
        <v>35</v>
      </c>
      <c r="F254" s="2" t="s">
        <v>37</v>
      </c>
      <c r="G254" s="2" t="s">
        <v>35</v>
      </c>
      <c r="H254" s="2" t="s">
        <v>985</v>
      </c>
      <c r="I254" s="2" t="s">
        <v>12</v>
      </c>
      <c r="J254" s="2" t="s">
        <v>40</v>
      </c>
      <c r="K254" s="2" t="s">
        <v>986</v>
      </c>
      <c r="L254" s="2" t="s">
        <v>42</v>
      </c>
      <c r="M254" s="2" t="s">
        <v>35</v>
      </c>
      <c r="N254" s="2" t="s">
        <v>35</v>
      </c>
      <c r="O254" s="2" t="s">
        <v>487</v>
      </c>
      <c r="P254" s="2" t="s">
        <v>35</v>
      </c>
      <c r="Q254" s="2" t="s">
        <v>35</v>
      </c>
    </row>
    <row r="255" spans="1:17" ht="144">
      <c r="A255" s="8" t="str">
        <f>HYPERLINK("http://sipi.sic.gov.co/sipi/View.ashx?4184768","SD2022/0051411")</f>
        <v>SD2022/0051411</v>
      </c>
      <c r="B255" s="2" t="s">
        <v>988</v>
      </c>
      <c r="C255" s="7" t="s">
        <v>35</v>
      </c>
      <c r="D255" s="2" t="s">
        <v>965</v>
      </c>
      <c r="E255" s="2" t="s">
        <v>35</v>
      </c>
      <c r="F255" s="2" t="s">
        <v>37</v>
      </c>
      <c r="G255" s="2" t="s">
        <v>989</v>
      </c>
      <c r="H255" s="2" t="s">
        <v>990</v>
      </c>
      <c r="I255" s="2" t="s">
        <v>991</v>
      </c>
      <c r="J255" s="2" t="s">
        <v>40</v>
      </c>
      <c r="K255" s="2" t="s">
        <v>992</v>
      </c>
      <c r="L255" s="2" t="s">
        <v>55</v>
      </c>
      <c r="M255" s="2" t="s">
        <v>197</v>
      </c>
      <c r="N255" s="2" t="s">
        <v>35</v>
      </c>
      <c r="O255" s="2" t="s">
        <v>123</v>
      </c>
      <c r="P255" s="2" t="s">
        <v>35</v>
      </c>
      <c r="Q255" s="2" t="s">
        <v>35</v>
      </c>
    </row>
    <row r="256" spans="1:17" ht="144">
      <c r="A256" s="8" t="str">
        <f>HYPERLINK("http://sipi.sic.gov.co/sipi/View.ashx?4184784","SD2022/0051416")</f>
        <v>SD2022/0051416</v>
      </c>
      <c r="B256" s="2" t="s">
        <v>993</v>
      </c>
      <c r="C256" s="7" t="s">
        <v>35</v>
      </c>
      <c r="D256" s="2" t="s">
        <v>965</v>
      </c>
      <c r="E256" s="2" t="s">
        <v>35</v>
      </c>
      <c r="F256" s="2" t="s">
        <v>37</v>
      </c>
      <c r="G256" s="2" t="s">
        <v>994</v>
      </c>
      <c r="H256" s="2" t="s">
        <v>990</v>
      </c>
      <c r="I256" s="2" t="s">
        <v>991</v>
      </c>
      <c r="J256" s="2" t="s">
        <v>40</v>
      </c>
      <c r="K256" s="2" t="s">
        <v>992</v>
      </c>
      <c r="L256" s="2" t="s">
        <v>55</v>
      </c>
      <c r="M256" s="2" t="s">
        <v>197</v>
      </c>
      <c r="N256" s="2" t="s">
        <v>35</v>
      </c>
      <c r="O256" s="2" t="s">
        <v>123</v>
      </c>
      <c r="P256" s="2" t="s">
        <v>35</v>
      </c>
      <c r="Q256" s="2" t="s">
        <v>35</v>
      </c>
    </row>
    <row r="257" spans="1:17" ht="187.2">
      <c r="A257" s="8" t="str">
        <f>HYPERLINK("http://sipi.sic.gov.co/sipi/View.ashx?4184804","SD2022/0051532")</f>
        <v>SD2022/0051532</v>
      </c>
      <c r="B257" s="2" t="s">
        <v>995</v>
      </c>
      <c r="C257" s="7" t="s">
        <v>35</v>
      </c>
      <c r="D257" s="2" t="s">
        <v>965</v>
      </c>
      <c r="E257" s="2" t="s">
        <v>35</v>
      </c>
      <c r="F257" s="2" t="s">
        <v>37</v>
      </c>
      <c r="G257" s="2" t="s">
        <v>996</v>
      </c>
      <c r="H257" s="2" t="s">
        <v>980</v>
      </c>
      <c r="I257" s="2" t="s">
        <v>12</v>
      </c>
      <c r="J257" s="2" t="s">
        <v>40</v>
      </c>
      <c r="K257" s="2" t="s">
        <v>981</v>
      </c>
      <c r="L257" s="2" t="s">
        <v>55</v>
      </c>
      <c r="M257" s="2" t="s">
        <v>515</v>
      </c>
      <c r="N257" s="2" t="s">
        <v>35</v>
      </c>
      <c r="O257" s="2" t="s">
        <v>268</v>
      </c>
      <c r="P257" s="2" t="s">
        <v>35</v>
      </c>
      <c r="Q257" s="2" t="s">
        <v>35</v>
      </c>
    </row>
    <row r="258" spans="1:17" ht="129.6">
      <c r="A258" s="8" t="str">
        <f>HYPERLINK("http://sipi.sic.gov.co/sipi/View.ashx?4186640","SD2022/0052369")</f>
        <v>SD2022/0052369</v>
      </c>
      <c r="B258" s="2" t="s">
        <v>997</v>
      </c>
      <c r="C258" s="2" t="s">
        <v>35</v>
      </c>
      <c r="D258" s="2" t="s">
        <v>998</v>
      </c>
      <c r="E258" s="2" t="s">
        <v>35</v>
      </c>
      <c r="F258" s="2" t="s">
        <v>37</v>
      </c>
      <c r="G258" s="2" t="s">
        <v>997</v>
      </c>
      <c r="H258" s="2" t="s">
        <v>999</v>
      </c>
      <c r="I258" s="2" t="s">
        <v>12</v>
      </c>
      <c r="J258" s="2" t="s">
        <v>40</v>
      </c>
      <c r="K258" s="2" t="s">
        <v>1000</v>
      </c>
      <c r="L258" s="2" t="s">
        <v>42</v>
      </c>
      <c r="M258" s="2" t="s">
        <v>1001</v>
      </c>
      <c r="N258" s="2" t="s">
        <v>35</v>
      </c>
      <c r="O258" s="2" t="s">
        <v>258</v>
      </c>
      <c r="P258" s="2" t="s">
        <v>35</v>
      </c>
      <c r="Q258" s="2" t="s">
        <v>35</v>
      </c>
    </row>
    <row r="259" spans="1:17" ht="100.8">
      <c r="A259" s="8" t="str">
        <f>HYPERLINK("http://sipi.sic.gov.co/sipi/View.ashx?4187127","SD2022/0051988")</f>
        <v>SD2022/0051988</v>
      </c>
      <c r="B259" s="2" t="s">
        <v>1002</v>
      </c>
      <c r="C259" s="7" t="s">
        <v>35</v>
      </c>
      <c r="D259" s="2" t="s">
        <v>1003</v>
      </c>
      <c r="E259" s="2" t="s">
        <v>35</v>
      </c>
      <c r="F259" s="2" t="s">
        <v>37</v>
      </c>
      <c r="G259" s="2" t="s">
        <v>1002</v>
      </c>
      <c r="H259" s="2" t="s">
        <v>1004</v>
      </c>
      <c r="I259" s="2" t="s">
        <v>12</v>
      </c>
      <c r="J259" s="2" t="s">
        <v>40</v>
      </c>
      <c r="K259" s="2" t="s">
        <v>1005</v>
      </c>
      <c r="L259" s="2" t="s">
        <v>55</v>
      </c>
      <c r="M259" s="2" t="s">
        <v>612</v>
      </c>
      <c r="N259" s="2" t="s">
        <v>35</v>
      </c>
      <c r="O259" s="2" t="s">
        <v>123</v>
      </c>
      <c r="P259" s="2" t="s">
        <v>35</v>
      </c>
      <c r="Q259" s="2" t="s">
        <v>35</v>
      </c>
    </row>
    <row r="260" spans="1:17" ht="129.6">
      <c r="A260" s="8" t="str">
        <f>HYPERLINK("http://sipi.sic.gov.co/sipi/View.ashx?4187407","SD2022/0052330")</f>
        <v>SD2022/0052330</v>
      </c>
      <c r="B260" s="2" t="s">
        <v>1006</v>
      </c>
      <c r="C260" s="2" t="s">
        <v>35</v>
      </c>
      <c r="D260" s="2" t="s">
        <v>998</v>
      </c>
      <c r="E260" s="2" t="s">
        <v>35</v>
      </c>
      <c r="F260" s="2" t="s">
        <v>37</v>
      </c>
      <c r="G260" s="2" t="s">
        <v>1006</v>
      </c>
      <c r="H260" s="2" t="s">
        <v>999</v>
      </c>
      <c r="I260" s="2" t="s">
        <v>12</v>
      </c>
      <c r="J260" s="2" t="s">
        <v>40</v>
      </c>
      <c r="K260" s="2" t="s">
        <v>1007</v>
      </c>
      <c r="L260" s="2" t="s">
        <v>42</v>
      </c>
      <c r="M260" s="2" t="s">
        <v>1001</v>
      </c>
      <c r="N260" s="2" t="s">
        <v>35</v>
      </c>
      <c r="O260" s="2" t="s">
        <v>787</v>
      </c>
      <c r="P260" s="2" t="s">
        <v>35</v>
      </c>
      <c r="Q260" s="2" t="s">
        <v>35</v>
      </c>
    </row>
    <row r="261" spans="1:17" ht="129.6">
      <c r="A261" s="8" t="str">
        <f>HYPERLINK("http://sipi.sic.gov.co/sipi/View.ashx?4187427","SD2022/0052321")</f>
        <v>SD2022/0052321</v>
      </c>
      <c r="B261" s="2" t="s">
        <v>1008</v>
      </c>
      <c r="C261" s="2" t="s">
        <v>35</v>
      </c>
      <c r="D261" s="2" t="s">
        <v>998</v>
      </c>
      <c r="E261" s="2" t="s">
        <v>35</v>
      </c>
      <c r="F261" s="2" t="s">
        <v>37</v>
      </c>
      <c r="G261" s="2" t="s">
        <v>1008</v>
      </c>
      <c r="H261" s="2" t="s">
        <v>999</v>
      </c>
      <c r="I261" s="2" t="s">
        <v>12</v>
      </c>
      <c r="J261" s="2" t="s">
        <v>40</v>
      </c>
      <c r="K261" s="2" t="s">
        <v>1007</v>
      </c>
      <c r="L261" s="2" t="s">
        <v>42</v>
      </c>
      <c r="M261" s="2" t="s">
        <v>1001</v>
      </c>
      <c r="N261" s="2" t="s">
        <v>35</v>
      </c>
      <c r="O261" s="2" t="s">
        <v>649</v>
      </c>
      <c r="P261" s="2" t="s">
        <v>35</v>
      </c>
      <c r="Q261" s="2" t="s">
        <v>35</v>
      </c>
    </row>
    <row r="262" spans="1:17" ht="129.6">
      <c r="A262" s="8" t="str">
        <f>HYPERLINK("http://sipi.sic.gov.co/sipi/View.ashx?4187593","SD2022/0052134")</f>
        <v>SD2022/0052134</v>
      </c>
      <c r="B262" s="2" t="s">
        <v>1009</v>
      </c>
      <c r="C262" s="7" t="s">
        <v>35</v>
      </c>
      <c r="D262" s="2" t="s">
        <v>1003</v>
      </c>
      <c r="E262" s="2" t="s">
        <v>35</v>
      </c>
      <c r="F262" s="2" t="s">
        <v>37</v>
      </c>
      <c r="G262" s="2" t="s">
        <v>1010</v>
      </c>
      <c r="H262" s="2" t="s">
        <v>1011</v>
      </c>
      <c r="I262" s="2" t="s">
        <v>842</v>
      </c>
      <c r="J262" s="2" t="s">
        <v>40</v>
      </c>
      <c r="K262" s="2" t="s">
        <v>1012</v>
      </c>
      <c r="L262" s="2" t="s">
        <v>42</v>
      </c>
      <c r="M262" s="2" t="s">
        <v>128</v>
      </c>
      <c r="N262" s="2" t="s">
        <v>35</v>
      </c>
      <c r="O262" s="2" t="s">
        <v>595</v>
      </c>
      <c r="P262" s="2" t="s">
        <v>35</v>
      </c>
      <c r="Q262" s="2" t="s">
        <v>35</v>
      </c>
    </row>
    <row r="263" spans="1:17" ht="409.6">
      <c r="A263" s="8" t="str">
        <f>HYPERLINK("http://sipi.sic.gov.co/sipi/View.ashx?4189124","SD2022/0052468")</f>
        <v>SD2022/0052468</v>
      </c>
      <c r="B263" s="2" t="s">
        <v>1013</v>
      </c>
      <c r="C263" s="7" t="s">
        <v>35</v>
      </c>
      <c r="D263" s="2" t="s">
        <v>998</v>
      </c>
      <c r="E263" s="2" t="s">
        <v>35</v>
      </c>
      <c r="F263" s="2" t="s">
        <v>37</v>
      </c>
      <c r="G263" s="2" t="s">
        <v>1014</v>
      </c>
      <c r="H263" s="2" t="s">
        <v>1015</v>
      </c>
      <c r="I263" s="2" t="s">
        <v>61</v>
      </c>
      <c r="J263" s="2" t="s">
        <v>40</v>
      </c>
      <c r="K263" s="2" t="s">
        <v>1016</v>
      </c>
      <c r="L263" s="2" t="s">
        <v>55</v>
      </c>
      <c r="M263" s="2" t="s">
        <v>35</v>
      </c>
      <c r="N263" s="2" t="s">
        <v>35</v>
      </c>
      <c r="O263" s="2" t="s">
        <v>787</v>
      </c>
      <c r="P263" s="2" t="s">
        <v>35</v>
      </c>
      <c r="Q263" s="2" t="s">
        <v>35</v>
      </c>
    </row>
    <row r="264" spans="1:17" ht="158.4">
      <c r="A264" s="8" t="str">
        <f>HYPERLINK("http://sipi.sic.gov.co/sipi/View.ashx?4189340","SD2022/0052534")</f>
        <v>SD2022/0052534</v>
      </c>
      <c r="B264" s="2" t="s">
        <v>1017</v>
      </c>
      <c r="C264" s="7" t="s">
        <v>35</v>
      </c>
      <c r="D264" s="2" t="s">
        <v>998</v>
      </c>
      <c r="E264" s="2" t="s">
        <v>35</v>
      </c>
      <c r="F264" s="2" t="s">
        <v>37</v>
      </c>
      <c r="G264" s="2" t="s">
        <v>1017</v>
      </c>
      <c r="H264" s="2" t="s">
        <v>1018</v>
      </c>
      <c r="I264" s="2" t="s">
        <v>12</v>
      </c>
      <c r="J264" s="2" t="s">
        <v>40</v>
      </c>
      <c r="K264" s="2" t="s">
        <v>1019</v>
      </c>
      <c r="L264" s="2" t="s">
        <v>55</v>
      </c>
      <c r="M264" s="2" t="s">
        <v>612</v>
      </c>
      <c r="N264" s="2" t="s">
        <v>35</v>
      </c>
      <c r="O264" s="2" t="s">
        <v>258</v>
      </c>
      <c r="P264" s="2" t="s">
        <v>35</v>
      </c>
      <c r="Q264" s="2" t="s">
        <v>35</v>
      </c>
    </row>
    <row r="265" spans="1:17" ht="187.2">
      <c r="A265" s="8" t="str">
        <f>HYPERLINK("http://sipi.sic.gov.co/sipi/View.ashx?4189837","SD2022/0052644")</f>
        <v>SD2022/0052644</v>
      </c>
      <c r="B265" s="2" t="s">
        <v>1020</v>
      </c>
      <c r="C265" s="7" t="s">
        <v>35</v>
      </c>
      <c r="D265" s="2" t="s">
        <v>998</v>
      </c>
      <c r="E265" s="2" t="s">
        <v>35</v>
      </c>
      <c r="F265" s="2" t="s">
        <v>37</v>
      </c>
      <c r="G265" s="2" t="s">
        <v>1021</v>
      </c>
      <c r="H265" s="2" t="s">
        <v>1022</v>
      </c>
      <c r="I265" s="2" t="s">
        <v>120</v>
      </c>
      <c r="J265" s="2" t="s">
        <v>40</v>
      </c>
      <c r="K265" s="2" t="s">
        <v>1023</v>
      </c>
      <c r="L265" s="2" t="s">
        <v>55</v>
      </c>
      <c r="M265" s="2" t="s">
        <v>1024</v>
      </c>
      <c r="N265" s="2" t="s">
        <v>35</v>
      </c>
      <c r="O265" s="2" t="s">
        <v>487</v>
      </c>
      <c r="P265" s="2" t="s">
        <v>35</v>
      </c>
      <c r="Q265" s="2" t="s">
        <v>35</v>
      </c>
    </row>
    <row r="266" spans="1:17" ht="57.6">
      <c r="A266" s="8" t="str">
        <f>HYPERLINK("http://sipi.sic.gov.co/sipi/View.ashx?4192932","SD2022/0053404")</f>
        <v>SD2022/0053404</v>
      </c>
      <c r="B266" s="2" t="s">
        <v>1025</v>
      </c>
      <c r="C266" s="2" t="s">
        <v>35</v>
      </c>
      <c r="D266" s="2" t="s">
        <v>1026</v>
      </c>
      <c r="E266" s="2" t="s">
        <v>35</v>
      </c>
      <c r="F266" s="2" t="s">
        <v>37</v>
      </c>
      <c r="G266" s="2" t="s">
        <v>35</v>
      </c>
      <c r="H266" s="2" t="s">
        <v>985</v>
      </c>
      <c r="I266" s="2" t="s">
        <v>12</v>
      </c>
      <c r="J266" s="2" t="s">
        <v>40</v>
      </c>
      <c r="K266" s="2" t="s">
        <v>986</v>
      </c>
      <c r="L266" s="2" t="s">
        <v>42</v>
      </c>
      <c r="M266" s="2" t="s">
        <v>35</v>
      </c>
      <c r="N266" s="2" t="s">
        <v>35</v>
      </c>
      <c r="O266" s="2" t="s">
        <v>649</v>
      </c>
      <c r="P266" s="2" t="s">
        <v>35</v>
      </c>
      <c r="Q266" s="2" t="s">
        <v>35</v>
      </c>
    </row>
    <row r="267" spans="1:17" ht="115.2">
      <c r="A267" s="8" t="str">
        <f>HYPERLINK("http://sipi.sic.gov.co/sipi/View.ashx?4193724","SD2022/0086501")</f>
        <v>SD2022/0086501</v>
      </c>
      <c r="B267" s="2" t="s">
        <v>1027</v>
      </c>
      <c r="C267" s="7" t="s">
        <v>35</v>
      </c>
      <c r="D267" s="2" t="s">
        <v>1028</v>
      </c>
      <c r="E267" s="2" t="s">
        <v>35</v>
      </c>
      <c r="F267" s="2" t="s">
        <v>37</v>
      </c>
      <c r="G267" s="2" t="s">
        <v>1029</v>
      </c>
      <c r="H267" s="2" t="s">
        <v>1030</v>
      </c>
      <c r="I267" s="2" t="s">
        <v>12</v>
      </c>
      <c r="J267" s="2" t="s">
        <v>40</v>
      </c>
      <c r="K267" s="2" t="s">
        <v>1031</v>
      </c>
      <c r="L267" s="2" t="s">
        <v>42</v>
      </c>
      <c r="M267" s="2" t="s">
        <v>35</v>
      </c>
      <c r="N267" s="2" t="s">
        <v>35</v>
      </c>
      <c r="O267" s="2" t="s">
        <v>493</v>
      </c>
      <c r="P267" s="2" t="s">
        <v>35</v>
      </c>
      <c r="Q267" s="2" t="s">
        <v>35</v>
      </c>
    </row>
    <row r="268" spans="1:17" ht="129.6">
      <c r="A268" s="8" t="str">
        <f>HYPERLINK("http://sipi.sic.gov.co/sipi/View.ashx?4194240","SD2022/0053562")</f>
        <v>SD2022/0053562</v>
      </c>
      <c r="B268" s="2" t="s">
        <v>1032</v>
      </c>
      <c r="C268" s="2" t="s">
        <v>35</v>
      </c>
      <c r="D268" s="2" t="s">
        <v>487</v>
      </c>
      <c r="E268" s="2" t="s">
        <v>35</v>
      </c>
      <c r="F268" s="2" t="s">
        <v>37</v>
      </c>
      <c r="G268" s="2" t="s">
        <v>35</v>
      </c>
      <c r="H268" s="2" t="s">
        <v>1033</v>
      </c>
      <c r="I268" s="2" t="s">
        <v>12</v>
      </c>
      <c r="J268" s="2" t="s">
        <v>40</v>
      </c>
      <c r="K268" s="2" t="s">
        <v>1034</v>
      </c>
      <c r="L268" s="2" t="s">
        <v>42</v>
      </c>
      <c r="M268" s="2" t="s">
        <v>110</v>
      </c>
      <c r="N268" s="2" t="s">
        <v>35</v>
      </c>
      <c r="O268" s="2" t="s">
        <v>787</v>
      </c>
      <c r="P268" s="2" t="s">
        <v>35</v>
      </c>
      <c r="Q268" s="2" t="s">
        <v>35</v>
      </c>
    </row>
    <row r="269" spans="1:17" ht="144">
      <c r="A269" s="8" t="str">
        <f>HYPERLINK("http://sipi.sic.gov.co/sipi/View.ashx?4194384","SD2022/0053605")</f>
        <v>SD2022/0053605</v>
      </c>
      <c r="B269" s="2" t="s">
        <v>1035</v>
      </c>
      <c r="C269" s="2" t="s">
        <v>35</v>
      </c>
      <c r="D269" s="2" t="s">
        <v>487</v>
      </c>
      <c r="E269" s="2" t="s">
        <v>35</v>
      </c>
      <c r="F269" s="2" t="s">
        <v>37</v>
      </c>
      <c r="G269" s="2" t="s">
        <v>1035</v>
      </c>
      <c r="H269" s="2" t="s">
        <v>1036</v>
      </c>
      <c r="I269" s="2" t="s">
        <v>12</v>
      </c>
      <c r="J269" s="2" t="s">
        <v>40</v>
      </c>
      <c r="K269" s="2" t="s">
        <v>41</v>
      </c>
      <c r="L269" s="2" t="s">
        <v>42</v>
      </c>
      <c r="M269" s="2" t="s">
        <v>1037</v>
      </c>
      <c r="N269" s="2" t="s">
        <v>35</v>
      </c>
      <c r="O269" s="2" t="s">
        <v>268</v>
      </c>
      <c r="P269" s="2" t="s">
        <v>35</v>
      </c>
      <c r="Q269" s="2" t="s">
        <v>35</v>
      </c>
    </row>
    <row r="270" spans="1:17" ht="201.6">
      <c r="A270" s="8" t="str">
        <f>HYPERLINK("http://sipi.sic.gov.co/sipi/View.ashx?4195495","SD2022/0054710")</f>
        <v>SD2022/0054710</v>
      </c>
      <c r="B270" s="2" t="s">
        <v>1038</v>
      </c>
      <c r="C270" s="2" t="s">
        <v>35</v>
      </c>
      <c r="D270" s="2" t="s">
        <v>1039</v>
      </c>
      <c r="E270" s="2" t="s">
        <v>35</v>
      </c>
      <c r="F270" s="2" t="s">
        <v>37</v>
      </c>
      <c r="G270" s="2" t="s">
        <v>1040</v>
      </c>
      <c r="H270" s="2" t="s">
        <v>1041</v>
      </c>
      <c r="I270" s="2" t="s">
        <v>1042</v>
      </c>
      <c r="J270" s="2" t="s">
        <v>40</v>
      </c>
      <c r="K270" s="2" t="s">
        <v>1043</v>
      </c>
      <c r="L270" s="2" t="s">
        <v>55</v>
      </c>
      <c r="M270" s="2" t="s">
        <v>128</v>
      </c>
      <c r="N270" s="2" t="s">
        <v>35</v>
      </c>
      <c r="O270" s="2" t="s">
        <v>649</v>
      </c>
      <c r="P270" s="2" t="s">
        <v>1044</v>
      </c>
      <c r="Q270" s="2" t="s">
        <v>35</v>
      </c>
    </row>
    <row r="271" spans="1:17" ht="259.2">
      <c r="A271" s="8" t="str">
        <f>HYPERLINK("http://sipi.sic.gov.co/sipi/View.ashx?4197025","SD2022/0054153")</f>
        <v>SD2022/0054153</v>
      </c>
      <c r="B271" s="2" t="s">
        <v>1045</v>
      </c>
      <c r="C271" s="7" t="s">
        <v>35</v>
      </c>
      <c r="D271" s="2" t="s">
        <v>1039</v>
      </c>
      <c r="E271" s="2" t="s">
        <v>35</v>
      </c>
      <c r="F271" s="2" t="s">
        <v>37</v>
      </c>
      <c r="G271" s="2" t="s">
        <v>1046</v>
      </c>
      <c r="H271" s="2" t="s">
        <v>1047</v>
      </c>
      <c r="I271" s="2" t="s">
        <v>1048</v>
      </c>
      <c r="J271" s="2" t="s">
        <v>40</v>
      </c>
      <c r="K271" s="2" t="s">
        <v>1049</v>
      </c>
      <c r="L271" s="2" t="s">
        <v>55</v>
      </c>
      <c r="M271" s="2" t="s">
        <v>35</v>
      </c>
      <c r="N271" s="2" t="s">
        <v>35</v>
      </c>
      <c r="O271" s="2" t="s">
        <v>649</v>
      </c>
      <c r="P271" s="2" t="s">
        <v>35</v>
      </c>
      <c r="Q271" s="2" t="s">
        <v>35</v>
      </c>
    </row>
    <row r="272" spans="1:17" ht="259.2">
      <c r="A272" s="8" t="str">
        <f>HYPERLINK("http://sipi.sic.gov.co/sipi/View.ashx?4197069","SD2022/0054172")</f>
        <v>SD2022/0054172</v>
      </c>
      <c r="B272" s="2" t="s">
        <v>1050</v>
      </c>
      <c r="C272" s="7" t="s">
        <v>35</v>
      </c>
      <c r="D272" s="2" t="s">
        <v>1039</v>
      </c>
      <c r="E272" s="2" t="s">
        <v>35</v>
      </c>
      <c r="F272" s="2" t="s">
        <v>37</v>
      </c>
      <c r="G272" s="2" t="s">
        <v>1050</v>
      </c>
      <c r="H272" s="2" t="s">
        <v>1051</v>
      </c>
      <c r="I272" s="2" t="s">
        <v>61</v>
      </c>
      <c r="J272" s="2" t="s">
        <v>40</v>
      </c>
      <c r="K272" s="2" t="s">
        <v>1052</v>
      </c>
      <c r="L272" s="2" t="s">
        <v>55</v>
      </c>
      <c r="M272" s="2" t="s">
        <v>1053</v>
      </c>
      <c r="N272" s="2" t="s">
        <v>35</v>
      </c>
      <c r="O272" s="2" t="s">
        <v>258</v>
      </c>
      <c r="P272" s="2" t="s">
        <v>35</v>
      </c>
      <c r="Q272" s="2" t="s">
        <v>35</v>
      </c>
    </row>
    <row r="273" spans="1:17" ht="409.6">
      <c r="A273" s="8" t="str">
        <f>HYPERLINK("http://sipi.sic.gov.co/sipi/View.ashx?4197189","SD2022/0054279")</f>
        <v>SD2022/0054279</v>
      </c>
      <c r="B273" s="2" t="s">
        <v>1054</v>
      </c>
      <c r="C273" s="2" t="s">
        <v>35</v>
      </c>
      <c r="D273" s="2" t="s">
        <v>1039</v>
      </c>
      <c r="E273" s="2" t="s">
        <v>35</v>
      </c>
      <c r="F273" s="2" t="s">
        <v>37</v>
      </c>
      <c r="G273" s="2" t="s">
        <v>1055</v>
      </c>
      <c r="H273" s="2" t="s">
        <v>1056</v>
      </c>
      <c r="I273" s="2" t="s">
        <v>12</v>
      </c>
      <c r="J273" s="2" t="s">
        <v>40</v>
      </c>
      <c r="K273" s="2" t="s">
        <v>1057</v>
      </c>
      <c r="L273" s="2" t="s">
        <v>42</v>
      </c>
      <c r="M273" s="2" t="s">
        <v>1058</v>
      </c>
      <c r="N273" s="2" t="s">
        <v>35</v>
      </c>
      <c r="O273" s="2" t="s">
        <v>558</v>
      </c>
      <c r="P273" s="2" t="s">
        <v>35</v>
      </c>
      <c r="Q273" s="2" t="s">
        <v>35</v>
      </c>
    </row>
    <row r="274" spans="1:17" ht="144">
      <c r="A274" s="8" t="str">
        <f>HYPERLINK("http://sipi.sic.gov.co/sipi/View.ashx?4197591","SD2022/0062560")</f>
        <v>SD2022/0062560</v>
      </c>
      <c r="B274" s="2" t="s">
        <v>1059</v>
      </c>
      <c r="C274" s="7" t="s">
        <v>35</v>
      </c>
      <c r="D274" s="2" t="s">
        <v>1060</v>
      </c>
      <c r="E274" s="2" t="s">
        <v>35</v>
      </c>
      <c r="F274" s="2" t="s">
        <v>37</v>
      </c>
      <c r="G274" s="2" t="s">
        <v>1061</v>
      </c>
      <c r="H274" s="2" t="s">
        <v>1062</v>
      </c>
      <c r="I274" s="2" t="s">
        <v>12</v>
      </c>
      <c r="J274" s="2" t="s">
        <v>40</v>
      </c>
      <c r="K274" s="2" t="s">
        <v>1063</v>
      </c>
      <c r="L274" s="2" t="s">
        <v>42</v>
      </c>
      <c r="M274" s="2" t="s">
        <v>527</v>
      </c>
      <c r="N274" s="2" t="s">
        <v>35</v>
      </c>
      <c r="O274" s="2" t="s">
        <v>787</v>
      </c>
      <c r="P274" s="2" t="s">
        <v>35</v>
      </c>
      <c r="Q274" s="2" t="s">
        <v>35</v>
      </c>
    </row>
    <row r="275" spans="1:17" ht="115.2">
      <c r="A275" s="8" t="str">
        <f>HYPERLINK("http://sipi.sic.gov.co/sipi/View.ashx?4198463","SD2022/0054590")</f>
        <v>SD2022/0054590</v>
      </c>
      <c r="B275" s="2" t="s">
        <v>1064</v>
      </c>
      <c r="C275" s="7" t="s">
        <v>35</v>
      </c>
      <c r="D275" s="2" t="s">
        <v>1065</v>
      </c>
      <c r="E275" s="2" t="s">
        <v>35</v>
      </c>
      <c r="F275" s="2" t="s">
        <v>37</v>
      </c>
      <c r="G275" s="2" t="s">
        <v>35</v>
      </c>
      <c r="H275" s="2" t="s">
        <v>1066</v>
      </c>
      <c r="I275" s="2" t="s">
        <v>12</v>
      </c>
      <c r="J275" s="2" t="s">
        <v>40</v>
      </c>
      <c r="K275" s="2" t="s">
        <v>41</v>
      </c>
      <c r="L275" s="2" t="s">
        <v>42</v>
      </c>
      <c r="M275" s="2" t="s">
        <v>35</v>
      </c>
      <c r="N275" s="2" t="s">
        <v>35</v>
      </c>
      <c r="O275" s="2" t="s">
        <v>344</v>
      </c>
      <c r="P275" s="2" t="s">
        <v>35</v>
      </c>
      <c r="Q275" s="2" t="s">
        <v>35</v>
      </c>
    </row>
    <row r="276" spans="1:17" ht="144">
      <c r="A276" s="8" t="str">
        <f>HYPERLINK("http://sipi.sic.gov.co/sipi/View.ashx?4198492","SD2022/0054602")</f>
        <v>SD2022/0054602</v>
      </c>
      <c r="B276" s="2" t="s">
        <v>1067</v>
      </c>
      <c r="C276" s="2" t="s">
        <v>35</v>
      </c>
      <c r="D276" s="2" t="s">
        <v>1039</v>
      </c>
      <c r="E276" s="2" t="s">
        <v>35</v>
      </c>
      <c r="F276" s="2" t="s">
        <v>37</v>
      </c>
      <c r="G276" s="2" t="s">
        <v>1068</v>
      </c>
      <c r="H276" s="2" t="s">
        <v>1069</v>
      </c>
      <c r="I276" s="2" t="s">
        <v>12</v>
      </c>
      <c r="J276" s="2" t="s">
        <v>40</v>
      </c>
      <c r="K276" s="2" t="s">
        <v>1070</v>
      </c>
      <c r="L276" s="2" t="s">
        <v>42</v>
      </c>
      <c r="M276" s="2" t="s">
        <v>833</v>
      </c>
      <c r="N276" s="2" t="s">
        <v>35</v>
      </c>
      <c r="O276" s="2" t="s">
        <v>198</v>
      </c>
      <c r="P276" s="2" t="s">
        <v>35</v>
      </c>
      <c r="Q276" s="2" t="s">
        <v>35</v>
      </c>
    </row>
    <row r="277" spans="1:17" ht="129.6">
      <c r="A277" s="8" t="str">
        <f>HYPERLINK("http://sipi.sic.gov.co/sipi/View.ashx?4198556","SD2022/0054636")</f>
        <v>SD2022/0054636</v>
      </c>
      <c r="B277" s="2" t="s">
        <v>1071</v>
      </c>
      <c r="C277" s="7" t="s">
        <v>35</v>
      </c>
      <c r="D277" s="2" t="s">
        <v>1039</v>
      </c>
      <c r="E277" s="2" t="s">
        <v>35</v>
      </c>
      <c r="F277" s="2" t="s">
        <v>37</v>
      </c>
      <c r="G277" s="2" t="s">
        <v>1072</v>
      </c>
      <c r="H277" s="2" t="s">
        <v>449</v>
      </c>
      <c r="I277" s="2" t="s">
        <v>12</v>
      </c>
      <c r="J277" s="2" t="s">
        <v>40</v>
      </c>
      <c r="K277" s="2" t="s">
        <v>450</v>
      </c>
      <c r="L277" s="2" t="s">
        <v>42</v>
      </c>
      <c r="M277" s="2" t="s">
        <v>451</v>
      </c>
      <c r="N277" s="2" t="s">
        <v>35</v>
      </c>
      <c r="O277" s="2" t="s">
        <v>344</v>
      </c>
      <c r="P277" s="2" t="s">
        <v>35</v>
      </c>
      <c r="Q277" s="2" t="s">
        <v>35</v>
      </c>
    </row>
    <row r="278" spans="1:17" ht="409.6">
      <c r="A278" s="8" t="str">
        <f>HYPERLINK("http://sipi.sic.gov.co/sipi/View.ashx?4198611","SD2022/0054653")</f>
        <v>SD2022/0054653</v>
      </c>
      <c r="B278" s="2" t="s">
        <v>1073</v>
      </c>
      <c r="C278" s="2" t="s">
        <v>35</v>
      </c>
      <c r="D278" s="2" t="s">
        <v>1039</v>
      </c>
      <c r="E278" s="2" t="s">
        <v>35</v>
      </c>
      <c r="F278" s="2" t="s">
        <v>37</v>
      </c>
      <c r="G278" s="2" t="s">
        <v>35</v>
      </c>
      <c r="H278" s="2" t="s">
        <v>1074</v>
      </c>
      <c r="I278" s="2" t="s">
        <v>12</v>
      </c>
      <c r="J278" s="2" t="s">
        <v>40</v>
      </c>
      <c r="K278" s="2" t="s">
        <v>1075</v>
      </c>
      <c r="L278" s="2" t="s">
        <v>42</v>
      </c>
      <c r="M278" s="2" t="s">
        <v>1076</v>
      </c>
      <c r="N278" s="2" t="s">
        <v>35</v>
      </c>
      <c r="O278" s="2" t="s">
        <v>1077</v>
      </c>
      <c r="P278" s="2" t="s">
        <v>35</v>
      </c>
      <c r="Q278" s="2" t="s">
        <v>35</v>
      </c>
    </row>
    <row r="279" spans="1:17" ht="129.6">
      <c r="A279" s="8" t="str">
        <f>HYPERLINK("http://sipi.sic.gov.co/sipi/View.ashx?4198650","SD2022/0054686")</f>
        <v>SD2022/0054686</v>
      </c>
      <c r="B279" s="2" t="s">
        <v>1078</v>
      </c>
      <c r="C279" s="2" t="s">
        <v>35</v>
      </c>
      <c r="D279" s="2" t="s">
        <v>1039</v>
      </c>
      <c r="E279" s="2" t="s">
        <v>35</v>
      </c>
      <c r="F279" s="2" t="s">
        <v>37</v>
      </c>
      <c r="G279" s="2" t="s">
        <v>35</v>
      </c>
      <c r="H279" s="2" t="s">
        <v>1079</v>
      </c>
      <c r="I279" s="2" t="s">
        <v>12</v>
      </c>
      <c r="J279" s="2" t="s">
        <v>40</v>
      </c>
      <c r="K279" s="2" t="s">
        <v>1080</v>
      </c>
      <c r="L279" s="2" t="s">
        <v>42</v>
      </c>
      <c r="M279" s="2" t="s">
        <v>48</v>
      </c>
      <c r="N279" s="2" t="s">
        <v>35</v>
      </c>
      <c r="O279" s="2" t="s">
        <v>344</v>
      </c>
      <c r="P279" s="2" t="s">
        <v>35</v>
      </c>
      <c r="Q279" s="2" t="s">
        <v>35</v>
      </c>
    </row>
    <row r="280" spans="1:17" ht="115.2">
      <c r="A280" s="8" t="str">
        <f>HYPERLINK("http://sipi.sic.gov.co/sipi/View.ashx?4200114","SD2022/0055183")</f>
        <v>SD2022/0055183</v>
      </c>
      <c r="B280" s="2" t="s">
        <v>1081</v>
      </c>
      <c r="C280" s="7" t="s">
        <v>35</v>
      </c>
      <c r="D280" s="2" t="s">
        <v>1082</v>
      </c>
      <c r="E280" s="2" t="s">
        <v>35</v>
      </c>
      <c r="F280" s="2" t="s">
        <v>37</v>
      </c>
      <c r="G280" s="2" t="s">
        <v>35</v>
      </c>
      <c r="H280" s="2" t="s">
        <v>1083</v>
      </c>
      <c r="I280" s="2" t="s">
        <v>12</v>
      </c>
      <c r="J280" s="2" t="s">
        <v>40</v>
      </c>
      <c r="K280" s="2" t="s">
        <v>41</v>
      </c>
      <c r="L280" s="2" t="s">
        <v>42</v>
      </c>
      <c r="M280" s="2" t="s">
        <v>1084</v>
      </c>
      <c r="N280" s="2" t="s">
        <v>35</v>
      </c>
      <c r="O280" s="2" t="s">
        <v>649</v>
      </c>
      <c r="P280" s="2" t="s">
        <v>35</v>
      </c>
      <c r="Q280" s="2" t="s">
        <v>35</v>
      </c>
    </row>
    <row r="281" spans="1:17" ht="115.2">
      <c r="A281" s="8" t="str">
        <f>HYPERLINK("http://sipi.sic.gov.co/sipi/View.ashx?4200888","SD2022/0055381")</f>
        <v>SD2022/0055381</v>
      </c>
      <c r="B281" s="2" t="s">
        <v>1085</v>
      </c>
      <c r="C281" s="2" t="s">
        <v>35</v>
      </c>
      <c r="D281" s="2" t="s">
        <v>1082</v>
      </c>
      <c r="E281" s="2" t="s">
        <v>35</v>
      </c>
      <c r="F281" s="2" t="s">
        <v>37</v>
      </c>
      <c r="G281" s="2" t="s">
        <v>1086</v>
      </c>
      <c r="H281" s="2" t="s">
        <v>1087</v>
      </c>
      <c r="I281" s="2" t="s">
        <v>12</v>
      </c>
      <c r="J281" s="2" t="s">
        <v>40</v>
      </c>
      <c r="K281" s="2" t="s">
        <v>1088</v>
      </c>
      <c r="L281" s="2" t="s">
        <v>42</v>
      </c>
      <c r="M281" s="2" t="s">
        <v>1089</v>
      </c>
      <c r="N281" s="2" t="s">
        <v>35</v>
      </c>
      <c r="O281" s="2" t="s">
        <v>198</v>
      </c>
      <c r="P281" s="2" t="s">
        <v>35</v>
      </c>
      <c r="Q281" s="2" t="s">
        <v>35</v>
      </c>
    </row>
    <row r="282" spans="1:17" ht="144">
      <c r="A282" s="8" t="str">
        <f>HYPERLINK("http://sipi.sic.gov.co/sipi/View.ashx?4203825","SD2022/0056071")</f>
        <v>SD2022/0056071</v>
      </c>
      <c r="B282" s="2" t="s">
        <v>1090</v>
      </c>
      <c r="C282" s="2" t="s">
        <v>35</v>
      </c>
      <c r="D282" s="2" t="s">
        <v>1065</v>
      </c>
      <c r="E282" s="2" t="s">
        <v>35</v>
      </c>
      <c r="F282" s="2" t="s">
        <v>37</v>
      </c>
      <c r="G282" s="2" t="s">
        <v>1091</v>
      </c>
      <c r="H282" s="2" t="s">
        <v>1092</v>
      </c>
      <c r="I282" s="2" t="s">
        <v>12</v>
      </c>
      <c r="J282" s="2" t="s">
        <v>40</v>
      </c>
      <c r="K282" s="2" t="s">
        <v>1093</v>
      </c>
      <c r="L282" s="2" t="s">
        <v>55</v>
      </c>
      <c r="M282" s="2" t="s">
        <v>1094</v>
      </c>
      <c r="N282" s="2" t="s">
        <v>35</v>
      </c>
      <c r="O282" s="2" t="s">
        <v>258</v>
      </c>
      <c r="P282" s="2" t="s">
        <v>35</v>
      </c>
      <c r="Q282" s="2" t="s">
        <v>35</v>
      </c>
    </row>
    <row r="283" spans="1:17" ht="144">
      <c r="A283" s="8" t="str">
        <f>HYPERLINK("http://sipi.sic.gov.co/sipi/View.ashx?4204353","SD2022/0056383")</f>
        <v>SD2022/0056383</v>
      </c>
      <c r="B283" s="2" t="s">
        <v>1095</v>
      </c>
      <c r="C283" s="2" t="s">
        <v>35</v>
      </c>
      <c r="D283" s="2" t="s">
        <v>1065</v>
      </c>
      <c r="E283" s="2" t="s">
        <v>35</v>
      </c>
      <c r="F283" s="2" t="s">
        <v>37</v>
      </c>
      <c r="G283" s="2" t="s">
        <v>1096</v>
      </c>
      <c r="H283" s="2" t="s">
        <v>1097</v>
      </c>
      <c r="I283" s="2" t="s">
        <v>12</v>
      </c>
      <c r="J283" s="2" t="s">
        <v>40</v>
      </c>
      <c r="K283" s="2" t="s">
        <v>1098</v>
      </c>
      <c r="L283" s="2" t="s">
        <v>55</v>
      </c>
      <c r="M283" s="2" t="s">
        <v>1099</v>
      </c>
      <c r="N283" s="2" t="s">
        <v>35</v>
      </c>
      <c r="O283" s="2" t="s">
        <v>258</v>
      </c>
      <c r="P283" s="2" t="s">
        <v>35</v>
      </c>
      <c r="Q283" s="2" t="s">
        <v>35</v>
      </c>
    </row>
    <row r="284" spans="1:17" ht="144">
      <c r="A284" s="8" t="str">
        <f>HYPERLINK("http://sipi.sic.gov.co/sipi/View.ashx?4205933","SD2022/0056711")</f>
        <v>SD2022/0056711</v>
      </c>
      <c r="B284" s="2" t="s">
        <v>1100</v>
      </c>
      <c r="C284" s="2" t="s">
        <v>35</v>
      </c>
      <c r="D284" s="2" t="s">
        <v>1101</v>
      </c>
      <c r="E284" s="2" t="s">
        <v>35</v>
      </c>
      <c r="F284" s="2" t="s">
        <v>37</v>
      </c>
      <c r="G284" s="2" t="s">
        <v>35</v>
      </c>
      <c r="H284" s="2" t="s">
        <v>1102</v>
      </c>
      <c r="I284" s="2" t="s">
        <v>1103</v>
      </c>
      <c r="J284" s="2" t="s">
        <v>40</v>
      </c>
      <c r="K284" s="2" t="s">
        <v>1104</v>
      </c>
      <c r="L284" s="2" t="s">
        <v>55</v>
      </c>
      <c r="M284" s="2" t="s">
        <v>1105</v>
      </c>
      <c r="N284" s="2" t="s">
        <v>35</v>
      </c>
      <c r="O284" s="2" t="s">
        <v>558</v>
      </c>
      <c r="P284" s="2" t="s">
        <v>35</v>
      </c>
      <c r="Q284" s="2" t="s">
        <v>35</v>
      </c>
    </row>
    <row r="285" spans="1:17" ht="201.6">
      <c r="A285" s="8" t="str">
        <f>HYPERLINK("http://sipi.sic.gov.co/sipi/View.ashx?4206745","SD2022/0056830")</f>
        <v>SD2022/0056830</v>
      </c>
      <c r="B285" s="2" t="s">
        <v>1106</v>
      </c>
      <c r="C285" s="7" t="s">
        <v>35</v>
      </c>
      <c r="D285" s="2" t="s">
        <v>1101</v>
      </c>
      <c r="E285" s="2" t="s">
        <v>35</v>
      </c>
      <c r="F285" s="2" t="s">
        <v>37</v>
      </c>
      <c r="G285" s="2" t="s">
        <v>35</v>
      </c>
      <c r="H285" s="2" t="s">
        <v>1107</v>
      </c>
      <c r="I285" s="2" t="s">
        <v>61</v>
      </c>
      <c r="J285" s="2" t="s">
        <v>40</v>
      </c>
      <c r="K285" s="2" t="s">
        <v>686</v>
      </c>
      <c r="L285" s="2" t="s">
        <v>55</v>
      </c>
      <c r="M285" s="2" t="s">
        <v>1108</v>
      </c>
      <c r="N285" s="2" t="s">
        <v>35</v>
      </c>
      <c r="O285" s="2" t="s">
        <v>359</v>
      </c>
      <c r="P285" s="2" t="s">
        <v>35</v>
      </c>
      <c r="Q285" s="2" t="s">
        <v>35</v>
      </c>
    </row>
    <row r="286" spans="1:17" ht="115.2">
      <c r="A286" s="8" t="str">
        <f>HYPERLINK("http://sipi.sic.gov.co/sipi/View.ashx?4207983","SD2022/0057103")</f>
        <v>SD2022/0057103</v>
      </c>
      <c r="B286" s="2" t="s">
        <v>1109</v>
      </c>
      <c r="C286" s="2" t="s">
        <v>35</v>
      </c>
      <c r="D286" s="2" t="s">
        <v>1101</v>
      </c>
      <c r="E286" s="2" t="s">
        <v>35</v>
      </c>
      <c r="F286" s="2" t="s">
        <v>37</v>
      </c>
      <c r="G286" s="2" t="s">
        <v>1110</v>
      </c>
      <c r="H286" s="2" t="s">
        <v>1111</v>
      </c>
      <c r="I286" s="2" t="s">
        <v>12</v>
      </c>
      <c r="J286" s="2" t="s">
        <v>40</v>
      </c>
      <c r="K286" s="2" t="s">
        <v>1112</v>
      </c>
      <c r="L286" s="2" t="s">
        <v>55</v>
      </c>
      <c r="M286" s="2" t="s">
        <v>168</v>
      </c>
      <c r="N286" s="2" t="s">
        <v>35</v>
      </c>
      <c r="O286" s="2" t="s">
        <v>590</v>
      </c>
      <c r="P286" s="2" t="s">
        <v>35</v>
      </c>
      <c r="Q286" s="2" t="s">
        <v>35</v>
      </c>
    </row>
    <row r="287" spans="1:17" ht="144">
      <c r="A287" s="8" t="str">
        <f>HYPERLINK("http://sipi.sic.gov.co/sipi/View.ashx?4209231","SD2022/0057397")</f>
        <v>SD2022/0057397</v>
      </c>
      <c r="B287" s="2" t="s">
        <v>1113</v>
      </c>
      <c r="C287" s="7" t="s">
        <v>35</v>
      </c>
      <c r="D287" s="2" t="s">
        <v>1114</v>
      </c>
      <c r="E287" s="2" t="s">
        <v>35</v>
      </c>
      <c r="F287" s="2" t="s">
        <v>37</v>
      </c>
      <c r="G287" s="2" t="s">
        <v>1115</v>
      </c>
      <c r="H287" s="2" t="s">
        <v>1116</v>
      </c>
      <c r="I287" s="2" t="s">
        <v>120</v>
      </c>
      <c r="J287" s="2" t="s">
        <v>40</v>
      </c>
      <c r="K287" s="2" t="s">
        <v>1117</v>
      </c>
      <c r="L287" s="2" t="s">
        <v>55</v>
      </c>
      <c r="M287" s="2" t="s">
        <v>451</v>
      </c>
      <c r="N287" s="2" t="s">
        <v>35</v>
      </c>
      <c r="O287" s="2" t="s">
        <v>590</v>
      </c>
      <c r="P287" s="2" t="s">
        <v>35</v>
      </c>
      <c r="Q287" s="2" t="s">
        <v>35</v>
      </c>
    </row>
    <row r="288" spans="1:17" ht="129.6">
      <c r="A288" s="8" t="str">
        <f>HYPERLINK("http://sipi.sic.gov.co/sipi/View.ashx?4209514","SD2022/0057482")</f>
        <v>SD2022/0057482</v>
      </c>
      <c r="B288" s="2" t="s">
        <v>1118</v>
      </c>
      <c r="C288" s="2" t="s">
        <v>35</v>
      </c>
      <c r="D288" s="2" t="s">
        <v>1114</v>
      </c>
      <c r="E288" s="2" t="s">
        <v>35</v>
      </c>
      <c r="F288" s="2" t="s">
        <v>37</v>
      </c>
      <c r="G288" s="2" t="s">
        <v>1119</v>
      </c>
      <c r="H288" s="2" t="s">
        <v>1120</v>
      </c>
      <c r="I288" s="2" t="s">
        <v>1121</v>
      </c>
      <c r="J288" s="2" t="s">
        <v>40</v>
      </c>
      <c r="K288" s="2" t="s">
        <v>1122</v>
      </c>
      <c r="L288" s="2" t="s">
        <v>42</v>
      </c>
      <c r="M288" s="2" t="s">
        <v>833</v>
      </c>
      <c r="N288" s="2" t="s">
        <v>35</v>
      </c>
      <c r="O288" s="2" t="s">
        <v>787</v>
      </c>
      <c r="P288" s="2" t="s">
        <v>35</v>
      </c>
      <c r="Q288" s="2" t="s">
        <v>35</v>
      </c>
    </row>
    <row r="289" spans="1:17" ht="100.8">
      <c r="A289" s="8" t="str">
        <f>HYPERLINK("http://sipi.sic.gov.co/sipi/View.ashx?4210532","SD2022/0057793")</f>
        <v>SD2022/0057793</v>
      </c>
      <c r="B289" s="2" t="s">
        <v>1123</v>
      </c>
      <c r="C289" s="7" t="s">
        <v>35</v>
      </c>
      <c r="D289" s="2" t="s">
        <v>1124</v>
      </c>
      <c r="E289" s="2" t="s">
        <v>35</v>
      </c>
      <c r="F289" s="2" t="s">
        <v>37</v>
      </c>
      <c r="G289" s="2" t="s">
        <v>1123</v>
      </c>
      <c r="H289" s="2" t="s">
        <v>1125</v>
      </c>
      <c r="I289" s="2" t="s">
        <v>12</v>
      </c>
      <c r="J289" s="2" t="s">
        <v>40</v>
      </c>
      <c r="K289" s="2" t="s">
        <v>1126</v>
      </c>
      <c r="L289" s="2" t="s">
        <v>42</v>
      </c>
      <c r="M289" s="2" t="s">
        <v>1127</v>
      </c>
      <c r="N289" s="2" t="s">
        <v>35</v>
      </c>
      <c r="O289" s="2" t="s">
        <v>268</v>
      </c>
      <c r="P289" s="2" t="s">
        <v>35</v>
      </c>
      <c r="Q289" s="2" t="s">
        <v>35</v>
      </c>
    </row>
    <row r="290" spans="1:17" ht="115.2">
      <c r="A290" s="8" t="str">
        <f>HYPERLINK("http://sipi.sic.gov.co/sipi/View.ashx?4210624","SD2022/0060529")</f>
        <v>SD2022/0060529</v>
      </c>
      <c r="B290" s="2" t="s">
        <v>1128</v>
      </c>
      <c r="C290" s="7" t="s">
        <v>35</v>
      </c>
      <c r="D290" s="2" t="s">
        <v>1129</v>
      </c>
      <c r="E290" s="2" t="s">
        <v>35</v>
      </c>
      <c r="F290" s="2" t="s">
        <v>37</v>
      </c>
      <c r="G290" s="2" t="s">
        <v>1128</v>
      </c>
      <c r="H290" s="2" t="s">
        <v>1130</v>
      </c>
      <c r="I290" s="2" t="s">
        <v>12</v>
      </c>
      <c r="J290" s="2" t="s">
        <v>40</v>
      </c>
      <c r="K290" s="2" t="s">
        <v>41</v>
      </c>
      <c r="L290" s="2" t="s">
        <v>55</v>
      </c>
      <c r="M290" s="2" t="s">
        <v>1089</v>
      </c>
      <c r="N290" s="2" t="s">
        <v>35</v>
      </c>
      <c r="O290" s="2" t="s">
        <v>649</v>
      </c>
      <c r="P290" s="2" t="s">
        <v>35</v>
      </c>
      <c r="Q290" s="2" t="s">
        <v>35</v>
      </c>
    </row>
    <row r="291" spans="1:17" ht="129.6">
      <c r="A291" s="8" t="str">
        <f>HYPERLINK("http://sipi.sic.gov.co/sipi/View.ashx?4210703","SD2022/0057887")</f>
        <v>SD2022/0057887</v>
      </c>
      <c r="B291" s="2" t="s">
        <v>1131</v>
      </c>
      <c r="C291" s="7" t="s">
        <v>35</v>
      </c>
      <c r="D291" s="2" t="s">
        <v>1124</v>
      </c>
      <c r="E291" s="2" t="s">
        <v>35</v>
      </c>
      <c r="F291" s="2" t="s">
        <v>37</v>
      </c>
      <c r="G291" s="2" t="s">
        <v>35</v>
      </c>
      <c r="H291" s="2" t="s">
        <v>1132</v>
      </c>
      <c r="I291" s="2" t="s">
        <v>113</v>
      </c>
      <c r="J291" s="2" t="s">
        <v>40</v>
      </c>
      <c r="K291" s="2" t="s">
        <v>1133</v>
      </c>
      <c r="L291" s="2" t="s">
        <v>42</v>
      </c>
      <c r="M291" s="2" t="s">
        <v>1134</v>
      </c>
      <c r="N291" s="2" t="s">
        <v>35</v>
      </c>
      <c r="O291" s="2" t="s">
        <v>344</v>
      </c>
      <c r="P291" s="2" t="s">
        <v>35</v>
      </c>
      <c r="Q291" s="2" t="s">
        <v>35</v>
      </c>
    </row>
    <row r="292" spans="1:17" ht="100.8">
      <c r="A292" s="8" t="str">
        <f>HYPERLINK("http://sipi.sic.gov.co/sipi/View.ashx?4211302","SD2022/0058043")</f>
        <v>SD2022/0058043</v>
      </c>
      <c r="B292" s="2" t="s">
        <v>1135</v>
      </c>
      <c r="C292" s="2" t="s">
        <v>35</v>
      </c>
      <c r="D292" s="2" t="s">
        <v>1124</v>
      </c>
      <c r="E292" s="2" t="s">
        <v>35</v>
      </c>
      <c r="F292" s="2" t="s">
        <v>37</v>
      </c>
      <c r="G292" s="2" t="s">
        <v>1136</v>
      </c>
      <c r="H292" s="2" t="s">
        <v>1137</v>
      </c>
      <c r="I292" s="2" t="s">
        <v>12</v>
      </c>
      <c r="J292" s="2" t="s">
        <v>40</v>
      </c>
      <c r="K292" s="2" t="s">
        <v>1138</v>
      </c>
      <c r="L292" s="2" t="s">
        <v>42</v>
      </c>
      <c r="M292" s="2" t="s">
        <v>440</v>
      </c>
      <c r="N292" s="2" t="s">
        <v>35</v>
      </c>
      <c r="O292" s="2" t="s">
        <v>123</v>
      </c>
      <c r="P292" s="2" t="s">
        <v>35</v>
      </c>
      <c r="Q292" s="2" t="s">
        <v>35</v>
      </c>
    </row>
    <row r="293" spans="1:17" ht="129.6">
      <c r="A293" s="8" t="str">
        <f>HYPERLINK("http://sipi.sic.gov.co/sipi/View.ashx?4211918","SD2022/0058161")</f>
        <v>SD2022/0058161</v>
      </c>
      <c r="B293" s="2" t="s">
        <v>1139</v>
      </c>
      <c r="C293" s="7" t="s">
        <v>35</v>
      </c>
      <c r="D293" s="2" t="s">
        <v>1124</v>
      </c>
      <c r="E293" s="2" t="s">
        <v>35</v>
      </c>
      <c r="F293" s="2" t="s">
        <v>37</v>
      </c>
      <c r="G293" s="2" t="s">
        <v>1140</v>
      </c>
      <c r="H293" s="2" t="s">
        <v>1141</v>
      </c>
      <c r="I293" s="2" t="s">
        <v>12</v>
      </c>
      <c r="J293" s="2" t="s">
        <v>40</v>
      </c>
      <c r="K293" s="2" t="s">
        <v>41</v>
      </c>
      <c r="L293" s="2" t="s">
        <v>42</v>
      </c>
      <c r="M293" s="2" t="s">
        <v>1142</v>
      </c>
      <c r="N293" s="2" t="s">
        <v>35</v>
      </c>
      <c r="O293" s="2" t="s">
        <v>198</v>
      </c>
      <c r="P293" s="2" t="s">
        <v>35</v>
      </c>
      <c r="Q293" s="2" t="s">
        <v>35</v>
      </c>
    </row>
    <row r="294" spans="1:17" ht="115.2">
      <c r="A294" s="8" t="str">
        <f>HYPERLINK("http://sipi.sic.gov.co/sipi/View.ashx?4212722","SD2022/0058380")</f>
        <v>SD2022/0058380</v>
      </c>
      <c r="B294" s="2" t="s">
        <v>1143</v>
      </c>
      <c r="C294" s="7" t="s">
        <v>35</v>
      </c>
      <c r="D294" s="2" t="s">
        <v>258</v>
      </c>
      <c r="E294" s="2" t="s">
        <v>35</v>
      </c>
      <c r="F294" s="2" t="s">
        <v>37</v>
      </c>
      <c r="G294" s="2" t="s">
        <v>1144</v>
      </c>
      <c r="H294" s="2" t="s">
        <v>1145</v>
      </c>
      <c r="I294" s="2" t="s">
        <v>61</v>
      </c>
      <c r="J294" s="2" t="s">
        <v>40</v>
      </c>
      <c r="K294" s="2" t="s">
        <v>1146</v>
      </c>
      <c r="L294" s="2" t="s">
        <v>42</v>
      </c>
      <c r="M294" s="2" t="s">
        <v>197</v>
      </c>
      <c r="N294" s="2" t="s">
        <v>35</v>
      </c>
      <c r="O294" s="2" t="s">
        <v>268</v>
      </c>
      <c r="P294" s="2" t="s">
        <v>35</v>
      </c>
      <c r="Q294" s="2" t="s">
        <v>35</v>
      </c>
    </row>
    <row r="295" spans="1:17" ht="115.2">
      <c r="A295" s="8" t="str">
        <f>HYPERLINK("http://sipi.sic.gov.co/sipi/View.ashx?4212754","SD2022/0058395")</f>
        <v>SD2022/0058395</v>
      </c>
      <c r="B295" s="2" t="s">
        <v>1147</v>
      </c>
      <c r="C295" s="7" t="s">
        <v>35</v>
      </c>
      <c r="D295" s="2" t="s">
        <v>258</v>
      </c>
      <c r="E295" s="2" t="s">
        <v>35</v>
      </c>
      <c r="F295" s="2" t="s">
        <v>37</v>
      </c>
      <c r="G295" s="2" t="s">
        <v>1148</v>
      </c>
      <c r="H295" s="2" t="s">
        <v>1145</v>
      </c>
      <c r="I295" s="2" t="s">
        <v>61</v>
      </c>
      <c r="J295" s="2" t="s">
        <v>40</v>
      </c>
      <c r="K295" s="2" t="s">
        <v>1149</v>
      </c>
      <c r="L295" s="2" t="s">
        <v>42</v>
      </c>
      <c r="M295" s="2" t="s">
        <v>197</v>
      </c>
      <c r="N295" s="2" t="s">
        <v>35</v>
      </c>
      <c r="O295" s="2" t="s">
        <v>268</v>
      </c>
      <c r="P295" s="2" t="s">
        <v>35</v>
      </c>
      <c r="Q295" s="2" t="s">
        <v>35</v>
      </c>
    </row>
    <row r="296" spans="1:17" ht="115.2">
      <c r="A296" s="8" t="str">
        <f>HYPERLINK("http://sipi.sic.gov.co/sipi/View.ashx?4212943","SD2022/0058450")</f>
        <v>SD2022/0058450</v>
      </c>
      <c r="B296" s="2" t="s">
        <v>1150</v>
      </c>
      <c r="C296" s="2" t="s">
        <v>35</v>
      </c>
      <c r="D296" s="2" t="s">
        <v>258</v>
      </c>
      <c r="E296" s="2" t="s">
        <v>35</v>
      </c>
      <c r="F296" s="2" t="s">
        <v>37</v>
      </c>
      <c r="G296" s="2" t="s">
        <v>35</v>
      </c>
      <c r="H296" s="2" t="s">
        <v>1151</v>
      </c>
      <c r="I296" s="2" t="s">
        <v>12</v>
      </c>
      <c r="J296" s="2" t="s">
        <v>40</v>
      </c>
      <c r="K296" s="2" t="s">
        <v>1152</v>
      </c>
      <c r="L296" s="2" t="s">
        <v>42</v>
      </c>
      <c r="M296" s="2" t="s">
        <v>1153</v>
      </c>
      <c r="N296" s="2" t="s">
        <v>35</v>
      </c>
      <c r="O296" s="2" t="s">
        <v>344</v>
      </c>
      <c r="P296" s="2" t="s">
        <v>35</v>
      </c>
      <c r="Q296" s="2" t="s">
        <v>35</v>
      </c>
    </row>
    <row r="297" spans="1:17" ht="57.6">
      <c r="A297" s="8" t="str">
        <f>HYPERLINK("http://sipi.sic.gov.co/sipi/View.ashx?4214622","SD2022/0058838")</f>
        <v>SD2022/0058838</v>
      </c>
      <c r="B297" s="2" t="s">
        <v>1154</v>
      </c>
      <c r="C297" s="2" t="s">
        <v>35</v>
      </c>
      <c r="D297" s="2" t="s">
        <v>1155</v>
      </c>
      <c r="E297" s="2" t="s">
        <v>35</v>
      </c>
      <c r="F297" s="2" t="s">
        <v>37</v>
      </c>
      <c r="G297" s="2" t="s">
        <v>35</v>
      </c>
      <c r="H297" s="2" t="s">
        <v>985</v>
      </c>
      <c r="I297" s="2" t="s">
        <v>12</v>
      </c>
      <c r="J297" s="2" t="s">
        <v>40</v>
      </c>
      <c r="K297" s="2" t="s">
        <v>986</v>
      </c>
      <c r="L297" s="2" t="s">
        <v>42</v>
      </c>
      <c r="M297" s="2" t="s">
        <v>35</v>
      </c>
      <c r="N297" s="2" t="s">
        <v>35</v>
      </c>
      <c r="O297" s="2" t="s">
        <v>198</v>
      </c>
      <c r="P297" s="2" t="s">
        <v>35</v>
      </c>
      <c r="Q297" s="2" t="s">
        <v>35</v>
      </c>
    </row>
    <row r="298" spans="1:17" ht="115.2">
      <c r="A298" s="8" t="str">
        <f>HYPERLINK("http://sipi.sic.gov.co/sipi/View.ashx?4216185","SD2022/0059098")</f>
        <v>SD2022/0059098</v>
      </c>
      <c r="B298" s="2" t="s">
        <v>1156</v>
      </c>
      <c r="C298" s="2" t="s">
        <v>35</v>
      </c>
      <c r="D298" s="2" t="s">
        <v>1157</v>
      </c>
      <c r="E298" s="2" t="s">
        <v>35</v>
      </c>
      <c r="F298" s="2" t="s">
        <v>37</v>
      </c>
      <c r="G298" s="2" t="s">
        <v>35</v>
      </c>
      <c r="H298" s="2" t="s">
        <v>1158</v>
      </c>
      <c r="I298" s="2" t="s">
        <v>12</v>
      </c>
      <c r="J298" s="2" t="s">
        <v>40</v>
      </c>
      <c r="K298" s="2" t="s">
        <v>1159</v>
      </c>
      <c r="L298" s="2" t="s">
        <v>55</v>
      </c>
      <c r="M298" s="2" t="s">
        <v>1160</v>
      </c>
      <c r="N298" s="2" t="s">
        <v>35</v>
      </c>
      <c r="O298" s="2" t="s">
        <v>555</v>
      </c>
      <c r="P298" s="2" t="s">
        <v>35</v>
      </c>
      <c r="Q298" s="2" t="s">
        <v>35</v>
      </c>
    </row>
    <row r="299" spans="1:17" ht="259.2">
      <c r="A299" s="8" t="str">
        <f>HYPERLINK("http://sipi.sic.gov.co/sipi/View.ashx?4216211","SD2022/0059127")</f>
        <v>SD2022/0059127</v>
      </c>
      <c r="B299" s="2" t="s">
        <v>1161</v>
      </c>
      <c r="C299" s="7" t="s">
        <v>35</v>
      </c>
      <c r="D299" s="2" t="s">
        <v>1157</v>
      </c>
      <c r="E299" s="2" t="s">
        <v>35</v>
      </c>
      <c r="F299" s="2" t="s">
        <v>37</v>
      </c>
      <c r="G299" s="2" t="s">
        <v>35</v>
      </c>
      <c r="H299" s="2" t="s">
        <v>402</v>
      </c>
      <c r="I299" s="2" t="s">
        <v>1162</v>
      </c>
      <c r="J299" s="2" t="s">
        <v>40</v>
      </c>
      <c r="K299" s="2" t="s">
        <v>1163</v>
      </c>
      <c r="L299" s="2" t="s">
        <v>42</v>
      </c>
      <c r="M299" s="2" t="s">
        <v>35</v>
      </c>
      <c r="N299" s="2" t="s">
        <v>35</v>
      </c>
      <c r="O299" s="2" t="s">
        <v>649</v>
      </c>
      <c r="P299" s="2" t="s">
        <v>35</v>
      </c>
      <c r="Q299" s="2" t="s">
        <v>35</v>
      </c>
    </row>
    <row r="300" spans="1:17" ht="57.6">
      <c r="A300" s="8" t="str">
        <f>HYPERLINK("http://sipi.sic.gov.co/sipi/View.ashx?4219069","SD2022/0059854")</f>
        <v>SD2022/0059854</v>
      </c>
      <c r="B300" s="2" t="s">
        <v>1164</v>
      </c>
      <c r="C300" s="2" t="s">
        <v>35</v>
      </c>
      <c r="D300" s="2" t="s">
        <v>1165</v>
      </c>
      <c r="E300" s="2" t="s">
        <v>35</v>
      </c>
      <c r="F300" s="2" t="s">
        <v>37</v>
      </c>
      <c r="G300" s="2" t="s">
        <v>1164</v>
      </c>
      <c r="H300" s="2" t="s">
        <v>1166</v>
      </c>
      <c r="I300" s="2" t="s">
        <v>12</v>
      </c>
      <c r="J300" s="2" t="s">
        <v>40</v>
      </c>
      <c r="K300" s="2" t="s">
        <v>1167</v>
      </c>
      <c r="L300" s="2" t="s">
        <v>42</v>
      </c>
      <c r="M300" s="2" t="s">
        <v>35</v>
      </c>
      <c r="N300" s="2" t="s">
        <v>35</v>
      </c>
      <c r="O300" s="2" t="s">
        <v>787</v>
      </c>
      <c r="P300" s="2" t="s">
        <v>35</v>
      </c>
      <c r="Q300" s="2" t="s">
        <v>35</v>
      </c>
    </row>
    <row r="301" spans="1:17" ht="230.4">
      <c r="A301" s="8" t="str">
        <f>HYPERLINK("http://sipi.sic.gov.co/sipi/View.ashx?4222677","SD2022/0060866")</f>
        <v>SD2022/0060866</v>
      </c>
      <c r="B301" s="2" t="s">
        <v>1168</v>
      </c>
      <c r="C301" s="2" t="s">
        <v>35</v>
      </c>
      <c r="D301" s="2" t="s">
        <v>1129</v>
      </c>
      <c r="E301" s="2" t="s">
        <v>35</v>
      </c>
      <c r="F301" s="2" t="s">
        <v>37</v>
      </c>
      <c r="G301" s="2" t="s">
        <v>1168</v>
      </c>
      <c r="H301" s="2" t="s">
        <v>1169</v>
      </c>
      <c r="I301" s="2" t="s">
        <v>12</v>
      </c>
      <c r="J301" s="2" t="s">
        <v>40</v>
      </c>
      <c r="K301" s="2" t="s">
        <v>1170</v>
      </c>
      <c r="L301" s="2" t="s">
        <v>42</v>
      </c>
      <c r="M301" s="2" t="s">
        <v>35</v>
      </c>
      <c r="N301" s="2" t="s">
        <v>35</v>
      </c>
      <c r="O301" s="2" t="s">
        <v>649</v>
      </c>
      <c r="P301" s="2" t="s">
        <v>35</v>
      </c>
      <c r="Q301" s="2" t="s">
        <v>35</v>
      </c>
    </row>
    <row r="302" spans="1:17" ht="100.8">
      <c r="A302" s="8" t="str">
        <f>HYPERLINK("http://sipi.sic.gov.co/sipi/View.ashx?4222911","SD2022/0060997")</f>
        <v>SD2022/0060997</v>
      </c>
      <c r="B302" s="2" t="s">
        <v>1171</v>
      </c>
      <c r="C302" s="2" t="s">
        <v>35</v>
      </c>
      <c r="D302" s="2" t="s">
        <v>1172</v>
      </c>
      <c r="E302" s="2" t="s">
        <v>35</v>
      </c>
      <c r="F302" s="2" t="s">
        <v>37</v>
      </c>
      <c r="G302" s="2" t="s">
        <v>1173</v>
      </c>
      <c r="H302" s="2" t="s">
        <v>1174</v>
      </c>
      <c r="I302" s="2" t="s">
        <v>12</v>
      </c>
      <c r="J302" s="2" t="s">
        <v>40</v>
      </c>
      <c r="K302" s="2" t="s">
        <v>1175</v>
      </c>
      <c r="L302" s="2" t="s">
        <v>55</v>
      </c>
      <c r="M302" s="2" t="s">
        <v>440</v>
      </c>
      <c r="N302" s="2" t="s">
        <v>35</v>
      </c>
      <c r="O302" s="2" t="s">
        <v>198</v>
      </c>
      <c r="P302" s="2" t="s">
        <v>35</v>
      </c>
      <c r="Q302" s="2" t="s">
        <v>35</v>
      </c>
    </row>
    <row r="303" spans="1:17" ht="100.8">
      <c r="A303" s="8" t="str">
        <f>HYPERLINK("http://sipi.sic.gov.co/sipi/View.ashx?4222944","SD2022/0061008")</f>
        <v>SD2022/0061008</v>
      </c>
      <c r="B303" s="2" t="s">
        <v>1176</v>
      </c>
      <c r="C303" s="2" t="s">
        <v>35</v>
      </c>
      <c r="D303" s="2" t="s">
        <v>1172</v>
      </c>
      <c r="E303" s="2" t="s">
        <v>35</v>
      </c>
      <c r="F303" s="2" t="s">
        <v>37</v>
      </c>
      <c r="G303" s="2" t="s">
        <v>1177</v>
      </c>
      <c r="H303" s="2" t="s">
        <v>1174</v>
      </c>
      <c r="I303" s="2" t="s">
        <v>12</v>
      </c>
      <c r="J303" s="2" t="s">
        <v>40</v>
      </c>
      <c r="K303" s="2" t="s">
        <v>1175</v>
      </c>
      <c r="L303" s="2" t="s">
        <v>42</v>
      </c>
      <c r="M303" s="2" t="s">
        <v>440</v>
      </c>
      <c r="N303" s="2" t="s">
        <v>35</v>
      </c>
      <c r="O303" s="2" t="s">
        <v>198</v>
      </c>
      <c r="P303" s="2" t="s">
        <v>35</v>
      </c>
      <c r="Q303" s="2" t="s">
        <v>35</v>
      </c>
    </row>
    <row r="304" spans="1:17" ht="100.8">
      <c r="A304" s="8" t="str">
        <f>HYPERLINK("http://sipi.sic.gov.co/sipi/View.ashx?4222954","SD2022/0061016")</f>
        <v>SD2022/0061016</v>
      </c>
      <c r="B304" s="2" t="s">
        <v>1178</v>
      </c>
      <c r="C304" s="2" t="s">
        <v>35</v>
      </c>
      <c r="D304" s="2" t="s">
        <v>1172</v>
      </c>
      <c r="E304" s="2" t="s">
        <v>35</v>
      </c>
      <c r="F304" s="2" t="s">
        <v>37</v>
      </c>
      <c r="G304" s="2" t="s">
        <v>1179</v>
      </c>
      <c r="H304" s="2" t="s">
        <v>1174</v>
      </c>
      <c r="I304" s="2" t="s">
        <v>12</v>
      </c>
      <c r="J304" s="2" t="s">
        <v>40</v>
      </c>
      <c r="K304" s="2" t="s">
        <v>1175</v>
      </c>
      <c r="L304" s="2" t="s">
        <v>42</v>
      </c>
      <c r="M304" s="2" t="s">
        <v>440</v>
      </c>
      <c r="N304" s="2" t="s">
        <v>35</v>
      </c>
      <c r="O304" s="2" t="s">
        <v>198</v>
      </c>
      <c r="P304" s="2" t="s">
        <v>35</v>
      </c>
      <c r="Q304" s="2" t="s">
        <v>35</v>
      </c>
    </row>
    <row r="305" spans="1:17" ht="72">
      <c r="A305" s="8" t="str">
        <f>HYPERLINK("http://sipi.sic.gov.co/sipi/View.ashx?4223178","SD2022/0060959")</f>
        <v>SD2022/0060959</v>
      </c>
      <c r="B305" s="2" t="s">
        <v>1180</v>
      </c>
      <c r="C305" s="2" t="s">
        <v>35</v>
      </c>
      <c r="D305" s="2" t="s">
        <v>1129</v>
      </c>
      <c r="E305" s="2" t="s">
        <v>35</v>
      </c>
      <c r="F305" s="2" t="s">
        <v>37</v>
      </c>
      <c r="G305" s="2" t="s">
        <v>1180</v>
      </c>
      <c r="H305" s="2" t="s">
        <v>1181</v>
      </c>
      <c r="I305" s="2" t="s">
        <v>12</v>
      </c>
      <c r="J305" s="2" t="s">
        <v>40</v>
      </c>
      <c r="K305" s="2" t="s">
        <v>1182</v>
      </c>
      <c r="L305" s="2" t="s">
        <v>55</v>
      </c>
      <c r="M305" s="2" t="s">
        <v>35</v>
      </c>
      <c r="N305" s="2" t="s">
        <v>35</v>
      </c>
      <c r="O305" s="2" t="s">
        <v>787</v>
      </c>
      <c r="P305" s="2" t="s">
        <v>35</v>
      </c>
      <c r="Q305" s="2" t="s">
        <v>35</v>
      </c>
    </row>
    <row r="306" spans="1:17" ht="129.6">
      <c r="A306" s="8" t="str">
        <f>HYPERLINK("http://sipi.sic.gov.co/sipi/View.ashx?4223463","SD2022/0061225")</f>
        <v>SD2022/0061225</v>
      </c>
      <c r="B306" s="2" t="s">
        <v>1183</v>
      </c>
      <c r="C306" s="2" t="s">
        <v>35</v>
      </c>
      <c r="D306" s="2" t="s">
        <v>1172</v>
      </c>
      <c r="E306" s="2" t="s">
        <v>35</v>
      </c>
      <c r="F306" s="2" t="s">
        <v>37</v>
      </c>
      <c r="G306" s="2" t="s">
        <v>1184</v>
      </c>
      <c r="H306" s="2" t="s">
        <v>1185</v>
      </c>
      <c r="I306" s="2" t="s">
        <v>444</v>
      </c>
      <c r="J306" s="2" t="s">
        <v>40</v>
      </c>
      <c r="K306" s="2" t="s">
        <v>1186</v>
      </c>
      <c r="L306" s="2" t="s">
        <v>55</v>
      </c>
      <c r="M306" s="2" t="s">
        <v>417</v>
      </c>
      <c r="N306" s="2" t="s">
        <v>35</v>
      </c>
      <c r="O306" s="2" t="s">
        <v>555</v>
      </c>
      <c r="P306" s="2" t="s">
        <v>35</v>
      </c>
      <c r="Q306" s="2" t="s">
        <v>35</v>
      </c>
    </row>
    <row r="307" spans="1:17" ht="115.2">
      <c r="A307" s="8" t="str">
        <f>HYPERLINK("http://sipi.sic.gov.co/sipi/View.ashx?4224962","SD2022/0061410")</f>
        <v>SD2022/0061410</v>
      </c>
      <c r="B307" s="2" t="s">
        <v>1187</v>
      </c>
      <c r="C307" s="2" t="s">
        <v>35</v>
      </c>
      <c r="D307" s="2" t="s">
        <v>1172</v>
      </c>
      <c r="E307" s="2" t="s">
        <v>35</v>
      </c>
      <c r="F307" s="2" t="s">
        <v>37</v>
      </c>
      <c r="G307" s="2" t="s">
        <v>1187</v>
      </c>
      <c r="H307" s="2" t="s">
        <v>1188</v>
      </c>
      <c r="I307" s="2" t="s">
        <v>12</v>
      </c>
      <c r="J307" s="2" t="s">
        <v>40</v>
      </c>
      <c r="K307" s="2" t="s">
        <v>1189</v>
      </c>
      <c r="L307" s="2" t="s">
        <v>55</v>
      </c>
      <c r="M307" s="2" t="s">
        <v>1190</v>
      </c>
      <c r="N307" s="2" t="s">
        <v>35</v>
      </c>
      <c r="O307" s="2" t="s">
        <v>649</v>
      </c>
      <c r="P307" s="2" t="s">
        <v>35</v>
      </c>
      <c r="Q307" s="2" t="s">
        <v>35</v>
      </c>
    </row>
    <row r="308" spans="1:17" ht="115.2">
      <c r="A308" s="8" t="str">
        <f>HYPERLINK("http://sipi.sic.gov.co/sipi/View.ashx?4224975","SD2022/0061405")</f>
        <v>SD2022/0061405</v>
      </c>
      <c r="B308" s="2" t="s">
        <v>1191</v>
      </c>
      <c r="C308" s="2" t="s">
        <v>35</v>
      </c>
      <c r="D308" s="2" t="s">
        <v>1172</v>
      </c>
      <c r="E308" s="2" t="s">
        <v>35</v>
      </c>
      <c r="F308" s="2" t="s">
        <v>37</v>
      </c>
      <c r="G308" s="2" t="s">
        <v>1191</v>
      </c>
      <c r="H308" s="2" t="s">
        <v>1188</v>
      </c>
      <c r="I308" s="2" t="s">
        <v>12</v>
      </c>
      <c r="J308" s="2" t="s">
        <v>40</v>
      </c>
      <c r="K308" s="2" t="s">
        <v>41</v>
      </c>
      <c r="L308" s="2" t="s">
        <v>42</v>
      </c>
      <c r="M308" s="2" t="s">
        <v>1190</v>
      </c>
      <c r="N308" s="2" t="s">
        <v>35</v>
      </c>
      <c r="O308" s="2" t="s">
        <v>787</v>
      </c>
      <c r="P308" s="2" t="s">
        <v>35</v>
      </c>
      <c r="Q308" s="2" t="s">
        <v>35</v>
      </c>
    </row>
    <row r="309" spans="1:17" ht="230.4">
      <c r="A309" s="8" t="str">
        <f>HYPERLINK("http://sipi.sic.gov.co/sipi/View.ashx?4225363","SD2022/0061490")</f>
        <v>SD2022/0061490</v>
      </c>
      <c r="B309" s="2" t="s">
        <v>1192</v>
      </c>
      <c r="C309" s="7" t="s">
        <v>35</v>
      </c>
      <c r="D309" s="2" t="s">
        <v>1193</v>
      </c>
      <c r="E309" s="2" t="s">
        <v>35</v>
      </c>
      <c r="F309" s="2" t="s">
        <v>37</v>
      </c>
      <c r="G309" s="2" t="s">
        <v>35</v>
      </c>
      <c r="H309" s="2" t="s">
        <v>1194</v>
      </c>
      <c r="I309" s="2" t="s">
        <v>149</v>
      </c>
      <c r="J309" s="2" t="s">
        <v>40</v>
      </c>
      <c r="K309" s="2" t="s">
        <v>1195</v>
      </c>
      <c r="L309" s="2" t="s">
        <v>42</v>
      </c>
      <c r="M309" s="2" t="s">
        <v>35</v>
      </c>
      <c r="N309" s="2" t="s">
        <v>35</v>
      </c>
      <c r="O309" s="2" t="s">
        <v>268</v>
      </c>
      <c r="P309" s="2" t="s">
        <v>35</v>
      </c>
      <c r="Q309" s="2" t="s">
        <v>35</v>
      </c>
    </row>
    <row r="310" spans="1:17" ht="129.6">
      <c r="A310" s="8" t="str">
        <f>HYPERLINK("http://sipi.sic.gov.co/sipi/View.ashx?4227182","SD2022/0062258")</f>
        <v>SD2022/0062258</v>
      </c>
      <c r="B310" s="2" t="s">
        <v>1196</v>
      </c>
      <c r="C310" s="7" t="s">
        <v>35</v>
      </c>
      <c r="D310" s="2" t="s">
        <v>344</v>
      </c>
      <c r="E310" s="2" t="s">
        <v>35</v>
      </c>
      <c r="F310" s="2" t="s">
        <v>37</v>
      </c>
      <c r="G310" s="2" t="s">
        <v>1196</v>
      </c>
      <c r="H310" s="2" t="s">
        <v>1197</v>
      </c>
      <c r="I310" s="2" t="s">
        <v>12</v>
      </c>
      <c r="J310" s="2" t="s">
        <v>40</v>
      </c>
      <c r="K310" s="2" t="s">
        <v>1198</v>
      </c>
      <c r="L310" s="2" t="s">
        <v>42</v>
      </c>
      <c r="M310" s="2" t="s">
        <v>1199</v>
      </c>
      <c r="N310" s="2" t="s">
        <v>35</v>
      </c>
      <c r="O310" s="2" t="s">
        <v>649</v>
      </c>
      <c r="P310" s="2" t="s">
        <v>35</v>
      </c>
      <c r="Q310" s="2" t="s">
        <v>35</v>
      </c>
    </row>
    <row r="311" spans="1:17" ht="115.2">
      <c r="A311" s="8" t="str">
        <f>HYPERLINK("http://sipi.sic.gov.co/sipi/View.ashx?4227798","SD2022/0062590")</f>
        <v>SD2022/0062590</v>
      </c>
      <c r="B311" s="2" t="s">
        <v>1200</v>
      </c>
      <c r="C311" s="7" t="s">
        <v>35</v>
      </c>
      <c r="D311" s="2" t="s">
        <v>1060</v>
      </c>
      <c r="E311" s="2" t="s">
        <v>35</v>
      </c>
      <c r="F311" s="2" t="s">
        <v>37</v>
      </c>
      <c r="G311" s="2" t="s">
        <v>1201</v>
      </c>
      <c r="H311" s="2" t="s">
        <v>1202</v>
      </c>
      <c r="I311" s="2" t="s">
        <v>12</v>
      </c>
      <c r="J311" s="2" t="s">
        <v>40</v>
      </c>
      <c r="K311" s="2" t="s">
        <v>1203</v>
      </c>
      <c r="L311" s="2" t="s">
        <v>42</v>
      </c>
      <c r="M311" s="2" t="s">
        <v>1204</v>
      </c>
      <c r="N311" s="2" t="s">
        <v>35</v>
      </c>
      <c r="O311" s="2" t="s">
        <v>787</v>
      </c>
      <c r="P311" s="2" t="s">
        <v>35</v>
      </c>
      <c r="Q311" s="2" t="s">
        <v>35</v>
      </c>
    </row>
    <row r="312" spans="1:17" ht="129.6">
      <c r="A312" s="8" t="str">
        <f>HYPERLINK("http://sipi.sic.gov.co/sipi/View.ashx?4228003","SD2022/0062106")</f>
        <v>SD2022/0062106</v>
      </c>
      <c r="B312" s="2" t="s">
        <v>1205</v>
      </c>
      <c r="C312" s="7" t="s">
        <v>35</v>
      </c>
      <c r="D312" s="2" t="s">
        <v>344</v>
      </c>
      <c r="E312" s="2" t="s">
        <v>35</v>
      </c>
      <c r="F312" s="2" t="s">
        <v>37</v>
      </c>
      <c r="G312" s="2" t="s">
        <v>35</v>
      </c>
      <c r="H312" s="2" t="s">
        <v>672</v>
      </c>
      <c r="I312" s="2" t="s">
        <v>12</v>
      </c>
      <c r="J312" s="2" t="s">
        <v>40</v>
      </c>
      <c r="K312" s="2" t="s">
        <v>1206</v>
      </c>
      <c r="L312" s="2" t="s">
        <v>42</v>
      </c>
      <c r="M312" s="2" t="s">
        <v>110</v>
      </c>
      <c r="N312" s="2" t="s">
        <v>35</v>
      </c>
      <c r="O312" s="2" t="s">
        <v>268</v>
      </c>
      <c r="P312" s="2" t="s">
        <v>35</v>
      </c>
      <c r="Q312" s="2" t="s">
        <v>35</v>
      </c>
    </row>
    <row r="313" spans="1:17" ht="129.6">
      <c r="A313" s="8" t="str">
        <f>HYPERLINK("http://sipi.sic.gov.co/sipi/View.ashx?4228563","SD2022/0062265")</f>
        <v>SD2022/0062265</v>
      </c>
      <c r="B313" s="2" t="s">
        <v>1207</v>
      </c>
      <c r="C313" s="2" t="s">
        <v>35</v>
      </c>
      <c r="D313" s="2" t="s">
        <v>344</v>
      </c>
      <c r="E313" s="2" t="s">
        <v>35</v>
      </c>
      <c r="F313" s="2" t="s">
        <v>37</v>
      </c>
      <c r="G313" s="2" t="s">
        <v>1208</v>
      </c>
      <c r="H313" s="2" t="s">
        <v>1209</v>
      </c>
      <c r="I313" s="2" t="s">
        <v>12</v>
      </c>
      <c r="J313" s="2" t="s">
        <v>40</v>
      </c>
      <c r="K313" s="2" t="s">
        <v>1210</v>
      </c>
      <c r="L313" s="2" t="s">
        <v>42</v>
      </c>
      <c r="M313" s="2" t="s">
        <v>1211</v>
      </c>
      <c r="N313" s="2" t="s">
        <v>35</v>
      </c>
      <c r="O313" s="2" t="s">
        <v>268</v>
      </c>
      <c r="P313" s="2" t="s">
        <v>35</v>
      </c>
      <c r="Q313" s="2" t="s">
        <v>35</v>
      </c>
    </row>
    <row r="314" spans="1:17" ht="158.4">
      <c r="A314" s="8" t="str">
        <f>HYPERLINK("http://sipi.sic.gov.co/sipi/View.ashx?4228845","SD2022/0062314")</f>
        <v>SD2022/0062314</v>
      </c>
      <c r="B314" s="2" t="s">
        <v>1212</v>
      </c>
      <c r="C314" s="2" t="s">
        <v>35</v>
      </c>
      <c r="D314" s="2" t="s">
        <v>344</v>
      </c>
      <c r="E314" s="2" t="s">
        <v>35</v>
      </c>
      <c r="F314" s="2" t="s">
        <v>37</v>
      </c>
      <c r="G314" s="2" t="s">
        <v>1212</v>
      </c>
      <c r="H314" s="2" t="s">
        <v>1169</v>
      </c>
      <c r="I314" s="2" t="s">
        <v>12</v>
      </c>
      <c r="J314" s="2" t="s">
        <v>40</v>
      </c>
      <c r="K314" s="2" t="s">
        <v>1213</v>
      </c>
      <c r="L314" s="2" t="s">
        <v>42</v>
      </c>
      <c r="M314" s="2" t="s">
        <v>35</v>
      </c>
      <c r="N314" s="2" t="s">
        <v>35</v>
      </c>
      <c r="O314" s="2" t="s">
        <v>649</v>
      </c>
      <c r="P314" s="2" t="s">
        <v>35</v>
      </c>
      <c r="Q314" s="2" t="s">
        <v>35</v>
      </c>
    </row>
    <row r="315" spans="1:17" ht="259.2">
      <c r="A315" s="8" t="str">
        <f>HYPERLINK("http://sipi.sic.gov.co/sipi/View.ashx?4228860","SD2022/0062319")</f>
        <v>SD2022/0062319</v>
      </c>
      <c r="B315" s="2" t="s">
        <v>1214</v>
      </c>
      <c r="C315" s="2" t="s">
        <v>35</v>
      </c>
      <c r="D315" s="2" t="s">
        <v>344</v>
      </c>
      <c r="E315" s="2" t="s">
        <v>35</v>
      </c>
      <c r="F315" s="2" t="s">
        <v>37</v>
      </c>
      <c r="G315" s="2" t="s">
        <v>1214</v>
      </c>
      <c r="H315" s="2" t="s">
        <v>1169</v>
      </c>
      <c r="I315" s="2" t="s">
        <v>12</v>
      </c>
      <c r="J315" s="2" t="s">
        <v>40</v>
      </c>
      <c r="K315" s="2" t="s">
        <v>1215</v>
      </c>
      <c r="L315" s="2" t="s">
        <v>42</v>
      </c>
      <c r="M315" s="2" t="s">
        <v>35</v>
      </c>
      <c r="N315" s="2" t="s">
        <v>35</v>
      </c>
      <c r="O315" s="2" t="s">
        <v>649</v>
      </c>
      <c r="P315" s="2" t="s">
        <v>35</v>
      </c>
      <c r="Q315" s="2" t="s">
        <v>35</v>
      </c>
    </row>
    <row r="316" spans="1:17" ht="86.4">
      <c r="A316" s="8" t="str">
        <f>HYPERLINK("http://sipi.sic.gov.co/sipi/View.ashx?4229076","SD2022/0064027")</f>
        <v>SD2022/0064027</v>
      </c>
      <c r="B316" s="2" t="s">
        <v>1216</v>
      </c>
      <c r="C316" s="2" t="s">
        <v>35</v>
      </c>
      <c r="D316" s="2" t="s">
        <v>1217</v>
      </c>
      <c r="E316" s="2" t="s">
        <v>35</v>
      </c>
      <c r="F316" s="2" t="s">
        <v>37</v>
      </c>
      <c r="G316" s="2" t="s">
        <v>1216</v>
      </c>
      <c r="H316" s="2" t="s">
        <v>238</v>
      </c>
      <c r="I316" s="2" t="s">
        <v>12</v>
      </c>
      <c r="J316" s="2" t="s">
        <v>40</v>
      </c>
      <c r="K316" s="2" t="s">
        <v>1218</v>
      </c>
      <c r="L316" s="2" t="s">
        <v>55</v>
      </c>
      <c r="M316" s="2" t="s">
        <v>1219</v>
      </c>
      <c r="N316" s="2" t="s">
        <v>35</v>
      </c>
      <c r="O316" s="2" t="s">
        <v>123</v>
      </c>
      <c r="P316" s="2" t="s">
        <v>35</v>
      </c>
      <c r="Q316" s="2" t="s">
        <v>35</v>
      </c>
    </row>
    <row r="317" spans="1:17" ht="172.8">
      <c r="A317" s="8" t="str">
        <f>HYPERLINK("http://sipi.sic.gov.co/sipi/View.ashx?4229287","SD2022/0062596")</f>
        <v>SD2022/0062596</v>
      </c>
      <c r="B317" s="2" t="s">
        <v>1220</v>
      </c>
      <c r="C317" s="2" t="s">
        <v>35</v>
      </c>
      <c r="D317" s="2" t="s">
        <v>1060</v>
      </c>
      <c r="E317" s="2" t="s">
        <v>35</v>
      </c>
      <c r="F317" s="2" t="s">
        <v>37</v>
      </c>
      <c r="G317" s="2" t="s">
        <v>35</v>
      </c>
      <c r="H317" s="2" t="s">
        <v>1221</v>
      </c>
      <c r="I317" s="2" t="s">
        <v>12</v>
      </c>
      <c r="J317" s="2" t="s">
        <v>40</v>
      </c>
      <c r="K317" s="2" t="s">
        <v>1222</v>
      </c>
      <c r="L317" s="2" t="s">
        <v>55</v>
      </c>
      <c r="M317" s="2" t="s">
        <v>110</v>
      </c>
      <c r="N317" s="2" t="s">
        <v>35</v>
      </c>
      <c r="O317" s="2" t="s">
        <v>787</v>
      </c>
      <c r="P317" s="2" t="s">
        <v>35</v>
      </c>
      <c r="Q317" s="2" t="s">
        <v>35</v>
      </c>
    </row>
    <row r="318" spans="1:17" ht="144">
      <c r="A318" s="8" t="str">
        <f>HYPERLINK("http://sipi.sic.gov.co/sipi/View.ashx?4231173","SD2022/0063014")</f>
        <v>SD2022/0063014</v>
      </c>
      <c r="B318" s="2" t="s">
        <v>1223</v>
      </c>
      <c r="C318" s="2" t="s">
        <v>35</v>
      </c>
      <c r="D318" s="2" t="s">
        <v>1060</v>
      </c>
      <c r="E318" s="2" t="s">
        <v>35</v>
      </c>
      <c r="F318" s="2" t="s">
        <v>37</v>
      </c>
      <c r="G318" s="2" t="s">
        <v>35</v>
      </c>
      <c r="H318" s="2" t="s">
        <v>1224</v>
      </c>
      <c r="I318" s="2" t="s">
        <v>12</v>
      </c>
      <c r="J318" s="2" t="s">
        <v>40</v>
      </c>
      <c r="K318" s="2" t="s">
        <v>1225</v>
      </c>
      <c r="L318" s="2" t="s">
        <v>55</v>
      </c>
      <c r="M318" s="2" t="s">
        <v>1226</v>
      </c>
      <c r="N318" s="2" t="s">
        <v>35</v>
      </c>
      <c r="O318" s="2" t="s">
        <v>649</v>
      </c>
      <c r="P318" s="2" t="s">
        <v>35</v>
      </c>
      <c r="Q318" s="2" t="s">
        <v>35</v>
      </c>
    </row>
    <row r="319" spans="1:17" ht="144">
      <c r="A319" s="8" t="str">
        <f>HYPERLINK("http://sipi.sic.gov.co/sipi/View.ashx?4231356","SD2022/0063180")</f>
        <v>SD2022/0063180</v>
      </c>
      <c r="B319" s="2" t="s">
        <v>1227</v>
      </c>
      <c r="C319" s="2" t="s">
        <v>35</v>
      </c>
      <c r="D319" s="2" t="s">
        <v>1228</v>
      </c>
      <c r="E319" s="2" t="s">
        <v>35</v>
      </c>
      <c r="F319" s="2" t="s">
        <v>37</v>
      </c>
      <c r="G319" s="2" t="s">
        <v>35</v>
      </c>
      <c r="H319" s="2" t="s">
        <v>891</v>
      </c>
      <c r="I319" s="2" t="s">
        <v>12</v>
      </c>
      <c r="J319" s="2" t="s">
        <v>40</v>
      </c>
      <c r="K319" s="2" t="s">
        <v>1229</v>
      </c>
      <c r="L319" s="2" t="s">
        <v>55</v>
      </c>
      <c r="M319" s="2" t="s">
        <v>1230</v>
      </c>
      <c r="N319" s="2" t="s">
        <v>35</v>
      </c>
      <c r="O319" s="2" t="s">
        <v>787</v>
      </c>
      <c r="P319" s="2" t="s">
        <v>35</v>
      </c>
      <c r="Q319" s="2" t="s">
        <v>35</v>
      </c>
    </row>
    <row r="320" spans="1:17" ht="144">
      <c r="A320" s="8" t="str">
        <f>HYPERLINK("http://sipi.sic.gov.co/sipi/View.ashx?4231374","SD2022/0063184")</f>
        <v>SD2022/0063184</v>
      </c>
      <c r="B320" s="2" t="s">
        <v>1231</v>
      </c>
      <c r="C320" s="2" t="s">
        <v>35</v>
      </c>
      <c r="D320" s="2" t="s">
        <v>1228</v>
      </c>
      <c r="E320" s="2" t="s">
        <v>35</v>
      </c>
      <c r="F320" s="2" t="s">
        <v>37</v>
      </c>
      <c r="G320" s="2" t="s">
        <v>35</v>
      </c>
      <c r="H320" s="2" t="s">
        <v>891</v>
      </c>
      <c r="I320" s="2" t="s">
        <v>12</v>
      </c>
      <c r="J320" s="2" t="s">
        <v>40</v>
      </c>
      <c r="K320" s="2" t="s">
        <v>1229</v>
      </c>
      <c r="L320" s="2" t="s">
        <v>55</v>
      </c>
      <c r="M320" s="2" t="s">
        <v>1230</v>
      </c>
      <c r="N320" s="2" t="s">
        <v>35</v>
      </c>
      <c r="O320" s="2" t="s">
        <v>787</v>
      </c>
      <c r="P320" s="2" t="s">
        <v>35</v>
      </c>
      <c r="Q320" s="2" t="s">
        <v>35</v>
      </c>
    </row>
    <row r="321" spans="1:17" ht="115.2">
      <c r="A321" s="8" t="str">
        <f>HYPERLINK("http://sipi.sic.gov.co/sipi/View.ashx?4231839","SD2022/0063225")</f>
        <v>SD2022/0063225</v>
      </c>
      <c r="B321" s="2" t="s">
        <v>1232</v>
      </c>
      <c r="C321" s="2" t="s">
        <v>35</v>
      </c>
      <c r="D321" s="2" t="s">
        <v>1228</v>
      </c>
      <c r="E321" s="2" t="s">
        <v>35</v>
      </c>
      <c r="F321" s="2" t="s">
        <v>37</v>
      </c>
      <c r="G321" s="2" t="s">
        <v>35</v>
      </c>
      <c r="H321" s="2" t="s">
        <v>1233</v>
      </c>
      <c r="I321" s="2" t="s">
        <v>12</v>
      </c>
      <c r="J321" s="2" t="s">
        <v>40</v>
      </c>
      <c r="K321" s="2" t="s">
        <v>41</v>
      </c>
      <c r="L321" s="2" t="s">
        <v>42</v>
      </c>
      <c r="M321" s="2" t="s">
        <v>35</v>
      </c>
      <c r="N321" s="2" t="s">
        <v>35</v>
      </c>
      <c r="O321" s="2" t="s">
        <v>268</v>
      </c>
      <c r="P321" s="2" t="s">
        <v>35</v>
      </c>
      <c r="Q321" s="2" t="s">
        <v>35</v>
      </c>
    </row>
    <row r="322" spans="1:17" ht="129.6">
      <c r="A322" s="8" t="str">
        <f>HYPERLINK("http://sipi.sic.gov.co/sipi/View.ashx?4231987","SD2022/0064820")</f>
        <v>SD2022/0064820</v>
      </c>
      <c r="B322" s="2" t="s">
        <v>1234</v>
      </c>
      <c r="C322" s="2" t="s">
        <v>35</v>
      </c>
      <c r="D322" s="2" t="s">
        <v>1235</v>
      </c>
      <c r="E322" s="2" t="s">
        <v>35</v>
      </c>
      <c r="F322" s="2" t="s">
        <v>37</v>
      </c>
      <c r="G322" s="2" t="s">
        <v>1236</v>
      </c>
      <c r="H322" s="2" t="s">
        <v>1237</v>
      </c>
      <c r="I322" s="2" t="s">
        <v>12</v>
      </c>
      <c r="J322" s="2" t="s">
        <v>40</v>
      </c>
      <c r="K322" s="2" t="s">
        <v>1238</v>
      </c>
      <c r="L322" s="2" t="s">
        <v>42</v>
      </c>
      <c r="M322" s="2" t="s">
        <v>515</v>
      </c>
      <c r="N322" s="2" t="s">
        <v>35</v>
      </c>
      <c r="O322" s="2" t="s">
        <v>787</v>
      </c>
      <c r="P322" s="2" t="s">
        <v>35</v>
      </c>
      <c r="Q322" s="2" t="s">
        <v>35</v>
      </c>
    </row>
    <row r="323" spans="1:17" ht="115.2">
      <c r="A323" s="8" t="str">
        <f>HYPERLINK("http://sipi.sic.gov.co/sipi/View.ashx?4232102","SD2022/0063274")</f>
        <v>SD2022/0063274</v>
      </c>
      <c r="B323" s="2" t="s">
        <v>1239</v>
      </c>
      <c r="C323" s="7" t="s">
        <v>35</v>
      </c>
      <c r="D323" s="2" t="s">
        <v>1228</v>
      </c>
      <c r="E323" s="2" t="s">
        <v>35</v>
      </c>
      <c r="F323" s="2" t="s">
        <v>37</v>
      </c>
      <c r="G323" s="2" t="s">
        <v>1239</v>
      </c>
      <c r="H323" s="2" t="s">
        <v>1240</v>
      </c>
      <c r="I323" s="2" t="s">
        <v>12</v>
      </c>
      <c r="J323" s="2" t="s">
        <v>40</v>
      </c>
      <c r="K323" s="2" t="s">
        <v>1241</v>
      </c>
      <c r="L323" s="2" t="s">
        <v>42</v>
      </c>
      <c r="M323" s="2" t="s">
        <v>1242</v>
      </c>
      <c r="N323" s="2" t="s">
        <v>35</v>
      </c>
      <c r="O323" s="2" t="s">
        <v>649</v>
      </c>
      <c r="P323" s="2" t="s">
        <v>35</v>
      </c>
      <c r="Q323" s="2" t="s">
        <v>35</v>
      </c>
    </row>
    <row r="324" spans="1:17" ht="144">
      <c r="A324" s="8" t="str">
        <f>HYPERLINK("http://sipi.sic.gov.co/sipi/View.ashx?4232760","SD2022/0063488")</f>
        <v>SD2022/0063488</v>
      </c>
      <c r="B324" s="2" t="s">
        <v>1243</v>
      </c>
      <c r="C324" s="2" t="s">
        <v>35</v>
      </c>
      <c r="D324" s="2" t="s">
        <v>1228</v>
      </c>
      <c r="E324" s="2" t="s">
        <v>35</v>
      </c>
      <c r="F324" s="2" t="s">
        <v>37</v>
      </c>
      <c r="G324" s="2" t="s">
        <v>1244</v>
      </c>
      <c r="H324" s="2" t="s">
        <v>1245</v>
      </c>
      <c r="I324" s="2" t="s">
        <v>12</v>
      </c>
      <c r="J324" s="2" t="s">
        <v>40</v>
      </c>
      <c r="K324" s="2" t="s">
        <v>1246</v>
      </c>
      <c r="L324" s="2" t="s">
        <v>42</v>
      </c>
      <c r="M324" s="2" t="s">
        <v>482</v>
      </c>
      <c r="N324" s="2" t="s">
        <v>35</v>
      </c>
      <c r="O324" s="2" t="s">
        <v>198</v>
      </c>
      <c r="P324" s="2" t="s">
        <v>35</v>
      </c>
      <c r="Q324" s="2" t="s">
        <v>35</v>
      </c>
    </row>
    <row r="325" spans="1:17" ht="144">
      <c r="A325" s="8" t="str">
        <f>HYPERLINK("http://sipi.sic.gov.co/sipi/View.ashx?4232891","SD2022/0063524")</f>
        <v>SD2022/0063524</v>
      </c>
      <c r="B325" s="2" t="s">
        <v>1247</v>
      </c>
      <c r="C325" s="2" t="s">
        <v>35</v>
      </c>
      <c r="D325" s="2" t="s">
        <v>1228</v>
      </c>
      <c r="E325" s="2" t="s">
        <v>35</v>
      </c>
      <c r="F325" s="2" t="s">
        <v>37</v>
      </c>
      <c r="G325" s="2" t="s">
        <v>464</v>
      </c>
      <c r="H325" s="2" t="s">
        <v>1248</v>
      </c>
      <c r="I325" s="2" t="s">
        <v>12</v>
      </c>
      <c r="J325" s="2" t="s">
        <v>40</v>
      </c>
      <c r="K325" s="2" t="s">
        <v>1249</v>
      </c>
      <c r="L325" s="2" t="s">
        <v>42</v>
      </c>
      <c r="M325" s="2" t="s">
        <v>110</v>
      </c>
      <c r="N325" s="2" t="s">
        <v>35</v>
      </c>
      <c r="O325" s="2" t="s">
        <v>595</v>
      </c>
      <c r="P325" s="2" t="s">
        <v>35</v>
      </c>
      <c r="Q325" s="2" t="s">
        <v>35</v>
      </c>
    </row>
    <row r="326" spans="1:17" ht="144">
      <c r="A326" s="8" t="str">
        <f>HYPERLINK("http://sipi.sic.gov.co/sipi/View.ashx?4233129","SD2022/0063598")</f>
        <v>SD2022/0063598</v>
      </c>
      <c r="B326" s="2" t="s">
        <v>1250</v>
      </c>
      <c r="C326" s="2" t="s">
        <v>35</v>
      </c>
      <c r="D326" s="2" t="s">
        <v>1228</v>
      </c>
      <c r="E326" s="2" t="s">
        <v>35</v>
      </c>
      <c r="F326" s="2" t="s">
        <v>37</v>
      </c>
      <c r="G326" s="2" t="s">
        <v>1251</v>
      </c>
      <c r="H326" s="2" t="s">
        <v>1245</v>
      </c>
      <c r="I326" s="2" t="s">
        <v>12</v>
      </c>
      <c r="J326" s="2" t="s">
        <v>40</v>
      </c>
      <c r="K326" s="2" t="s">
        <v>1246</v>
      </c>
      <c r="L326" s="2" t="s">
        <v>42</v>
      </c>
      <c r="M326" s="2" t="s">
        <v>482</v>
      </c>
      <c r="N326" s="2" t="s">
        <v>35</v>
      </c>
      <c r="O326" s="2" t="s">
        <v>198</v>
      </c>
      <c r="P326" s="2" t="s">
        <v>35</v>
      </c>
      <c r="Q326" s="2" t="s">
        <v>35</v>
      </c>
    </row>
    <row r="327" spans="1:17" ht="201.6">
      <c r="A327" s="8" t="str">
        <f>HYPERLINK("http://sipi.sic.gov.co/sipi/View.ashx?4233236","SD2022/0063726")</f>
        <v>SD2022/0063726</v>
      </c>
      <c r="B327" s="2" t="s">
        <v>1252</v>
      </c>
      <c r="C327" s="7" t="s">
        <v>35</v>
      </c>
      <c r="D327" s="2" t="s">
        <v>1228</v>
      </c>
      <c r="E327" s="2" t="s">
        <v>35</v>
      </c>
      <c r="F327" s="2" t="s">
        <v>37</v>
      </c>
      <c r="G327" s="2" t="s">
        <v>35</v>
      </c>
      <c r="H327" s="2" t="s">
        <v>1253</v>
      </c>
      <c r="I327" s="2" t="s">
        <v>61</v>
      </c>
      <c r="J327" s="2" t="s">
        <v>40</v>
      </c>
      <c r="K327" s="2" t="s">
        <v>686</v>
      </c>
      <c r="L327" s="2" t="s">
        <v>42</v>
      </c>
      <c r="M327" s="2" t="s">
        <v>1254</v>
      </c>
      <c r="N327" s="2" t="s">
        <v>35</v>
      </c>
      <c r="O327" s="2" t="s">
        <v>268</v>
      </c>
      <c r="P327" s="2" t="s">
        <v>35</v>
      </c>
      <c r="Q327" s="2" t="s">
        <v>35</v>
      </c>
    </row>
    <row r="328" spans="1:17" ht="201.6">
      <c r="A328" s="8" t="str">
        <f>HYPERLINK("http://sipi.sic.gov.co/sipi/View.ashx?4233256","SD2022/0063632")</f>
        <v>SD2022/0063632</v>
      </c>
      <c r="B328" s="2" t="s">
        <v>1255</v>
      </c>
      <c r="C328" s="7" t="s">
        <v>35</v>
      </c>
      <c r="D328" s="2" t="s">
        <v>1228</v>
      </c>
      <c r="E328" s="2" t="s">
        <v>35</v>
      </c>
      <c r="F328" s="2" t="s">
        <v>37</v>
      </c>
      <c r="G328" s="2" t="s">
        <v>35</v>
      </c>
      <c r="H328" s="2" t="s">
        <v>1253</v>
      </c>
      <c r="I328" s="2" t="s">
        <v>61</v>
      </c>
      <c r="J328" s="2" t="s">
        <v>40</v>
      </c>
      <c r="K328" s="2" t="s">
        <v>686</v>
      </c>
      <c r="L328" s="2" t="s">
        <v>42</v>
      </c>
      <c r="M328" s="2" t="s">
        <v>1254</v>
      </c>
      <c r="N328" s="2" t="s">
        <v>35</v>
      </c>
      <c r="O328" s="2" t="s">
        <v>268</v>
      </c>
      <c r="P328" s="2" t="s">
        <v>35</v>
      </c>
      <c r="Q328" s="2" t="s">
        <v>35</v>
      </c>
    </row>
    <row r="329" spans="1:17" ht="201.6">
      <c r="A329" s="8" t="str">
        <f>HYPERLINK("http://sipi.sic.gov.co/sipi/View.ashx?4233273","SD2022/0063729")</f>
        <v>SD2022/0063729</v>
      </c>
      <c r="B329" s="2" t="s">
        <v>1256</v>
      </c>
      <c r="C329" s="7" t="s">
        <v>35</v>
      </c>
      <c r="D329" s="2" t="s">
        <v>1228</v>
      </c>
      <c r="E329" s="2" t="s">
        <v>35</v>
      </c>
      <c r="F329" s="2" t="s">
        <v>37</v>
      </c>
      <c r="G329" s="2" t="s">
        <v>35</v>
      </c>
      <c r="H329" s="2" t="s">
        <v>1253</v>
      </c>
      <c r="I329" s="2" t="s">
        <v>61</v>
      </c>
      <c r="J329" s="2" t="s">
        <v>40</v>
      </c>
      <c r="K329" s="2" t="s">
        <v>686</v>
      </c>
      <c r="L329" s="2" t="s">
        <v>55</v>
      </c>
      <c r="M329" s="2" t="s">
        <v>1254</v>
      </c>
      <c r="N329" s="2" t="s">
        <v>35</v>
      </c>
      <c r="O329" s="2" t="s">
        <v>268</v>
      </c>
      <c r="P329" s="2" t="s">
        <v>35</v>
      </c>
      <c r="Q329" s="2" t="s">
        <v>35</v>
      </c>
    </row>
    <row r="330" spans="1:17" ht="201.6">
      <c r="A330" s="8" t="str">
        <f>HYPERLINK("http://sipi.sic.gov.co/sipi/View.ashx?4233540","SD2022/0063715")</f>
        <v>SD2022/0063715</v>
      </c>
      <c r="B330" s="2" t="s">
        <v>1257</v>
      </c>
      <c r="C330" s="7" t="s">
        <v>35</v>
      </c>
      <c r="D330" s="2" t="s">
        <v>1228</v>
      </c>
      <c r="E330" s="2" t="s">
        <v>35</v>
      </c>
      <c r="F330" s="2" t="s">
        <v>37</v>
      </c>
      <c r="G330" s="2" t="s">
        <v>35</v>
      </c>
      <c r="H330" s="2" t="s">
        <v>1253</v>
      </c>
      <c r="I330" s="2" t="s">
        <v>61</v>
      </c>
      <c r="J330" s="2" t="s">
        <v>40</v>
      </c>
      <c r="K330" s="2" t="s">
        <v>686</v>
      </c>
      <c r="L330" s="2" t="s">
        <v>42</v>
      </c>
      <c r="M330" s="2" t="s">
        <v>1254</v>
      </c>
      <c r="N330" s="2" t="s">
        <v>35</v>
      </c>
      <c r="O330" s="2" t="s">
        <v>704</v>
      </c>
      <c r="P330" s="2" t="s">
        <v>35</v>
      </c>
      <c r="Q330" s="2" t="s">
        <v>35</v>
      </c>
    </row>
    <row r="331" spans="1:17" ht="144">
      <c r="A331" s="8" t="str">
        <f>HYPERLINK("http://sipi.sic.gov.co/sipi/View.ashx?4233541","SD2022/0063718")</f>
        <v>SD2022/0063718</v>
      </c>
      <c r="B331" s="2" t="s">
        <v>1258</v>
      </c>
      <c r="C331" s="2" t="s">
        <v>35</v>
      </c>
      <c r="D331" s="2" t="s">
        <v>1228</v>
      </c>
      <c r="E331" s="2" t="s">
        <v>35</v>
      </c>
      <c r="F331" s="2" t="s">
        <v>37</v>
      </c>
      <c r="G331" s="2" t="s">
        <v>35</v>
      </c>
      <c r="H331" s="2" t="s">
        <v>1224</v>
      </c>
      <c r="I331" s="2" t="s">
        <v>12</v>
      </c>
      <c r="J331" s="2" t="s">
        <v>40</v>
      </c>
      <c r="K331" s="2" t="s">
        <v>1225</v>
      </c>
      <c r="L331" s="2" t="s">
        <v>55</v>
      </c>
      <c r="M331" s="2" t="s">
        <v>1226</v>
      </c>
      <c r="N331" s="2" t="s">
        <v>35</v>
      </c>
      <c r="O331" s="2" t="s">
        <v>649</v>
      </c>
      <c r="P331" s="2" t="s">
        <v>35</v>
      </c>
      <c r="Q331" s="2" t="s">
        <v>35</v>
      </c>
    </row>
    <row r="332" spans="1:17" ht="144">
      <c r="A332" s="8" t="str">
        <f>HYPERLINK("http://sipi.sic.gov.co/sipi/View.ashx?4234217","SD2022/0063880")</f>
        <v>SD2022/0063880</v>
      </c>
      <c r="B332" s="2" t="s">
        <v>1259</v>
      </c>
      <c r="C332" s="2" t="s">
        <v>35</v>
      </c>
      <c r="D332" s="2" t="s">
        <v>1217</v>
      </c>
      <c r="E332" s="2" t="s">
        <v>35</v>
      </c>
      <c r="F332" s="2" t="s">
        <v>37</v>
      </c>
      <c r="G332" s="2" t="s">
        <v>35</v>
      </c>
      <c r="H332" s="2" t="s">
        <v>1224</v>
      </c>
      <c r="I332" s="2" t="s">
        <v>12</v>
      </c>
      <c r="J332" s="2" t="s">
        <v>40</v>
      </c>
      <c r="K332" s="2" t="s">
        <v>1225</v>
      </c>
      <c r="L332" s="2" t="s">
        <v>55</v>
      </c>
      <c r="M332" s="2" t="s">
        <v>1226</v>
      </c>
      <c r="N332" s="2" t="s">
        <v>35</v>
      </c>
      <c r="O332" s="2" t="s">
        <v>649</v>
      </c>
      <c r="P332" s="2" t="s">
        <v>35</v>
      </c>
      <c r="Q332" s="2" t="s">
        <v>35</v>
      </c>
    </row>
    <row r="333" spans="1:17" ht="144">
      <c r="A333" s="8" t="str">
        <f>HYPERLINK("http://sipi.sic.gov.co/sipi/View.ashx?4234384","SD2022/0063919")</f>
        <v>SD2022/0063919</v>
      </c>
      <c r="B333" s="2" t="s">
        <v>1260</v>
      </c>
      <c r="C333" s="2" t="s">
        <v>35</v>
      </c>
      <c r="D333" s="2" t="s">
        <v>1217</v>
      </c>
      <c r="E333" s="2" t="s">
        <v>35</v>
      </c>
      <c r="F333" s="2" t="s">
        <v>37</v>
      </c>
      <c r="G333" s="2" t="s">
        <v>35</v>
      </c>
      <c r="H333" s="2" t="s">
        <v>1224</v>
      </c>
      <c r="I333" s="2" t="s">
        <v>12</v>
      </c>
      <c r="J333" s="2" t="s">
        <v>40</v>
      </c>
      <c r="K333" s="2" t="s">
        <v>1225</v>
      </c>
      <c r="L333" s="2" t="s">
        <v>42</v>
      </c>
      <c r="M333" s="2" t="s">
        <v>1226</v>
      </c>
      <c r="N333" s="2" t="s">
        <v>35</v>
      </c>
      <c r="O333" s="2" t="s">
        <v>649</v>
      </c>
      <c r="P333" s="2" t="s">
        <v>35</v>
      </c>
      <c r="Q333" s="2" t="s">
        <v>35</v>
      </c>
    </row>
    <row r="334" spans="1:17" ht="187.2">
      <c r="A334" s="8" t="str">
        <f>HYPERLINK("http://sipi.sic.gov.co/sipi/View.ashx?4234416","SD2022/0063926")</f>
        <v>SD2022/0063926</v>
      </c>
      <c r="B334" s="2" t="s">
        <v>1261</v>
      </c>
      <c r="C334" s="7" t="s">
        <v>35</v>
      </c>
      <c r="D334" s="2" t="s">
        <v>1217</v>
      </c>
      <c r="E334" s="2" t="s">
        <v>35</v>
      </c>
      <c r="F334" s="2" t="s">
        <v>37</v>
      </c>
      <c r="G334" s="2" t="s">
        <v>1262</v>
      </c>
      <c r="H334" s="2" t="s">
        <v>1263</v>
      </c>
      <c r="I334" s="2" t="s">
        <v>12</v>
      </c>
      <c r="J334" s="2" t="s">
        <v>40</v>
      </c>
      <c r="K334" s="2" t="s">
        <v>41</v>
      </c>
      <c r="L334" s="2" t="s">
        <v>42</v>
      </c>
      <c r="M334" s="2" t="s">
        <v>252</v>
      </c>
      <c r="N334" s="2" t="s">
        <v>35</v>
      </c>
      <c r="O334" s="2" t="s">
        <v>198</v>
      </c>
      <c r="P334" s="2" t="s">
        <v>35</v>
      </c>
      <c r="Q334" s="2" t="s">
        <v>35</v>
      </c>
    </row>
    <row r="335" spans="1:17" ht="187.2">
      <c r="A335" s="8" t="str">
        <f>HYPERLINK("http://sipi.sic.gov.co/sipi/View.ashx?4234632","SD2022/0063977")</f>
        <v>SD2022/0063977</v>
      </c>
      <c r="B335" s="2" t="s">
        <v>1264</v>
      </c>
      <c r="C335" s="7" t="s">
        <v>35</v>
      </c>
      <c r="D335" s="2" t="s">
        <v>1217</v>
      </c>
      <c r="E335" s="2" t="s">
        <v>35</v>
      </c>
      <c r="F335" s="2" t="s">
        <v>37</v>
      </c>
      <c r="G335" s="2" t="s">
        <v>1265</v>
      </c>
      <c r="H335" s="2" t="s">
        <v>1266</v>
      </c>
      <c r="I335" s="2" t="s">
        <v>12</v>
      </c>
      <c r="J335" s="2" t="s">
        <v>40</v>
      </c>
      <c r="K335" s="2" t="s">
        <v>1267</v>
      </c>
      <c r="L335" s="2" t="s">
        <v>55</v>
      </c>
      <c r="M335" s="2" t="s">
        <v>1268</v>
      </c>
      <c r="N335" s="2" t="s">
        <v>35</v>
      </c>
      <c r="O335" s="2" t="s">
        <v>649</v>
      </c>
      <c r="P335" s="2" t="s">
        <v>35</v>
      </c>
      <c r="Q335" s="2" t="s">
        <v>35</v>
      </c>
    </row>
    <row r="336" spans="1:17" ht="144">
      <c r="A336" s="8" t="str">
        <f>HYPERLINK("http://sipi.sic.gov.co/sipi/View.ashx?4235498","SD2022/0064222")</f>
        <v>SD2022/0064222</v>
      </c>
      <c r="B336" s="2" t="s">
        <v>1269</v>
      </c>
      <c r="C336" s="2" t="s">
        <v>35</v>
      </c>
      <c r="D336" s="2" t="s">
        <v>1217</v>
      </c>
      <c r="E336" s="2" t="s">
        <v>35</v>
      </c>
      <c r="F336" s="2" t="s">
        <v>37</v>
      </c>
      <c r="G336" s="2" t="s">
        <v>35</v>
      </c>
      <c r="H336" s="2" t="s">
        <v>1224</v>
      </c>
      <c r="I336" s="2" t="s">
        <v>12</v>
      </c>
      <c r="J336" s="2" t="s">
        <v>40</v>
      </c>
      <c r="K336" s="2" t="s">
        <v>1225</v>
      </c>
      <c r="L336" s="2" t="s">
        <v>42</v>
      </c>
      <c r="M336" s="2" t="s">
        <v>1226</v>
      </c>
      <c r="N336" s="2" t="s">
        <v>35</v>
      </c>
      <c r="O336" s="2" t="s">
        <v>649</v>
      </c>
      <c r="P336" s="2" t="s">
        <v>35</v>
      </c>
      <c r="Q336" s="2" t="s">
        <v>35</v>
      </c>
    </row>
    <row r="337" spans="1:17" ht="144">
      <c r="A337" s="8" t="str">
        <f>HYPERLINK("http://sipi.sic.gov.co/sipi/View.ashx?4235525","SD2022/0064231")</f>
        <v>SD2022/0064231</v>
      </c>
      <c r="B337" s="2" t="s">
        <v>1270</v>
      </c>
      <c r="C337" s="2" t="s">
        <v>35</v>
      </c>
      <c r="D337" s="2" t="s">
        <v>1217</v>
      </c>
      <c r="E337" s="2" t="s">
        <v>35</v>
      </c>
      <c r="F337" s="2" t="s">
        <v>37</v>
      </c>
      <c r="G337" s="2" t="s">
        <v>35</v>
      </c>
      <c r="H337" s="2" t="s">
        <v>1224</v>
      </c>
      <c r="I337" s="2" t="s">
        <v>12</v>
      </c>
      <c r="J337" s="2" t="s">
        <v>40</v>
      </c>
      <c r="K337" s="2" t="s">
        <v>1225</v>
      </c>
      <c r="L337" s="2" t="s">
        <v>42</v>
      </c>
      <c r="M337" s="2" t="s">
        <v>1226</v>
      </c>
      <c r="N337" s="2" t="s">
        <v>35</v>
      </c>
      <c r="O337" s="2" t="s">
        <v>649</v>
      </c>
      <c r="P337" s="2" t="s">
        <v>35</v>
      </c>
      <c r="Q337" s="2" t="s">
        <v>35</v>
      </c>
    </row>
    <row r="338" spans="1:17" ht="144">
      <c r="A338" s="8" t="str">
        <f>HYPERLINK("http://sipi.sic.gov.co/sipi/View.ashx?4235533","SD2022/0064233")</f>
        <v>SD2022/0064233</v>
      </c>
      <c r="B338" s="2" t="s">
        <v>1271</v>
      </c>
      <c r="C338" s="2" t="s">
        <v>35</v>
      </c>
      <c r="D338" s="2" t="s">
        <v>1217</v>
      </c>
      <c r="E338" s="2" t="s">
        <v>35</v>
      </c>
      <c r="F338" s="2" t="s">
        <v>37</v>
      </c>
      <c r="G338" s="2" t="s">
        <v>35</v>
      </c>
      <c r="H338" s="2" t="s">
        <v>1224</v>
      </c>
      <c r="I338" s="2" t="s">
        <v>12</v>
      </c>
      <c r="J338" s="2" t="s">
        <v>40</v>
      </c>
      <c r="K338" s="2" t="s">
        <v>1225</v>
      </c>
      <c r="L338" s="2" t="s">
        <v>42</v>
      </c>
      <c r="M338" s="2" t="s">
        <v>1226</v>
      </c>
      <c r="N338" s="2" t="s">
        <v>35</v>
      </c>
      <c r="O338" s="2" t="s">
        <v>649</v>
      </c>
      <c r="P338" s="2" t="s">
        <v>35</v>
      </c>
      <c r="Q338" s="2" t="s">
        <v>35</v>
      </c>
    </row>
    <row r="339" spans="1:17" ht="187.2">
      <c r="A339" s="8" t="str">
        <f>HYPERLINK("http://sipi.sic.gov.co/sipi/View.ashx?4236277","SD2022/0064315")</f>
        <v>SD2022/0064315</v>
      </c>
      <c r="B339" s="2" t="s">
        <v>1272</v>
      </c>
      <c r="C339" s="7" t="s">
        <v>35</v>
      </c>
      <c r="D339" s="2" t="s">
        <v>1273</v>
      </c>
      <c r="E339" s="2" t="s">
        <v>35</v>
      </c>
      <c r="F339" s="2" t="s">
        <v>37</v>
      </c>
      <c r="G339" s="2" t="s">
        <v>1274</v>
      </c>
      <c r="H339" s="2" t="s">
        <v>1275</v>
      </c>
      <c r="I339" s="2" t="s">
        <v>12</v>
      </c>
      <c r="J339" s="2" t="s">
        <v>40</v>
      </c>
      <c r="K339" s="2" t="s">
        <v>1276</v>
      </c>
      <c r="L339" s="2" t="s">
        <v>55</v>
      </c>
      <c r="M339" s="2" t="s">
        <v>1277</v>
      </c>
      <c r="N339" s="2" t="s">
        <v>35</v>
      </c>
      <c r="O339" s="2" t="s">
        <v>595</v>
      </c>
      <c r="P339" s="2" t="s">
        <v>35</v>
      </c>
      <c r="Q339" s="2" t="s">
        <v>35</v>
      </c>
    </row>
    <row r="340" spans="1:17" ht="129.6">
      <c r="A340" s="8" t="str">
        <f>HYPERLINK("http://sipi.sic.gov.co/sipi/View.ashx?4236797","SD2022/0064450")</f>
        <v>SD2022/0064450</v>
      </c>
      <c r="B340" s="2" t="s">
        <v>1278</v>
      </c>
      <c r="C340" s="2" t="s">
        <v>35</v>
      </c>
      <c r="D340" s="2" t="s">
        <v>1279</v>
      </c>
      <c r="E340" s="2" t="s">
        <v>35</v>
      </c>
      <c r="F340" s="2" t="s">
        <v>37</v>
      </c>
      <c r="G340" s="2" t="s">
        <v>35</v>
      </c>
      <c r="H340" s="2" t="s">
        <v>1280</v>
      </c>
      <c r="I340" s="2" t="s">
        <v>12</v>
      </c>
      <c r="J340" s="2" t="s">
        <v>40</v>
      </c>
      <c r="K340" s="2" t="s">
        <v>41</v>
      </c>
      <c r="L340" s="2" t="s">
        <v>42</v>
      </c>
      <c r="M340" s="2" t="s">
        <v>1281</v>
      </c>
      <c r="N340" s="2" t="s">
        <v>35</v>
      </c>
      <c r="O340" s="2" t="s">
        <v>555</v>
      </c>
      <c r="P340" s="2" t="s">
        <v>35</v>
      </c>
      <c r="Q340" s="2" t="s">
        <v>35</v>
      </c>
    </row>
    <row r="341" spans="1:17" ht="100.8">
      <c r="A341" s="8" t="str">
        <f>HYPERLINK("http://sipi.sic.gov.co/sipi/View.ashx?4238204","SD2022/0064887")</f>
        <v>SD2022/0064887</v>
      </c>
      <c r="B341" s="2" t="s">
        <v>1282</v>
      </c>
      <c r="C341" s="7" t="s">
        <v>35</v>
      </c>
      <c r="D341" s="2" t="s">
        <v>1235</v>
      </c>
      <c r="E341" s="2" t="s">
        <v>35</v>
      </c>
      <c r="F341" s="2" t="s">
        <v>37</v>
      </c>
      <c r="G341" s="2" t="s">
        <v>1283</v>
      </c>
      <c r="H341" s="2" t="s">
        <v>1284</v>
      </c>
      <c r="I341" s="2" t="s">
        <v>61</v>
      </c>
      <c r="J341" s="2" t="s">
        <v>40</v>
      </c>
      <c r="K341" s="2" t="s">
        <v>1285</v>
      </c>
      <c r="L341" s="2" t="s">
        <v>42</v>
      </c>
      <c r="M341" s="2" t="s">
        <v>440</v>
      </c>
      <c r="N341" s="2" t="s">
        <v>35</v>
      </c>
      <c r="O341" s="2" t="s">
        <v>1286</v>
      </c>
      <c r="P341" s="2" t="s">
        <v>35</v>
      </c>
      <c r="Q341" s="2" t="s">
        <v>35</v>
      </c>
    </row>
    <row r="342" spans="1:17" ht="57.6">
      <c r="A342" s="8" t="str">
        <f>HYPERLINK("http://sipi.sic.gov.co/sipi/View.ashx?4242369","SD2022/0066149")</f>
        <v>SD2022/0066149</v>
      </c>
      <c r="B342" s="2" t="s">
        <v>1287</v>
      </c>
      <c r="C342" s="2" t="s">
        <v>35</v>
      </c>
      <c r="D342" s="2" t="s">
        <v>649</v>
      </c>
      <c r="E342" s="2" t="s">
        <v>35</v>
      </c>
      <c r="F342" s="2" t="s">
        <v>37</v>
      </c>
      <c r="G342" s="2" t="s">
        <v>1287</v>
      </c>
      <c r="H342" s="2" t="s">
        <v>1288</v>
      </c>
      <c r="I342" s="2" t="s">
        <v>12</v>
      </c>
      <c r="J342" s="2" t="s">
        <v>40</v>
      </c>
      <c r="K342" s="2" t="s">
        <v>1289</v>
      </c>
      <c r="L342" s="2" t="s">
        <v>42</v>
      </c>
      <c r="M342" s="2" t="s">
        <v>35</v>
      </c>
      <c r="N342" s="2" t="s">
        <v>35</v>
      </c>
      <c r="O342" s="2" t="s">
        <v>268</v>
      </c>
      <c r="P342" s="2" t="s">
        <v>35</v>
      </c>
      <c r="Q342" s="2" t="s">
        <v>35</v>
      </c>
    </row>
    <row r="343" spans="1:17" ht="100.8">
      <c r="A343" s="8" t="str">
        <f>HYPERLINK("http://sipi.sic.gov.co/sipi/View.ashx?4242634","SD2022/0066236")</f>
        <v>SD2022/0066236</v>
      </c>
      <c r="B343" s="2" t="s">
        <v>1290</v>
      </c>
      <c r="C343" s="2" t="s">
        <v>35</v>
      </c>
      <c r="D343" s="2" t="s">
        <v>649</v>
      </c>
      <c r="E343" s="2" t="s">
        <v>35</v>
      </c>
      <c r="F343" s="2" t="s">
        <v>37</v>
      </c>
      <c r="G343" s="2" t="s">
        <v>35</v>
      </c>
      <c r="H343" s="2" t="s">
        <v>1291</v>
      </c>
      <c r="I343" s="2" t="s">
        <v>12</v>
      </c>
      <c r="J343" s="2" t="s">
        <v>40</v>
      </c>
      <c r="K343" s="2" t="s">
        <v>380</v>
      </c>
      <c r="L343" s="2" t="s">
        <v>42</v>
      </c>
      <c r="M343" s="2" t="s">
        <v>1292</v>
      </c>
      <c r="N343" s="2" t="s">
        <v>35</v>
      </c>
      <c r="O343" s="2" t="s">
        <v>123</v>
      </c>
      <c r="P343" s="2" t="s">
        <v>35</v>
      </c>
      <c r="Q343" s="2" t="s">
        <v>35</v>
      </c>
    </row>
    <row r="344" spans="1:17" ht="230.4">
      <c r="A344" s="8" t="str">
        <f>HYPERLINK("http://sipi.sic.gov.co/sipi/View.ashx?4244447","SD2022/0066692")</f>
        <v>SD2022/0066692</v>
      </c>
      <c r="B344" s="2" t="s">
        <v>1293</v>
      </c>
      <c r="C344" s="7" t="s">
        <v>35</v>
      </c>
      <c r="D344" s="2" t="s">
        <v>1294</v>
      </c>
      <c r="E344" s="2" t="s">
        <v>35</v>
      </c>
      <c r="F344" s="2" t="s">
        <v>37</v>
      </c>
      <c r="G344" s="2" t="s">
        <v>1295</v>
      </c>
      <c r="H344" s="2" t="s">
        <v>1284</v>
      </c>
      <c r="I344" s="2" t="s">
        <v>61</v>
      </c>
      <c r="J344" s="2" t="s">
        <v>40</v>
      </c>
      <c r="K344" s="2" t="s">
        <v>1296</v>
      </c>
      <c r="L344" s="2" t="s">
        <v>42</v>
      </c>
      <c r="M344" s="2" t="s">
        <v>440</v>
      </c>
      <c r="N344" s="2" t="s">
        <v>35</v>
      </c>
      <c r="O344" s="2" t="s">
        <v>558</v>
      </c>
      <c r="P344" s="2" t="s">
        <v>35</v>
      </c>
      <c r="Q344" s="2" t="s">
        <v>35</v>
      </c>
    </row>
    <row r="345" spans="1:17" ht="129.6">
      <c r="A345" s="8" t="str">
        <f>HYPERLINK("http://sipi.sic.gov.co/sipi/View.ashx?4244539","SD2022/0089644")</f>
        <v>SD2022/0089644</v>
      </c>
      <c r="B345" s="2" t="s">
        <v>1297</v>
      </c>
      <c r="C345" s="7" t="s">
        <v>35</v>
      </c>
      <c r="D345" s="2" t="s">
        <v>1298</v>
      </c>
      <c r="E345" s="2" t="s">
        <v>35</v>
      </c>
      <c r="F345" s="2" t="s">
        <v>37</v>
      </c>
      <c r="G345" s="2" t="s">
        <v>1299</v>
      </c>
      <c r="H345" s="2" t="s">
        <v>1300</v>
      </c>
      <c r="I345" s="2" t="s">
        <v>12</v>
      </c>
      <c r="J345" s="2" t="s">
        <v>40</v>
      </c>
      <c r="K345" s="2" t="s">
        <v>1301</v>
      </c>
      <c r="L345" s="2" t="s">
        <v>42</v>
      </c>
      <c r="M345" s="2" t="s">
        <v>1302</v>
      </c>
      <c r="N345" s="2" t="s">
        <v>35</v>
      </c>
      <c r="O345" s="2" t="s">
        <v>1303</v>
      </c>
      <c r="P345" s="2" t="s">
        <v>35</v>
      </c>
      <c r="Q345" s="2" t="s">
        <v>35</v>
      </c>
    </row>
    <row r="346" spans="1:17" ht="302.39999999999998">
      <c r="A346" s="8" t="str">
        <f>HYPERLINK("http://sipi.sic.gov.co/sipi/View.ashx?4244597","SD2022/0066737")</f>
        <v>SD2022/0066737</v>
      </c>
      <c r="B346" s="2" t="s">
        <v>1304</v>
      </c>
      <c r="C346" s="7" t="s">
        <v>35</v>
      </c>
      <c r="D346" s="2" t="s">
        <v>1294</v>
      </c>
      <c r="E346" s="2" t="s">
        <v>35</v>
      </c>
      <c r="F346" s="2" t="s">
        <v>37</v>
      </c>
      <c r="G346" s="2" t="s">
        <v>1305</v>
      </c>
      <c r="H346" s="2" t="s">
        <v>1306</v>
      </c>
      <c r="I346" s="2" t="s">
        <v>12</v>
      </c>
      <c r="J346" s="2" t="s">
        <v>40</v>
      </c>
      <c r="K346" s="2" t="s">
        <v>1307</v>
      </c>
      <c r="L346" s="2" t="s">
        <v>42</v>
      </c>
      <c r="M346" s="2" t="s">
        <v>1308</v>
      </c>
      <c r="N346" s="2" t="s">
        <v>35</v>
      </c>
      <c r="O346" s="2" t="s">
        <v>558</v>
      </c>
      <c r="P346" s="2" t="s">
        <v>35</v>
      </c>
      <c r="Q346" s="2" t="s">
        <v>35</v>
      </c>
    </row>
    <row r="347" spans="1:17" ht="187.2">
      <c r="A347" s="8" t="str">
        <f>HYPERLINK("http://sipi.sic.gov.co/sipi/View.ashx?4244707","SD2022/0070089")</f>
        <v>SD2022/0070089</v>
      </c>
      <c r="B347" s="2" t="s">
        <v>1309</v>
      </c>
      <c r="C347" s="7" t="s">
        <v>35</v>
      </c>
      <c r="D347" s="2" t="s">
        <v>1310</v>
      </c>
      <c r="E347" s="2" t="s">
        <v>35</v>
      </c>
      <c r="F347" s="2" t="s">
        <v>37</v>
      </c>
      <c r="G347" s="2" t="s">
        <v>1311</v>
      </c>
      <c r="H347" s="2" t="s">
        <v>1312</v>
      </c>
      <c r="I347" s="2" t="s">
        <v>120</v>
      </c>
      <c r="J347" s="2" t="s">
        <v>40</v>
      </c>
      <c r="K347" s="2" t="s">
        <v>1313</v>
      </c>
      <c r="L347" s="2" t="s">
        <v>55</v>
      </c>
      <c r="M347" s="2" t="s">
        <v>1314</v>
      </c>
      <c r="N347" s="2" t="s">
        <v>35</v>
      </c>
      <c r="O347" s="2" t="s">
        <v>1303</v>
      </c>
      <c r="P347" s="2" t="s">
        <v>35</v>
      </c>
      <c r="Q347" s="2" t="s">
        <v>35</v>
      </c>
    </row>
    <row r="348" spans="1:17" ht="158.4">
      <c r="A348" s="8" t="str">
        <f>HYPERLINK("http://sipi.sic.gov.co/sipi/View.ashx?4245519","SD2022/0066892")</f>
        <v>SD2022/0066892</v>
      </c>
      <c r="B348" s="2" t="s">
        <v>1315</v>
      </c>
      <c r="C348" s="7" t="s">
        <v>35</v>
      </c>
      <c r="D348" s="2" t="s">
        <v>1316</v>
      </c>
      <c r="E348" s="2" t="s">
        <v>35</v>
      </c>
      <c r="F348" s="2" t="s">
        <v>37</v>
      </c>
      <c r="G348" s="2" t="s">
        <v>1305</v>
      </c>
      <c r="H348" s="2" t="s">
        <v>1306</v>
      </c>
      <c r="I348" s="2" t="s">
        <v>12</v>
      </c>
      <c r="J348" s="2" t="s">
        <v>40</v>
      </c>
      <c r="K348" s="2" t="s">
        <v>1317</v>
      </c>
      <c r="L348" s="2" t="s">
        <v>42</v>
      </c>
      <c r="M348" s="2" t="s">
        <v>1308</v>
      </c>
      <c r="N348" s="2" t="s">
        <v>35</v>
      </c>
      <c r="O348" s="2" t="s">
        <v>268</v>
      </c>
      <c r="P348" s="2" t="s">
        <v>35</v>
      </c>
      <c r="Q348" s="2" t="s">
        <v>35</v>
      </c>
    </row>
    <row r="349" spans="1:17" ht="100.8">
      <c r="A349" s="8" t="str">
        <f>HYPERLINK("http://sipi.sic.gov.co/sipi/View.ashx?4248842","SD2022/0067655")</f>
        <v>SD2022/0067655</v>
      </c>
      <c r="B349" s="2" t="s">
        <v>1318</v>
      </c>
      <c r="C349" s="2" t="s">
        <v>35</v>
      </c>
      <c r="D349" s="2" t="s">
        <v>1319</v>
      </c>
      <c r="E349" s="2" t="s">
        <v>35</v>
      </c>
      <c r="F349" s="2" t="s">
        <v>37</v>
      </c>
      <c r="G349" s="2" t="s">
        <v>35</v>
      </c>
      <c r="H349" s="2" t="s">
        <v>1320</v>
      </c>
      <c r="I349" s="2" t="s">
        <v>12</v>
      </c>
      <c r="J349" s="2" t="s">
        <v>40</v>
      </c>
      <c r="K349" s="2" t="s">
        <v>1321</v>
      </c>
      <c r="L349" s="2" t="s">
        <v>42</v>
      </c>
      <c r="M349" s="2" t="s">
        <v>1322</v>
      </c>
      <c r="N349" s="2" t="s">
        <v>35</v>
      </c>
      <c r="O349" s="2" t="s">
        <v>224</v>
      </c>
      <c r="P349" s="2" t="s">
        <v>35</v>
      </c>
      <c r="Q349" s="2" t="s">
        <v>35</v>
      </c>
    </row>
    <row r="350" spans="1:17" ht="100.8">
      <c r="A350" s="8" t="str">
        <f>HYPERLINK("http://sipi.sic.gov.co/sipi/View.ashx?4249770","SD2022/0067911")</f>
        <v>SD2022/0067911</v>
      </c>
      <c r="B350" s="2" t="s">
        <v>1323</v>
      </c>
      <c r="C350" s="7" t="s">
        <v>35</v>
      </c>
      <c r="D350" s="2" t="s">
        <v>1324</v>
      </c>
      <c r="E350" s="2" t="s">
        <v>35</v>
      </c>
      <c r="F350" s="2" t="s">
        <v>37</v>
      </c>
      <c r="G350" s="2" t="s">
        <v>1323</v>
      </c>
      <c r="H350" s="2" t="s">
        <v>1325</v>
      </c>
      <c r="I350" s="2" t="s">
        <v>12</v>
      </c>
      <c r="J350" s="2" t="s">
        <v>40</v>
      </c>
      <c r="K350" s="2" t="s">
        <v>1326</v>
      </c>
      <c r="L350" s="2" t="s">
        <v>42</v>
      </c>
      <c r="M350" s="2" t="s">
        <v>612</v>
      </c>
      <c r="N350" s="2" t="s">
        <v>35</v>
      </c>
      <c r="O350" s="2" t="s">
        <v>224</v>
      </c>
      <c r="P350" s="2" t="s">
        <v>35</v>
      </c>
      <c r="Q350" s="2" t="s">
        <v>35</v>
      </c>
    </row>
    <row r="351" spans="1:17" ht="144">
      <c r="A351" s="8" t="str">
        <f>HYPERLINK("http://sipi.sic.gov.co/sipi/View.ashx?4250555","SD2022/0068364")</f>
        <v>SD2022/0068364</v>
      </c>
      <c r="B351" s="2" t="s">
        <v>1327</v>
      </c>
      <c r="C351" s="2" t="s">
        <v>35</v>
      </c>
      <c r="D351" s="2" t="s">
        <v>1324</v>
      </c>
      <c r="E351" s="2" t="s">
        <v>35</v>
      </c>
      <c r="F351" s="2" t="s">
        <v>37</v>
      </c>
      <c r="G351" s="2" t="s">
        <v>464</v>
      </c>
      <c r="H351" s="2" t="s">
        <v>1248</v>
      </c>
      <c r="I351" s="2" t="s">
        <v>12</v>
      </c>
      <c r="J351" s="2" t="s">
        <v>40</v>
      </c>
      <c r="K351" s="2" t="s">
        <v>1328</v>
      </c>
      <c r="L351" s="2" t="s">
        <v>42</v>
      </c>
      <c r="M351" s="2" t="s">
        <v>110</v>
      </c>
      <c r="N351" s="2" t="s">
        <v>35</v>
      </c>
      <c r="O351" s="2" t="s">
        <v>558</v>
      </c>
      <c r="P351" s="2" t="s">
        <v>35</v>
      </c>
      <c r="Q351" s="2" t="s">
        <v>35</v>
      </c>
    </row>
    <row r="352" spans="1:17" ht="144">
      <c r="A352" s="8" t="str">
        <f>HYPERLINK("http://sipi.sic.gov.co/sipi/View.ashx?4251082","SD2022/0068314")</f>
        <v>SD2022/0068314</v>
      </c>
      <c r="B352" s="2" t="s">
        <v>1329</v>
      </c>
      <c r="C352" s="7" t="s">
        <v>35</v>
      </c>
      <c r="D352" s="2" t="s">
        <v>1324</v>
      </c>
      <c r="E352" s="2" t="s">
        <v>35</v>
      </c>
      <c r="F352" s="2" t="s">
        <v>37</v>
      </c>
      <c r="G352" s="2" t="s">
        <v>1329</v>
      </c>
      <c r="H352" s="2" t="s">
        <v>1330</v>
      </c>
      <c r="I352" s="2" t="s">
        <v>12</v>
      </c>
      <c r="J352" s="2" t="s">
        <v>40</v>
      </c>
      <c r="K352" s="2" t="s">
        <v>1331</v>
      </c>
      <c r="L352" s="2" t="s">
        <v>55</v>
      </c>
      <c r="M352" s="2" t="s">
        <v>1332</v>
      </c>
      <c r="N352" s="2" t="s">
        <v>35</v>
      </c>
      <c r="O352" s="2" t="s">
        <v>787</v>
      </c>
      <c r="P352" s="2" t="s">
        <v>35</v>
      </c>
      <c r="Q352" s="2" t="s">
        <v>35</v>
      </c>
    </row>
    <row r="353" spans="1:17" ht="76.8">
      <c r="A353" s="8" t="str">
        <f>HYPERLINK("http://sipi.sic.gov.co/sipi/View.ashx?4252527","SD2022/0068776")</f>
        <v>SD2022/0068776</v>
      </c>
      <c r="B353" s="2" t="s">
        <v>1333</v>
      </c>
      <c r="C353" s="7" t="s">
        <v>35</v>
      </c>
      <c r="D353" s="2" t="s">
        <v>1324</v>
      </c>
      <c r="E353" s="2" t="s">
        <v>35</v>
      </c>
      <c r="F353" s="2" t="s">
        <v>37</v>
      </c>
      <c r="G353" s="2" t="s">
        <v>35</v>
      </c>
      <c r="H353" s="2" t="s">
        <v>1334</v>
      </c>
      <c r="I353" s="2" t="s">
        <v>12</v>
      </c>
      <c r="J353" s="2" t="s">
        <v>40</v>
      </c>
      <c r="K353" s="2" t="s">
        <v>1335</v>
      </c>
      <c r="L353" s="2" t="s">
        <v>42</v>
      </c>
      <c r="M353" s="2" t="s">
        <v>35</v>
      </c>
      <c r="N353" s="2" t="s">
        <v>35</v>
      </c>
      <c r="O353" s="2" t="s">
        <v>558</v>
      </c>
      <c r="P353" s="2" t="s">
        <v>35</v>
      </c>
      <c r="Q353" s="2" t="s">
        <v>35</v>
      </c>
    </row>
    <row r="354" spans="1:17" ht="144">
      <c r="A354" s="8" t="str">
        <f>HYPERLINK("http://sipi.sic.gov.co/sipi/View.ashx?4253145","SD2022/0068886")</f>
        <v>SD2022/0068886</v>
      </c>
      <c r="B354" s="2" t="s">
        <v>1336</v>
      </c>
      <c r="C354" s="7" t="s">
        <v>35</v>
      </c>
      <c r="D354" s="2" t="s">
        <v>123</v>
      </c>
      <c r="E354" s="2" t="s">
        <v>35</v>
      </c>
      <c r="F354" s="2" t="s">
        <v>37</v>
      </c>
      <c r="G354" s="2" t="s">
        <v>35</v>
      </c>
      <c r="H354" s="2" t="s">
        <v>1337</v>
      </c>
      <c r="I354" s="2" t="s">
        <v>12</v>
      </c>
      <c r="J354" s="2" t="s">
        <v>40</v>
      </c>
      <c r="K354" s="2" t="s">
        <v>1338</v>
      </c>
      <c r="L354" s="2" t="s">
        <v>42</v>
      </c>
      <c r="M354" s="2" t="s">
        <v>1339</v>
      </c>
      <c r="N354" s="2" t="s">
        <v>35</v>
      </c>
      <c r="O354" s="2" t="s">
        <v>555</v>
      </c>
      <c r="P354" s="2" t="s">
        <v>35</v>
      </c>
      <c r="Q354" s="2" t="s">
        <v>35</v>
      </c>
    </row>
    <row r="355" spans="1:17" ht="129.6">
      <c r="A355" s="8" t="str">
        <f>HYPERLINK("http://sipi.sic.gov.co/sipi/View.ashx?4254150","SD2022/0069166")</f>
        <v>SD2022/0069166</v>
      </c>
      <c r="B355" s="2" t="s">
        <v>1340</v>
      </c>
      <c r="C355" s="7" t="s">
        <v>35</v>
      </c>
      <c r="D355" s="2" t="s">
        <v>123</v>
      </c>
      <c r="E355" s="2" t="s">
        <v>35</v>
      </c>
      <c r="F355" s="2" t="s">
        <v>37</v>
      </c>
      <c r="G355" s="2" t="s">
        <v>1340</v>
      </c>
      <c r="H355" s="2" t="s">
        <v>784</v>
      </c>
      <c r="I355" s="2" t="s">
        <v>12</v>
      </c>
      <c r="J355" s="2" t="s">
        <v>40</v>
      </c>
      <c r="K355" s="2" t="s">
        <v>785</v>
      </c>
      <c r="L355" s="2" t="s">
        <v>42</v>
      </c>
      <c r="M355" s="2" t="s">
        <v>786</v>
      </c>
      <c r="N355" s="2" t="s">
        <v>35</v>
      </c>
      <c r="O355" s="2" t="s">
        <v>224</v>
      </c>
      <c r="P355" s="2" t="s">
        <v>35</v>
      </c>
      <c r="Q355" s="2" t="s">
        <v>35</v>
      </c>
    </row>
    <row r="356" spans="1:17" ht="158.4">
      <c r="A356" s="8" t="str">
        <f>HYPERLINK("http://sipi.sic.gov.co/sipi/View.ashx?4254333","SD2022/0069707")</f>
        <v>SD2022/0069707</v>
      </c>
      <c r="B356" s="2" t="s">
        <v>1341</v>
      </c>
      <c r="C356" s="7" t="s">
        <v>35</v>
      </c>
      <c r="D356" s="2" t="s">
        <v>1342</v>
      </c>
      <c r="E356" s="2" t="s">
        <v>35</v>
      </c>
      <c r="F356" s="2" t="s">
        <v>37</v>
      </c>
      <c r="G356" s="2" t="s">
        <v>1343</v>
      </c>
      <c r="H356" s="2" t="s">
        <v>1344</v>
      </c>
      <c r="I356" s="2" t="s">
        <v>12</v>
      </c>
      <c r="J356" s="2" t="s">
        <v>40</v>
      </c>
      <c r="K356" s="2" t="s">
        <v>1345</v>
      </c>
      <c r="L356" s="2" t="s">
        <v>42</v>
      </c>
      <c r="M356" s="2" t="s">
        <v>1346</v>
      </c>
      <c r="N356" s="2" t="s">
        <v>35</v>
      </c>
      <c r="O356" s="2" t="s">
        <v>493</v>
      </c>
      <c r="P356" s="2" t="s">
        <v>35</v>
      </c>
      <c r="Q356" s="2" t="s">
        <v>35</v>
      </c>
    </row>
    <row r="357" spans="1:17" ht="129.6">
      <c r="A357" s="8" t="str">
        <f>HYPERLINK("http://sipi.sic.gov.co/sipi/View.ashx?4254556","SD2022/0069292")</f>
        <v>SD2022/0069292</v>
      </c>
      <c r="B357" s="2" t="s">
        <v>1347</v>
      </c>
      <c r="C357" s="2" t="s">
        <v>35</v>
      </c>
      <c r="D357" s="2" t="s">
        <v>123</v>
      </c>
      <c r="E357" s="2" t="s">
        <v>35</v>
      </c>
      <c r="F357" s="2" t="s">
        <v>37</v>
      </c>
      <c r="G357" s="2" t="s">
        <v>35</v>
      </c>
      <c r="H357" s="2" t="s">
        <v>1348</v>
      </c>
      <c r="I357" s="2" t="s">
        <v>12</v>
      </c>
      <c r="J357" s="2" t="s">
        <v>40</v>
      </c>
      <c r="K357" s="2" t="s">
        <v>1349</v>
      </c>
      <c r="L357" s="2" t="s">
        <v>55</v>
      </c>
      <c r="M357" s="2" t="s">
        <v>371</v>
      </c>
      <c r="N357" s="2" t="s">
        <v>35</v>
      </c>
      <c r="O357" s="2" t="s">
        <v>580</v>
      </c>
      <c r="P357" s="2" t="s">
        <v>35</v>
      </c>
      <c r="Q357" s="2" t="s">
        <v>35</v>
      </c>
    </row>
    <row r="358" spans="1:17" ht="129.6">
      <c r="A358" s="8" t="str">
        <f>HYPERLINK("http://sipi.sic.gov.co/sipi/View.ashx?4254581","SD2022/0069304")</f>
        <v>SD2022/0069304</v>
      </c>
      <c r="B358" s="2" t="s">
        <v>1350</v>
      </c>
      <c r="C358" s="2" t="s">
        <v>35</v>
      </c>
      <c r="D358" s="2" t="s">
        <v>123</v>
      </c>
      <c r="E358" s="2" t="s">
        <v>35</v>
      </c>
      <c r="F358" s="2" t="s">
        <v>37</v>
      </c>
      <c r="G358" s="2" t="s">
        <v>35</v>
      </c>
      <c r="H358" s="2" t="s">
        <v>1348</v>
      </c>
      <c r="I358" s="2" t="s">
        <v>12</v>
      </c>
      <c r="J358" s="2" t="s">
        <v>40</v>
      </c>
      <c r="K358" s="2" t="s">
        <v>1349</v>
      </c>
      <c r="L358" s="2" t="s">
        <v>55</v>
      </c>
      <c r="M358" s="2" t="s">
        <v>371</v>
      </c>
      <c r="N358" s="2" t="s">
        <v>35</v>
      </c>
      <c r="O358" s="2" t="s">
        <v>555</v>
      </c>
      <c r="P358" s="2" t="s">
        <v>35</v>
      </c>
      <c r="Q358" s="2" t="s">
        <v>35</v>
      </c>
    </row>
    <row r="359" spans="1:17" ht="129.6">
      <c r="A359" s="8" t="str">
        <f>HYPERLINK("http://sipi.sic.gov.co/sipi/View.ashx?4260110","SD2022/0070590")</f>
        <v>SD2022/0070590</v>
      </c>
      <c r="B359" s="2" t="s">
        <v>1351</v>
      </c>
      <c r="C359" s="2" t="s">
        <v>35</v>
      </c>
      <c r="D359" s="2" t="s">
        <v>1352</v>
      </c>
      <c r="E359" s="2" t="s">
        <v>35</v>
      </c>
      <c r="F359" s="2" t="s">
        <v>37</v>
      </c>
      <c r="G359" s="2" t="s">
        <v>35</v>
      </c>
      <c r="H359" s="2" t="s">
        <v>793</v>
      </c>
      <c r="I359" s="2" t="s">
        <v>12</v>
      </c>
      <c r="J359" s="2" t="s">
        <v>40</v>
      </c>
      <c r="K359" s="2" t="s">
        <v>1353</v>
      </c>
      <c r="L359" s="2" t="s">
        <v>42</v>
      </c>
      <c r="M359" s="2" t="s">
        <v>795</v>
      </c>
      <c r="N359" s="2" t="s">
        <v>35</v>
      </c>
      <c r="O359" s="2" t="s">
        <v>704</v>
      </c>
      <c r="P359" s="2" t="s">
        <v>35</v>
      </c>
      <c r="Q359" s="2" t="s">
        <v>35</v>
      </c>
    </row>
    <row r="360" spans="1:17" ht="129.6">
      <c r="A360" s="8" t="str">
        <f>HYPERLINK("http://sipi.sic.gov.co/sipi/View.ashx?4260122","SD2022/0070593")</f>
        <v>SD2022/0070593</v>
      </c>
      <c r="B360" s="2" t="s">
        <v>1354</v>
      </c>
      <c r="C360" s="2" t="s">
        <v>35</v>
      </c>
      <c r="D360" s="2" t="s">
        <v>1352</v>
      </c>
      <c r="E360" s="2" t="s">
        <v>35</v>
      </c>
      <c r="F360" s="2" t="s">
        <v>37</v>
      </c>
      <c r="G360" s="2" t="s">
        <v>35</v>
      </c>
      <c r="H360" s="2" t="s">
        <v>793</v>
      </c>
      <c r="I360" s="2" t="s">
        <v>12</v>
      </c>
      <c r="J360" s="2" t="s">
        <v>40</v>
      </c>
      <c r="K360" s="2" t="s">
        <v>1355</v>
      </c>
      <c r="L360" s="2" t="s">
        <v>42</v>
      </c>
      <c r="M360" s="2" t="s">
        <v>795</v>
      </c>
      <c r="N360" s="2" t="s">
        <v>35</v>
      </c>
      <c r="O360" s="2" t="s">
        <v>704</v>
      </c>
      <c r="P360" s="2" t="s">
        <v>35</v>
      </c>
      <c r="Q360" s="2" t="s">
        <v>35</v>
      </c>
    </row>
    <row r="361" spans="1:17" ht="129.6">
      <c r="A361" s="8" t="str">
        <f>HYPERLINK("http://sipi.sic.gov.co/sipi/View.ashx?4260149","SD2022/0070599")</f>
        <v>SD2022/0070599</v>
      </c>
      <c r="B361" s="2" t="s">
        <v>1356</v>
      </c>
      <c r="C361" s="2" t="s">
        <v>35</v>
      </c>
      <c r="D361" s="2" t="s">
        <v>1352</v>
      </c>
      <c r="E361" s="2" t="s">
        <v>35</v>
      </c>
      <c r="F361" s="2" t="s">
        <v>37</v>
      </c>
      <c r="G361" s="2" t="s">
        <v>35</v>
      </c>
      <c r="H361" s="2" t="s">
        <v>793</v>
      </c>
      <c r="I361" s="2" t="s">
        <v>12</v>
      </c>
      <c r="J361" s="2" t="s">
        <v>40</v>
      </c>
      <c r="K361" s="2" t="s">
        <v>1357</v>
      </c>
      <c r="L361" s="2" t="s">
        <v>42</v>
      </c>
      <c r="M361" s="2" t="s">
        <v>795</v>
      </c>
      <c r="N361" s="2" t="s">
        <v>35</v>
      </c>
      <c r="O361" s="2" t="s">
        <v>595</v>
      </c>
      <c r="P361" s="2" t="s">
        <v>35</v>
      </c>
      <c r="Q361" s="2" t="s">
        <v>35</v>
      </c>
    </row>
    <row r="362" spans="1:17" ht="129.6">
      <c r="A362" s="8" t="str">
        <f>HYPERLINK("http://sipi.sic.gov.co/sipi/View.ashx?4260164","SD2022/0070602")</f>
        <v>SD2022/0070602</v>
      </c>
      <c r="B362" s="2" t="s">
        <v>1358</v>
      </c>
      <c r="C362" s="7" t="s">
        <v>35</v>
      </c>
      <c r="D362" s="2" t="s">
        <v>1352</v>
      </c>
      <c r="E362" s="2" t="s">
        <v>35</v>
      </c>
      <c r="F362" s="2" t="s">
        <v>37</v>
      </c>
      <c r="G362" s="2" t="s">
        <v>1358</v>
      </c>
      <c r="H362" s="2" t="s">
        <v>1359</v>
      </c>
      <c r="I362" s="2" t="s">
        <v>12</v>
      </c>
      <c r="J362" s="2" t="s">
        <v>40</v>
      </c>
      <c r="K362" s="2" t="s">
        <v>41</v>
      </c>
      <c r="L362" s="2" t="s">
        <v>42</v>
      </c>
      <c r="M362" s="2" t="s">
        <v>786</v>
      </c>
      <c r="N362" s="2" t="s">
        <v>35</v>
      </c>
      <c r="O362" s="2" t="s">
        <v>595</v>
      </c>
      <c r="P362" s="2" t="s">
        <v>35</v>
      </c>
      <c r="Q362" s="2" t="s">
        <v>35</v>
      </c>
    </row>
    <row r="363" spans="1:17" ht="129.6">
      <c r="A363" s="8" t="str">
        <f>HYPERLINK("http://sipi.sic.gov.co/sipi/View.ashx?4263739","SD2022/0071491")</f>
        <v>SD2022/0071491</v>
      </c>
      <c r="B363" s="2" t="s">
        <v>1360</v>
      </c>
      <c r="C363" s="2" t="s">
        <v>35</v>
      </c>
      <c r="D363" s="2" t="s">
        <v>1361</v>
      </c>
      <c r="E363" s="2" t="s">
        <v>35</v>
      </c>
      <c r="F363" s="2" t="s">
        <v>37</v>
      </c>
      <c r="G363" s="2" t="s">
        <v>35</v>
      </c>
      <c r="H363" s="2" t="s">
        <v>793</v>
      </c>
      <c r="I363" s="2" t="s">
        <v>12</v>
      </c>
      <c r="J363" s="2" t="s">
        <v>40</v>
      </c>
      <c r="K363" s="2" t="s">
        <v>1362</v>
      </c>
      <c r="L363" s="2" t="s">
        <v>55</v>
      </c>
      <c r="M363" s="2" t="s">
        <v>795</v>
      </c>
      <c r="N363" s="2" t="s">
        <v>35</v>
      </c>
      <c r="O363" s="2" t="s">
        <v>268</v>
      </c>
      <c r="P363" s="2" t="s">
        <v>35</v>
      </c>
      <c r="Q363" s="2" t="s">
        <v>35</v>
      </c>
    </row>
    <row r="364" spans="1:17" ht="129.6">
      <c r="A364" s="8" t="str">
        <f>HYPERLINK("http://sipi.sic.gov.co/sipi/View.ashx?4264200","SD2022/0071570")</f>
        <v>SD2022/0071570</v>
      </c>
      <c r="B364" s="2" t="s">
        <v>1363</v>
      </c>
      <c r="C364" s="2" t="s">
        <v>35</v>
      </c>
      <c r="D364" s="2" t="s">
        <v>1364</v>
      </c>
      <c r="E364" s="2" t="s">
        <v>35</v>
      </c>
      <c r="F364" s="2" t="s">
        <v>37</v>
      </c>
      <c r="G364" s="2" t="s">
        <v>1365</v>
      </c>
      <c r="H364" s="2" t="s">
        <v>1366</v>
      </c>
      <c r="I364" s="2" t="s">
        <v>12</v>
      </c>
      <c r="J364" s="2" t="s">
        <v>40</v>
      </c>
      <c r="K364" s="2" t="s">
        <v>1367</v>
      </c>
      <c r="L364" s="2" t="s">
        <v>42</v>
      </c>
      <c r="M364" s="2" t="s">
        <v>1368</v>
      </c>
      <c r="N364" s="2" t="s">
        <v>35</v>
      </c>
      <c r="O364" s="2" t="s">
        <v>198</v>
      </c>
      <c r="P364" s="2" t="s">
        <v>35</v>
      </c>
      <c r="Q364" s="2" t="s">
        <v>35</v>
      </c>
    </row>
    <row r="365" spans="1:17" ht="129.6">
      <c r="A365" s="8" t="str">
        <f>HYPERLINK("http://sipi.sic.gov.co/sipi/View.ashx?4264235","SD2022/0071574")</f>
        <v>SD2022/0071574</v>
      </c>
      <c r="B365" s="2" t="s">
        <v>1369</v>
      </c>
      <c r="C365" s="2" t="s">
        <v>35</v>
      </c>
      <c r="D365" s="2" t="s">
        <v>1364</v>
      </c>
      <c r="E365" s="2" t="s">
        <v>35</v>
      </c>
      <c r="F365" s="2" t="s">
        <v>37</v>
      </c>
      <c r="G365" s="2" t="s">
        <v>35</v>
      </c>
      <c r="H365" s="2" t="s">
        <v>1348</v>
      </c>
      <c r="I365" s="2" t="s">
        <v>12</v>
      </c>
      <c r="J365" s="2" t="s">
        <v>40</v>
      </c>
      <c r="K365" s="2" t="s">
        <v>1349</v>
      </c>
      <c r="L365" s="2" t="s">
        <v>42</v>
      </c>
      <c r="M365" s="2" t="s">
        <v>371</v>
      </c>
      <c r="N365" s="2" t="s">
        <v>35</v>
      </c>
      <c r="O365" s="2" t="s">
        <v>198</v>
      </c>
      <c r="P365" s="2" t="s">
        <v>35</v>
      </c>
      <c r="Q365" s="2" t="s">
        <v>35</v>
      </c>
    </row>
    <row r="366" spans="1:17" ht="129.6">
      <c r="A366" s="8" t="str">
        <f>HYPERLINK("http://sipi.sic.gov.co/sipi/View.ashx?4264344","SD2022/0071599")</f>
        <v>SD2022/0071599</v>
      </c>
      <c r="B366" s="2" t="s">
        <v>1370</v>
      </c>
      <c r="C366" s="2" t="s">
        <v>35</v>
      </c>
      <c r="D366" s="2" t="s">
        <v>1364</v>
      </c>
      <c r="E366" s="2" t="s">
        <v>35</v>
      </c>
      <c r="F366" s="2" t="s">
        <v>37</v>
      </c>
      <c r="G366" s="2" t="s">
        <v>35</v>
      </c>
      <c r="H366" s="2" t="s">
        <v>1348</v>
      </c>
      <c r="I366" s="2" t="s">
        <v>12</v>
      </c>
      <c r="J366" s="2" t="s">
        <v>40</v>
      </c>
      <c r="K366" s="2" t="s">
        <v>1349</v>
      </c>
      <c r="L366" s="2" t="s">
        <v>55</v>
      </c>
      <c r="M366" s="2" t="s">
        <v>371</v>
      </c>
      <c r="N366" s="2" t="s">
        <v>35</v>
      </c>
      <c r="O366" s="2" t="s">
        <v>198</v>
      </c>
      <c r="P366" s="2" t="s">
        <v>35</v>
      </c>
      <c r="Q366" s="2" t="s">
        <v>35</v>
      </c>
    </row>
    <row r="367" spans="1:17" ht="129.6">
      <c r="A367" s="8" t="str">
        <f>HYPERLINK("http://sipi.sic.gov.co/sipi/View.ashx?4264381","SD2022/0071610")</f>
        <v>SD2022/0071610</v>
      </c>
      <c r="B367" s="2" t="s">
        <v>1371</v>
      </c>
      <c r="C367" s="2" t="s">
        <v>35</v>
      </c>
      <c r="D367" s="2" t="s">
        <v>1364</v>
      </c>
      <c r="E367" s="2" t="s">
        <v>35</v>
      </c>
      <c r="F367" s="2" t="s">
        <v>37</v>
      </c>
      <c r="G367" s="2" t="s">
        <v>35</v>
      </c>
      <c r="H367" s="2" t="s">
        <v>1348</v>
      </c>
      <c r="I367" s="2" t="s">
        <v>12</v>
      </c>
      <c r="J367" s="2" t="s">
        <v>40</v>
      </c>
      <c r="K367" s="2" t="s">
        <v>1349</v>
      </c>
      <c r="L367" s="2" t="s">
        <v>42</v>
      </c>
      <c r="M367" s="2" t="s">
        <v>371</v>
      </c>
      <c r="N367" s="2" t="s">
        <v>35</v>
      </c>
      <c r="O367" s="2" t="s">
        <v>198</v>
      </c>
      <c r="P367" s="2" t="s">
        <v>35</v>
      </c>
      <c r="Q367" s="2" t="s">
        <v>35</v>
      </c>
    </row>
    <row r="368" spans="1:17" ht="129.6">
      <c r="A368" s="8" t="str">
        <f>HYPERLINK("http://sipi.sic.gov.co/sipi/View.ashx?4264857","SD2022/0071740")</f>
        <v>SD2022/0071740</v>
      </c>
      <c r="B368" s="2" t="s">
        <v>1372</v>
      </c>
      <c r="C368" s="2" t="s">
        <v>35</v>
      </c>
      <c r="D368" s="2" t="s">
        <v>1364</v>
      </c>
      <c r="E368" s="2" t="s">
        <v>35</v>
      </c>
      <c r="F368" s="2" t="s">
        <v>37</v>
      </c>
      <c r="G368" s="2" t="s">
        <v>35</v>
      </c>
      <c r="H368" s="2" t="s">
        <v>1373</v>
      </c>
      <c r="I368" s="2" t="s">
        <v>113</v>
      </c>
      <c r="J368" s="2" t="s">
        <v>40</v>
      </c>
      <c r="K368" s="2" t="s">
        <v>1374</v>
      </c>
      <c r="L368" s="2" t="s">
        <v>42</v>
      </c>
      <c r="M368" s="2" t="s">
        <v>371</v>
      </c>
      <c r="N368" s="2" t="s">
        <v>35</v>
      </c>
      <c r="O368" s="2" t="s">
        <v>580</v>
      </c>
      <c r="P368" s="2" t="s">
        <v>35</v>
      </c>
      <c r="Q368" s="2" t="s">
        <v>35</v>
      </c>
    </row>
    <row r="369" spans="1:17" ht="158.4">
      <c r="A369" s="8" t="str">
        <f>HYPERLINK("http://sipi.sic.gov.co/sipi/View.ashx?4265036","SD2022/0072019")</f>
        <v>SD2022/0072019</v>
      </c>
      <c r="B369" s="2" t="s">
        <v>1375</v>
      </c>
      <c r="C369" s="7" t="s">
        <v>35</v>
      </c>
      <c r="D369" s="2" t="s">
        <v>1364</v>
      </c>
      <c r="E369" s="2" t="s">
        <v>35</v>
      </c>
      <c r="F369" s="2" t="s">
        <v>37</v>
      </c>
      <c r="G369" s="2" t="s">
        <v>1376</v>
      </c>
      <c r="H369" s="2" t="s">
        <v>1377</v>
      </c>
      <c r="I369" s="2" t="s">
        <v>12</v>
      </c>
      <c r="J369" s="2" t="s">
        <v>40</v>
      </c>
      <c r="K369" s="2" t="s">
        <v>1378</v>
      </c>
      <c r="L369" s="2" t="s">
        <v>55</v>
      </c>
      <c r="M369" s="2" t="s">
        <v>1379</v>
      </c>
      <c r="N369" s="2" t="s">
        <v>35</v>
      </c>
      <c r="O369" s="2" t="s">
        <v>198</v>
      </c>
      <c r="P369" s="2" t="s">
        <v>35</v>
      </c>
      <c r="Q369" s="2" t="s">
        <v>35</v>
      </c>
    </row>
    <row r="370" spans="1:17" ht="409.6">
      <c r="A370" s="8" t="str">
        <f>HYPERLINK("http://sipi.sic.gov.co/sipi/View.ashx?4265596","SD2022/0072049")</f>
        <v>SD2022/0072049</v>
      </c>
      <c r="B370" s="2" t="s">
        <v>1380</v>
      </c>
      <c r="C370" s="7" t="s">
        <v>35</v>
      </c>
      <c r="D370" s="2" t="s">
        <v>1364</v>
      </c>
      <c r="E370" s="2" t="s">
        <v>35</v>
      </c>
      <c r="F370" s="2" t="s">
        <v>37</v>
      </c>
      <c r="G370" s="2" t="s">
        <v>1381</v>
      </c>
      <c r="H370" s="2" t="s">
        <v>1382</v>
      </c>
      <c r="I370" s="2" t="s">
        <v>1383</v>
      </c>
      <c r="J370" s="2" t="s">
        <v>40</v>
      </c>
      <c r="K370" s="2" t="s">
        <v>1384</v>
      </c>
      <c r="L370" s="2" t="s">
        <v>55</v>
      </c>
      <c r="M370" s="2" t="s">
        <v>1385</v>
      </c>
      <c r="N370" s="2" t="s">
        <v>35</v>
      </c>
      <c r="O370" s="2" t="s">
        <v>268</v>
      </c>
      <c r="P370" s="2" t="s">
        <v>35</v>
      </c>
      <c r="Q370" s="2" t="s">
        <v>35</v>
      </c>
    </row>
    <row r="371" spans="1:17" ht="409.6">
      <c r="A371" s="8" t="str">
        <f>HYPERLINK("http://sipi.sic.gov.co/sipi/View.ashx?4267408","SD2022/0072401")</f>
        <v>SD2022/0072401</v>
      </c>
      <c r="B371" s="2" t="s">
        <v>1386</v>
      </c>
      <c r="C371" s="7" t="s">
        <v>35</v>
      </c>
      <c r="D371" s="2" t="s">
        <v>1387</v>
      </c>
      <c r="E371" s="2" t="s">
        <v>35</v>
      </c>
      <c r="F371" s="2" t="s">
        <v>37</v>
      </c>
      <c r="G371" s="2" t="s">
        <v>1388</v>
      </c>
      <c r="H371" s="2" t="s">
        <v>1389</v>
      </c>
      <c r="I371" s="2" t="s">
        <v>12</v>
      </c>
      <c r="J371" s="2" t="s">
        <v>40</v>
      </c>
      <c r="K371" s="2" t="s">
        <v>1390</v>
      </c>
      <c r="L371" s="2" t="s">
        <v>42</v>
      </c>
      <c r="M371" s="2" t="s">
        <v>1391</v>
      </c>
      <c r="N371" s="2" t="s">
        <v>35</v>
      </c>
      <c r="O371" s="2" t="s">
        <v>580</v>
      </c>
      <c r="P371" s="2" t="s">
        <v>35</v>
      </c>
      <c r="Q371" s="2" t="s">
        <v>35</v>
      </c>
    </row>
    <row r="372" spans="1:17" ht="409.6">
      <c r="A372" s="8" t="str">
        <f>HYPERLINK("http://sipi.sic.gov.co/sipi/View.ashx?4267453","SD2022/0072403")</f>
        <v>SD2022/0072403</v>
      </c>
      <c r="B372" s="2" t="s">
        <v>1392</v>
      </c>
      <c r="C372" s="7" t="s">
        <v>35</v>
      </c>
      <c r="D372" s="2" t="s">
        <v>1387</v>
      </c>
      <c r="E372" s="2" t="s">
        <v>35</v>
      </c>
      <c r="F372" s="2" t="s">
        <v>37</v>
      </c>
      <c r="G372" s="2" t="s">
        <v>1393</v>
      </c>
      <c r="H372" s="2" t="s">
        <v>1389</v>
      </c>
      <c r="I372" s="2" t="s">
        <v>12</v>
      </c>
      <c r="J372" s="2" t="s">
        <v>40</v>
      </c>
      <c r="K372" s="2" t="s">
        <v>1394</v>
      </c>
      <c r="L372" s="2" t="s">
        <v>42</v>
      </c>
      <c r="M372" s="2" t="s">
        <v>1391</v>
      </c>
      <c r="N372" s="2" t="s">
        <v>35</v>
      </c>
      <c r="O372" s="2" t="s">
        <v>580</v>
      </c>
      <c r="P372" s="2" t="s">
        <v>35</v>
      </c>
      <c r="Q372" s="2" t="s">
        <v>35</v>
      </c>
    </row>
    <row r="373" spans="1:17" ht="158.4">
      <c r="A373" s="8" t="str">
        <f>HYPERLINK("http://sipi.sic.gov.co/sipi/View.ashx?4268214","SD2022/0072446")</f>
        <v>SD2022/0072446</v>
      </c>
      <c r="B373" s="2" t="s">
        <v>1395</v>
      </c>
      <c r="C373" s="7" t="s">
        <v>35</v>
      </c>
      <c r="D373" s="2" t="s">
        <v>1387</v>
      </c>
      <c r="E373" s="2" t="s">
        <v>35</v>
      </c>
      <c r="F373" s="2" t="s">
        <v>37</v>
      </c>
      <c r="G373" s="2" t="s">
        <v>1395</v>
      </c>
      <c r="H373" s="2" t="s">
        <v>1396</v>
      </c>
      <c r="I373" s="2" t="s">
        <v>12</v>
      </c>
      <c r="J373" s="2" t="s">
        <v>40</v>
      </c>
      <c r="K373" s="2" t="s">
        <v>1397</v>
      </c>
      <c r="L373" s="2" t="s">
        <v>42</v>
      </c>
      <c r="M373" s="2" t="s">
        <v>1398</v>
      </c>
      <c r="N373" s="2" t="s">
        <v>35</v>
      </c>
      <c r="O373" s="2" t="s">
        <v>198</v>
      </c>
      <c r="P373" s="2" t="s">
        <v>35</v>
      </c>
      <c r="Q373" s="2" t="s">
        <v>35</v>
      </c>
    </row>
    <row r="374" spans="1:17" ht="144">
      <c r="A374" s="8" t="str">
        <f>HYPERLINK("http://sipi.sic.gov.co/sipi/View.ashx?4268216","SD2022/0072858")</f>
        <v>SD2022/0072858</v>
      </c>
      <c r="B374" s="2" t="s">
        <v>1399</v>
      </c>
      <c r="C374" s="7" t="s">
        <v>35</v>
      </c>
      <c r="D374" s="2" t="s">
        <v>787</v>
      </c>
      <c r="E374" s="2" t="s">
        <v>35</v>
      </c>
      <c r="F374" s="2" t="s">
        <v>37</v>
      </c>
      <c r="G374" s="2" t="s">
        <v>1399</v>
      </c>
      <c r="H374" s="2" t="s">
        <v>1400</v>
      </c>
      <c r="I374" s="2" t="s">
        <v>12</v>
      </c>
      <c r="J374" s="2" t="s">
        <v>40</v>
      </c>
      <c r="K374" s="2" t="s">
        <v>1401</v>
      </c>
      <c r="L374" s="2" t="s">
        <v>42</v>
      </c>
      <c r="M374" s="2" t="s">
        <v>1402</v>
      </c>
      <c r="N374" s="2" t="s">
        <v>35</v>
      </c>
      <c r="O374" s="2" t="s">
        <v>580</v>
      </c>
      <c r="P374" s="2" t="s">
        <v>35</v>
      </c>
      <c r="Q374" s="2" t="s">
        <v>35</v>
      </c>
    </row>
    <row r="375" spans="1:17" ht="115.2">
      <c r="A375" s="8" t="str">
        <f>HYPERLINK("http://sipi.sic.gov.co/sipi/View.ashx?4268707","SD2022/0072605")</f>
        <v>SD2022/0072605</v>
      </c>
      <c r="B375" s="2" t="s">
        <v>1403</v>
      </c>
      <c r="C375" s="2" t="s">
        <v>35</v>
      </c>
      <c r="D375" s="2" t="s">
        <v>1387</v>
      </c>
      <c r="E375" s="2" t="s">
        <v>35</v>
      </c>
      <c r="F375" s="2" t="s">
        <v>37</v>
      </c>
      <c r="G375" s="2" t="s">
        <v>1404</v>
      </c>
      <c r="H375" s="2" t="s">
        <v>1405</v>
      </c>
      <c r="I375" s="2" t="s">
        <v>805</v>
      </c>
      <c r="J375" s="2" t="s">
        <v>40</v>
      </c>
      <c r="K375" s="2" t="s">
        <v>1406</v>
      </c>
      <c r="L375" s="2" t="s">
        <v>42</v>
      </c>
      <c r="M375" s="2" t="s">
        <v>502</v>
      </c>
      <c r="N375" s="2" t="s">
        <v>35</v>
      </c>
      <c r="O375" s="2" t="s">
        <v>580</v>
      </c>
      <c r="P375" s="2" t="s">
        <v>35</v>
      </c>
      <c r="Q375" s="2" t="s">
        <v>35</v>
      </c>
    </row>
    <row r="376" spans="1:17" ht="115.2">
      <c r="A376" s="8" t="str">
        <f>HYPERLINK("http://sipi.sic.gov.co/sipi/View.ashx?4268823","SD2022/0072607")</f>
        <v>SD2022/0072607</v>
      </c>
      <c r="B376" s="2" t="s">
        <v>1407</v>
      </c>
      <c r="C376" s="7" t="s">
        <v>35</v>
      </c>
      <c r="D376" s="2" t="s">
        <v>1387</v>
      </c>
      <c r="E376" s="2" t="s">
        <v>35</v>
      </c>
      <c r="F376" s="2" t="s">
        <v>37</v>
      </c>
      <c r="G376" s="2" t="s">
        <v>1408</v>
      </c>
      <c r="H376" s="2" t="s">
        <v>1405</v>
      </c>
      <c r="I376" s="2" t="s">
        <v>805</v>
      </c>
      <c r="J376" s="2" t="s">
        <v>40</v>
      </c>
      <c r="K376" s="2" t="s">
        <v>1406</v>
      </c>
      <c r="L376" s="2" t="s">
        <v>42</v>
      </c>
      <c r="M376" s="2" t="s">
        <v>502</v>
      </c>
      <c r="N376" s="2" t="s">
        <v>35</v>
      </c>
      <c r="O376" s="2" t="s">
        <v>1409</v>
      </c>
      <c r="P376" s="2" t="s">
        <v>35</v>
      </c>
      <c r="Q376" s="2" t="s">
        <v>35</v>
      </c>
    </row>
    <row r="377" spans="1:17" ht="288">
      <c r="A377" s="8" t="str">
        <f>HYPERLINK("http://sipi.sic.gov.co/sipi/View.ashx?4270565","SD2022/0073330")</f>
        <v>SD2022/0073330</v>
      </c>
      <c r="B377" s="2" t="s">
        <v>1410</v>
      </c>
      <c r="C377" s="7" t="s">
        <v>35</v>
      </c>
      <c r="D377" s="2" t="s">
        <v>1411</v>
      </c>
      <c r="E377" s="2" t="s">
        <v>35</v>
      </c>
      <c r="F377" s="2" t="s">
        <v>37</v>
      </c>
      <c r="G377" s="2" t="s">
        <v>1412</v>
      </c>
      <c r="H377" s="2" t="s">
        <v>1413</v>
      </c>
      <c r="I377" s="2" t="s">
        <v>1414</v>
      </c>
      <c r="J377" s="2" t="s">
        <v>40</v>
      </c>
      <c r="K377" s="2" t="s">
        <v>1415</v>
      </c>
      <c r="L377" s="2" t="s">
        <v>42</v>
      </c>
      <c r="M377" s="2" t="s">
        <v>417</v>
      </c>
      <c r="N377" s="2" t="s">
        <v>35</v>
      </c>
      <c r="O377" s="2" t="s">
        <v>555</v>
      </c>
      <c r="P377" s="2" t="s">
        <v>35</v>
      </c>
      <c r="Q377" s="2" t="s">
        <v>35</v>
      </c>
    </row>
    <row r="378" spans="1:17" ht="100.8">
      <c r="A378" s="8" t="str">
        <f>HYPERLINK("http://sipi.sic.gov.co/sipi/View.ashx?4271231","SD2022/0073082")</f>
        <v>SD2022/0073082</v>
      </c>
      <c r="B378" s="2" t="s">
        <v>1416</v>
      </c>
      <c r="C378" s="2" t="s">
        <v>35</v>
      </c>
      <c r="D378" s="2" t="s">
        <v>787</v>
      </c>
      <c r="E378" s="2" t="s">
        <v>35</v>
      </c>
      <c r="F378" s="2" t="s">
        <v>37</v>
      </c>
      <c r="G378" s="2" t="s">
        <v>35</v>
      </c>
      <c r="H378" s="2" t="s">
        <v>1417</v>
      </c>
      <c r="I378" s="2" t="s">
        <v>12</v>
      </c>
      <c r="J378" s="2" t="s">
        <v>40</v>
      </c>
      <c r="K378" s="2" t="s">
        <v>1418</v>
      </c>
      <c r="L378" s="2" t="s">
        <v>42</v>
      </c>
      <c r="M378" s="2" t="s">
        <v>1419</v>
      </c>
      <c r="N378" s="2" t="s">
        <v>35</v>
      </c>
      <c r="O378" s="2" t="s">
        <v>198</v>
      </c>
      <c r="P378" s="2" t="s">
        <v>35</v>
      </c>
      <c r="Q378" s="2" t="s">
        <v>35</v>
      </c>
    </row>
    <row r="379" spans="1:17" ht="144">
      <c r="A379" s="8" t="str">
        <f>HYPERLINK("http://sipi.sic.gov.co/sipi/View.ashx?4272915","SD2022/0073478")</f>
        <v>SD2022/0073478</v>
      </c>
      <c r="B379" s="2" t="s">
        <v>1420</v>
      </c>
      <c r="C379" s="7" t="s">
        <v>35</v>
      </c>
      <c r="D379" s="2" t="s">
        <v>1411</v>
      </c>
      <c r="E379" s="2" t="s">
        <v>35</v>
      </c>
      <c r="F379" s="2" t="s">
        <v>37</v>
      </c>
      <c r="G379" s="2" t="s">
        <v>1420</v>
      </c>
      <c r="H379" s="2" t="s">
        <v>1421</v>
      </c>
      <c r="I379" s="2" t="s">
        <v>12</v>
      </c>
      <c r="J379" s="2" t="s">
        <v>40</v>
      </c>
      <c r="K379" s="2" t="s">
        <v>1422</v>
      </c>
      <c r="L379" s="2" t="s">
        <v>42</v>
      </c>
      <c r="M379" s="2" t="s">
        <v>1423</v>
      </c>
      <c r="N379" s="2" t="s">
        <v>35</v>
      </c>
      <c r="O379" s="2" t="s">
        <v>1424</v>
      </c>
      <c r="P379" s="2" t="s">
        <v>35</v>
      </c>
      <c r="Q379" s="2" t="s">
        <v>35</v>
      </c>
    </row>
    <row r="380" spans="1:17" ht="374.4">
      <c r="A380" s="8" t="str">
        <f>HYPERLINK("http://sipi.sic.gov.co/sipi/View.ashx?4273045","SD2022/0073513")</f>
        <v>SD2022/0073513</v>
      </c>
      <c r="B380" s="2" t="s">
        <v>1425</v>
      </c>
      <c r="C380" s="2" t="s">
        <v>35</v>
      </c>
      <c r="D380" s="2" t="s">
        <v>1411</v>
      </c>
      <c r="E380" s="2" t="s">
        <v>35</v>
      </c>
      <c r="F380" s="2" t="s">
        <v>37</v>
      </c>
      <c r="G380" s="2" t="s">
        <v>1426</v>
      </c>
      <c r="H380" s="2" t="s">
        <v>1427</v>
      </c>
      <c r="I380" s="2" t="s">
        <v>444</v>
      </c>
      <c r="J380" s="2" t="s">
        <v>40</v>
      </c>
      <c r="K380" s="2" t="s">
        <v>1428</v>
      </c>
      <c r="L380" s="2" t="s">
        <v>55</v>
      </c>
      <c r="M380" s="2" t="s">
        <v>1429</v>
      </c>
      <c r="N380" s="2" t="s">
        <v>35</v>
      </c>
      <c r="O380" s="2" t="s">
        <v>198</v>
      </c>
      <c r="P380" s="2" t="s">
        <v>35</v>
      </c>
      <c r="Q380" s="2" t="s">
        <v>35</v>
      </c>
    </row>
    <row r="381" spans="1:17" ht="115.2">
      <c r="A381" s="8" t="str">
        <f>HYPERLINK("http://sipi.sic.gov.co/sipi/View.ashx?4273785","SD2022/0073729")</f>
        <v>SD2022/0073729</v>
      </c>
      <c r="B381" s="2" t="s">
        <v>1430</v>
      </c>
      <c r="C381" s="7" t="s">
        <v>35</v>
      </c>
      <c r="D381" s="2" t="s">
        <v>1411</v>
      </c>
      <c r="E381" s="2" t="s">
        <v>35</v>
      </c>
      <c r="F381" s="2" t="s">
        <v>37</v>
      </c>
      <c r="G381" s="2" t="s">
        <v>1431</v>
      </c>
      <c r="H381" s="2" t="s">
        <v>1432</v>
      </c>
      <c r="I381" s="2" t="s">
        <v>12</v>
      </c>
      <c r="J381" s="2" t="s">
        <v>40</v>
      </c>
      <c r="K381" s="2" t="s">
        <v>765</v>
      </c>
      <c r="L381" s="2" t="s">
        <v>42</v>
      </c>
      <c r="M381" s="2" t="s">
        <v>766</v>
      </c>
      <c r="N381" s="2" t="s">
        <v>35</v>
      </c>
      <c r="O381" s="2" t="s">
        <v>198</v>
      </c>
      <c r="P381" s="2" t="s">
        <v>35</v>
      </c>
      <c r="Q381" s="2" t="s">
        <v>35</v>
      </c>
    </row>
    <row r="382" spans="1:17" ht="115.2">
      <c r="A382" s="8" t="str">
        <f>HYPERLINK("http://sipi.sic.gov.co/sipi/View.ashx?4273812","SD2022/0073745")</f>
        <v>SD2022/0073745</v>
      </c>
      <c r="B382" s="2" t="s">
        <v>1433</v>
      </c>
      <c r="C382" s="7" t="s">
        <v>35</v>
      </c>
      <c r="D382" s="2" t="s">
        <v>1411</v>
      </c>
      <c r="E382" s="2" t="s">
        <v>35</v>
      </c>
      <c r="F382" s="2" t="s">
        <v>37</v>
      </c>
      <c r="G382" s="2" t="s">
        <v>1434</v>
      </c>
      <c r="H382" s="2" t="s">
        <v>1432</v>
      </c>
      <c r="I382" s="2" t="s">
        <v>12</v>
      </c>
      <c r="J382" s="2" t="s">
        <v>40</v>
      </c>
      <c r="K382" s="2" t="s">
        <v>765</v>
      </c>
      <c r="L382" s="2" t="s">
        <v>42</v>
      </c>
      <c r="M382" s="2" t="s">
        <v>766</v>
      </c>
      <c r="N382" s="2" t="s">
        <v>35</v>
      </c>
      <c r="O382" s="2" t="s">
        <v>198</v>
      </c>
      <c r="P382" s="2" t="s">
        <v>35</v>
      </c>
      <c r="Q382" s="2" t="s">
        <v>35</v>
      </c>
    </row>
    <row r="383" spans="1:17" ht="129.6">
      <c r="A383" s="8" t="str">
        <f>HYPERLINK("http://sipi.sic.gov.co/sipi/View.ashx?4274706","SD2022/0073926")</f>
        <v>SD2022/0073926</v>
      </c>
      <c r="B383" s="2" t="s">
        <v>1435</v>
      </c>
      <c r="C383" s="2" t="s">
        <v>35</v>
      </c>
      <c r="D383" s="2" t="s">
        <v>1436</v>
      </c>
      <c r="E383" s="2" t="s">
        <v>35</v>
      </c>
      <c r="F383" s="2" t="s">
        <v>37</v>
      </c>
      <c r="G383" s="2" t="s">
        <v>35</v>
      </c>
      <c r="H383" s="2" t="s">
        <v>1437</v>
      </c>
      <c r="I383" s="2" t="s">
        <v>12</v>
      </c>
      <c r="J383" s="2" t="s">
        <v>40</v>
      </c>
      <c r="K383" s="2" t="s">
        <v>380</v>
      </c>
      <c r="L383" s="2" t="s">
        <v>55</v>
      </c>
      <c r="M383" s="2" t="s">
        <v>235</v>
      </c>
      <c r="N383" s="2" t="s">
        <v>35</v>
      </c>
      <c r="O383" s="2" t="s">
        <v>224</v>
      </c>
      <c r="P383" s="2" t="s">
        <v>35</v>
      </c>
      <c r="Q383" s="2" t="s">
        <v>35</v>
      </c>
    </row>
    <row r="384" spans="1:17" ht="129.6">
      <c r="A384" s="8" t="str">
        <f>HYPERLINK("http://sipi.sic.gov.co/sipi/View.ashx?4274727","SD2022/0073928")</f>
        <v>SD2022/0073928</v>
      </c>
      <c r="B384" s="2" t="s">
        <v>1438</v>
      </c>
      <c r="C384" s="2" t="s">
        <v>35</v>
      </c>
      <c r="D384" s="2" t="s">
        <v>1436</v>
      </c>
      <c r="E384" s="2" t="s">
        <v>35</v>
      </c>
      <c r="F384" s="2" t="s">
        <v>37</v>
      </c>
      <c r="G384" s="2" t="s">
        <v>35</v>
      </c>
      <c r="H384" s="2" t="s">
        <v>1437</v>
      </c>
      <c r="I384" s="2" t="s">
        <v>12</v>
      </c>
      <c r="J384" s="2" t="s">
        <v>40</v>
      </c>
      <c r="K384" s="2" t="s">
        <v>380</v>
      </c>
      <c r="L384" s="2" t="s">
        <v>55</v>
      </c>
      <c r="M384" s="2" t="s">
        <v>235</v>
      </c>
      <c r="N384" s="2" t="s">
        <v>35</v>
      </c>
      <c r="O384" s="2" t="s">
        <v>224</v>
      </c>
      <c r="P384" s="2" t="s">
        <v>35</v>
      </c>
      <c r="Q384" s="2" t="s">
        <v>35</v>
      </c>
    </row>
    <row r="385" spans="1:17" ht="115.2">
      <c r="A385" s="8" t="str">
        <f>HYPERLINK("http://sipi.sic.gov.co/sipi/View.ashx?4275210","SD2022/0074098")</f>
        <v>SD2022/0074098</v>
      </c>
      <c r="B385" s="2" t="s">
        <v>1439</v>
      </c>
      <c r="C385" s="2" t="s">
        <v>35</v>
      </c>
      <c r="D385" s="2" t="s">
        <v>1436</v>
      </c>
      <c r="E385" s="2" t="s">
        <v>35</v>
      </c>
      <c r="F385" s="2" t="s">
        <v>37</v>
      </c>
      <c r="G385" s="2" t="s">
        <v>1440</v>
      </c>
      <c r="H385" s="2" t="s">
        <v>1441</v>
      </c>
      <c r="I385" s="2" t="s">
        <v>12</v>
      </c>
      <c r="J385" s="2" t="s">
        <v>40</v>
      </c>
      <c r="K385" s="2" t="s">
        <v>1442</v>
      </c>
      <c r="L385" s="2" t="s">
        <v>42</v>
      </c>
      <c r="M385" s="2" t="s">
        <v>168</v>
      </c>
      <c r="N385" s="2" t="s">
        <v>35</v>
      </c>
      <c r="O385" s="2" t="s">
        <v>555</v>
      </c>
      <c r="P385" s="2" t="s">
        <v>35</v>
      </c>
      <c r="Q385" s="2" t="s">
        <v>35</v>
      </c>
    </row>
    <row r="386" spans="1:17" ht="129.6">
      <c r="A386" s="8" t="str">
        <f>HYPERLINK("http://sipi.sic.gov.co/sipi/View.ashx?4276006","SD2022/0074303")</f>
        <v>SD2022/0074303</v>
      </c>
      <c r="B386" s="2" t="s">
        <v>1443</v>
      </c>
      <c r="C386" s="7" t="s">
        <v>35</v>
      </c>
      <c r="D386" s="2" t="s">
        <v>1436</v>
      </c>
      <c r="E386" s="2" t="s">
        <v>35</v>
      </c>
      <c r="F386" s="2" t="s">
        <v>37</v>
      </c>
      <c r="G386" s="2" t="s">
        <v>1443</v>
      </c>
      <c r="H386" s="2" t="s">
        <v>1444</v>
      </c>
      <c r="I386" s="2" t="s">
        <v>12</v>
      </c>
      <c r="J386" s="2" t="s">
        <v>40</v>
      </c>
      <c r="K386" s="2" t="s">
        <v>1445</v>
      </c>
      <c r="L386" s="2" t="s">
        <v>42</v>
      </c>
      <c r="M386" s="2" t="s">
        <v>1446</v>
      </c>
      <c r="N386" s="2" t="s">
        <v>35</v>
      </c>
      <c r="O386" s="2" t="s">
        <v>493</v>
      </c>
      <c r="P386" s="2" t="s">
        <v>35</v>
      </c>
      <c r="Q386" s="2" t="s">
        <v>35</v>
      </c>
    </row>
    <row r="387" spans="1:17" ht="115.2">
      <c r="A387" s="8" t="str">
        <f>HYPERLINK("http://sipi.sic.gov.co/sipi/View.ashx?4276672","SD2022/0074428")</f>
        <v>SD2022/0074428</v>
      </c>
      <c r="B387" s="2" t="s">
        <v>1447</v>
      </c>
      <c r="C387" s="2" t="s">
        <v>35</v>
      </c>
      <c r="D387" s="2" t="s">
        <v>1448</v>
      </c>
      <c r="E387" s="2" t="s">
        <v>35</v>
      </c>
      <c r="F387" s="2" t="s">
        <v>37</v>
      </c>
      <c r="G387" s="2" t="s">
        <v>35</v>
      </c>
      <c r="H387" s="2" t="s">
        <v>1449</v>
      </c>
      <c r="I387" s="2" t="s">
        <v>12</v>
      </c>
      <c r="J387" s="2" t="s">
        <v>40</v>
      </c>
      <c r="K387" s="2" t="s">
        <v>41</v>
      </c>
      <c r="L387" s="2" t="s">
        <v>42</v>
      </c>
      <c r="M387" s="2" t="s">
        <v>1450</v>
      </c>
      <c r="N387" s="2" t="s">
        <v>35</v>
      </c>
      <c r="O387" s="2" t="s">
        <v>704</v>
      </c>
      <c r="P387" s="2" t="s">
        <v>35</v>
      </c>
      <c r="Q387" s="2" t="s">
        <v>35</v>
      </c>
    </row>
    <row r="388" spans="1:17" ht="115.2">
      <c r="A388" s="8" t="str">
        <f>HYPERLINK("http://sipi.sic.gov.co/sipi/View.ashx?4277733","SD2022/0074875")</f>
        <v>SD2022/0074875</v>
      </c>
      <c r="B388" s="2" t="s">
        <v>1451</v>
      </c>
      <c r="C388" s="2" t="s">
        <v>35</v>
      </c>
      <c r="D388" s="2" t="s">
        <v>1452</v>
      </c>
      <c r="E388" s="2" t="s">
        <v>35</v>
      </c>
      <c r="F388" s="2" t="s">
        <v>37</v>
      </c>
      <c r="G388" s="2" t="s">
        <v>1453</v>
      </c>
      <c r="H388" s="2" t="s">
        <v>1454</v>
      </c>
      <c r="I388" s="2" t="s">
        <v>12</v>
      </c>
      <c r="J388" s="2" t="s">
        <v>40</v>
      </c>
      <c r="K388" s="2" t="s">
        <v>1455</v>
      </c>
      <c r="L388" s="2" t="s">
        <v>55</v>
      </c>
      <c r="M388" s="2" t="s">
        <v>1456</v>
      </c>
      <c r="N388" s="2" t="s">
        <v>35</v>
      </c>
      <c r="O388" s="2" t="s">
        <v>268</v>
      </c>
      <c r="P388" s="2" t="s">
        <v>35</v>
      </c>
      <c r="Q388" s="2" t="s">
        <v>35</v>
      </c>
    </row>
    <row r="389" spans="1:17" ht="144">
      <c r="A389" s="8" t="str">
        <f>HYPERLINK("http://sipi.sic.gov.co/sipi/View.ashx?4277925","SD2022/0074607")</f>
        <v>SD2022/0074607</v>
      </c>
      <c r="B389" s="2" t="s">
        <v>1457</v>
      </c>
      <c r="C389" s="2" t="s">
        <v>35</v>
      </c>
      <c r="D389" s="2" t="s">
        <v>1452</v>
      </c>
      <c r="E389" s="2" t="s">
        <v>35</v>
      </c>
      <c r="F389" s="2" t="s">
        <v>37</v>
      </c>
      <c r="G389" s="2" t="s">
        <v>1458</v>
      </c>
      <c r="H389" s="2" t="s">
        <v>1459</v>
      </c>
      <c r="I389" s="2" t="s">
        <v>12</v>
      </c>
      <c r="J389" s="2" t="s">
        <v>40</v>
      </c>
      <c r="K389" s="2" t="s">
        <v>1460</v>
      </c>
      <c r="L389" s="2" t="s">
        <v>42</v>
      </c>
      <c r="M389" s="2" t="s">
        <v>409</v>
      </c>
      <c r="N389" s="2" t="s">
        <v>35</v>
      </c>
      <c r="O389" s="2" t="s">
        <v>580</v>
      </c>
      <c r="P389" s="2" t="s">
        <v>35</v>
      </c>
      <c r="Q389" s="2" t="s">
        <v>35</v>
      </c>
    </row>
    <row r="390" spans="1:17" ht="115.2">
      <c r="A390" s="8" t="str">
        <f>HYPERLINK("http://sipi.sic.gov.co/sipi/View.ashx?4279167","SD2022/0074868")</f>
        <v>SD2022/0074868</v>
      </c>
      <c r="B390" s="2" t="s">
        <v>1461</v>
      </c>
      <c r="C390" s="2" t="s">
        <v>35</v>
      </c>
      <c r="D390" s="2" t="s">
        <v>1452</v>
      </c>
      <c r="E390" s="2" t="s">
        <v>35</v>
      </c>
      <c r="F390" s="2" t="s">
        <v>37</v>
      </c>
      <c r="G390" s="2" t="s">
        <v>35</v>
      </c>
      <c r="H390" s="2" t="s">
        <v>1454</v>
      </c>
      <c r="I390" s="2" t="s">
        <v>12</v>
      </c>
      <c r="J390" s="2" t="s">
        <v>40</v>
      </c>
      <c r="K390" s="2" t="s">
        <v>1455</v>
      </c>
      <c r="L390" s="2" t="s">
        <v>55</v>
      </c>
      <c r="M390" s="2" t="s">
        <v>1456</v>
      </c>
      <c r="N390" s="2" t="s">
        <v>35</v>
      </c>
      <c r="O390" s="2" t="s">
        <v>268</v>
      </c>
      <c r="P390" s="2" t="s">
        <v>35</v>
      </c>
      <c r="Q390" s="2" t="s">
        <v>35</v>
      </c>
    </row>
    <row r="391" spans="1:17" ht="273.60000000000002">
      <c r="A391" s="8" t="str">
        <f>HYPERLINK("http://sipi.sic.gov.co/sipi/View.ashx?4284209","SD2022/0076021")</f>
        <v>SD2022/0076021</v>
      </c>
      <c r="B391" s="2" t="s">
        <v>1462</v>
      </c>
      <c r="C391" s="7" t="s">
        <v>35</v>
      </c>
      <c r="D391" s="2" t="s">
        <v>1463</v>
      </c>
      <c r="E391" s="2" t="s">
        <v>35</v>
      </c>
      <c r="F391" s="2" t="s">
        <v>37</v>
      </c>
      <c r="G391" s="2" t="s">
        <v>1464</v>
      </c>
      <c r="H391" s="2" t="s">
        <v>1465</v>
      </c>
      <c r="I391" s="2" t="s">
        <v>356</v>
      </c>
      <c r="J391" s="2" t="s">
        <v>40</v>
      </c>
      <c r="K391" s="2" t="s">
        <v>1466</v>
      </c>
      <c r="L391" s="2" t="s">
        <v>42</v>
      </c>
      <c r="M391" s="2" t="s">
        <v>35</v>
      </c>
      <c r="N391" s="2" t="s">
        <v>35</v>
      </c>
      <c r="O391" s="2" t="s">
        <v>590</v>
      </c>
      <c r="P391" s="2" t="s">
        <v>35</v>
      </c>
      <c r="Q391" s="2" t="s">
        <v>35</v>
      </c>
    </row>
    <row r="392" spans="1:17" ht="144">
      <c r="A392" s="8" t="str">
        <f>HYPERLINK("http://sipi.sic.gov.co/sipi/View.ashx?4285216","SD2022/0076347")</f>
        <v>SD2022/0076347</v>
      </c>
      <c r="B392" s="2" t="s">
        <v>1467</v>
      </c>
      <c r="C392" s="2" t="s">
        <v>35</v>
      </c>
      <c r="D392" s="2" t="s">
        <v>1468</v>
      </c>
      <c r="E392" s="2" t="s">
        <v>35</v>
      </c>
      <c r="F392" s="2" t="s">
        <v>37</v>
      </c>
      <c r="G392" s="2" t="s">
        <v>1469</v>
      </c>
      <c r="H392" s="2" t="s">
        <v>1069</v>
      </c>
      <c r="I392" s="2" t="s">
        <v>12</v>
      </c>
      <c r="J392" s="2" t="s">
        <v>40</v>
      </c>
      <c r="K392" s="2" t="s">
        <v>1070</v>
      </c>
      <c r="L392" s="2" t="s">
        <v>42</v>
      </c>
      <c r="M392" s="2" t="s">
        <v>833</v>
      </c>
      <c r="N392" s="2" t="s">
        <v>35</v>
      </c>
      <c r="O392" s="2" t="s">
        <v>224</v>
      </c>
      <c r="P392" s="2" t="s">
        <v>35</v>
      </c>
      <c r="Q392" s="2" t="s">
        <v>35</v>
      </c>
    </row>
    <row r="393" spans="1:17" ht="100.8">
      <c r="A393" s="8" t="str">
        <f>HYPERLINK("http://sipi.sic.gov.co/sipi/View.ashx?4285276","SD2022/0076355")</f>
        <v>SD2022/0076355</v>
      </c>
      <c r="B393" s="2" t="s">
        <v>1470</v>
      </c>
      <c r="C393" s="7" t="s">
        <v>35</v>
      </c>
      <c r="D393" s="2" t="s">
        <v>1468</v>
      </c>
      <c r="E393" s="2" t="s">
        <v>35</v>
      </c>
      <c r="F393" s="2" t="s">
        <v>37</v>
      </c>
      <c r="G393" s="2" t="s">
        <v>35</v>
      </c>
      <c r="H393" s="2" t="s">
        <v>1471</v>
      </c>
      <c r="I393" s="2" t="s">
        <v>12</v>
      </c>
      <c r="J393" s="2" t="s">
        <v>40</v>
      </c>
      <c r="K393" s="2" t="s">
        <v>1472</v>
      </c>
      <c r="L393" s="2" t="s">
        <v>55</v>
      </c>
      <c r="M393" s="2" t="s">
        <v>1322</v>
      </c>
      <c r="N393" s="2" t="s">
        <v>35</v>
      </c>
      <c r="O393" s="2" t="s">
        <v>224</v>
      </c>
      <c r="P393" s="2" t="s">
        <v>35</v>
      </c>
      <c r="Q393" s="2" t="s">
        <v>35</v>
      </c>
    </row>
    <row r="394" spans="1:17" ht="86.4">
      <c r="A394" s="8" t="str">
        <f>HYPERLINK("http://sipi.sic.gov.co/sipi/View.ashx?4287925","SD2022/0076944")</f>
        <v>SD2022/0076944</v>
      </c>
      <c r="B394" s="2" t="s">
        <v>1473</v>
      </c>
      <c r="C394" s="7" t="s">
        <v>35</v>
      </c>
      <c r="D394" s="2" t="s">
        <v>198</v>
      </c>
      <c r="E394" s="2" t="s">
        <v>35</v>
      </c>
      <c r="F394" s="2" t="s">
        <v>37</v>
      </c>
      <c r="G394" s="2" t="s">
        <v>1473</v>
      </c>
      <c r="H394" s="2" t="s">
        <v>1474</v>
      </c>
      <c r="I394" s="2" t="s">
        <v>12</v>
      </c>
      <c r="J394" s="2" t="s">
        <v>40</v>
      </c>
      <c r="K394" s="2" t="s">
        <v>1475</v>
      </c>
      <c r="L394" s="2" t="s">
        <v>55</v>
      </c>
      <c r="M394" s="2" t="s">
        <v>35</v>
      </c>
      <c r="N394" s="2" t="s">
        <v>35</v>
      </c>
      <c r="O394" s="2" t="s">
        <v>1476</v>
      </c>
      <c r="P394" s="2" t="s">
        <v>35</v>
      </c>
      <c r="Q394" s="2" t="s">
        <v>35</v>
      </c>
    </row>
    <row r="395" spans="1:17" ht="129.6">
      <c r="A395" s="8" t="str">
        <f>HYPERLINK("http://sipi.sic.gov.co/sipi/View.ashx?4287930","SD2022/0076946")</f>
        <v>SD2022/0076946</v>
      </c>
      <c r="B395" s="2" t="s">
        <v>1477</v>
      </c>
      <c r="C395" s="2" t="s">
        <v>35</v>
      </c>
      <c r="D395" s="2" t="s">
        <v>198</v>
      </c>
      <c r="E395" s="2" t="s">
        <v>35</v>
      </c>
      <c r="F395" s="2" t="s">
        <v>37</v>
      </c>
      <c r="G395" s="2" t="s">
        <v>35</v>
      </c>
      <c r="H395" s="2" t="s">
        <v>1478</v>
      </c>
      <c r="I395" s="2" t="s">
        <v>12</v>
      </c>
      <c r="J395" s="2" t="s">
        <v>40</v>
      </c>
      <c r="K395" s="2" t="s">
        <v>1349</v>
      </c>
      <c r="L395" s="2" t="s">
        <v>42</v>
      </c>
      <c r="M395" s="2" t="s">
        <v>371</v>
      </c>
      <c r="N395" s="2" t="s">
        <v>35</v>
      </c>
      <c r="O395" s="2" t="s">
        <v>268</v>
      </c>
      <c r="P395" s="2" t="s">
        <v>35</v>
      </c>
      <c r="Q395" s="2" t="s">
        <v>35</v>
      </c>
    </row>
    <row r="396" spans="1:17" ht="129.6">
      <c r="A396" s="8" t="str">
        <f>HYPERLINK("http://sipi.sic.gov.co/sipi/View.ashx?4287964","SD2022/0076960")</f>
        <v>SD2022/0076960</v>
      </c>
      <c r="B396" s="2" t="s">
        <v>1479</v>
      </c>
      <c r="C396" s="2" t="s">
        <v>35</v>
      </c>
      <c r="D396" s="2" t="s">
        <v>198</v>
      </c>
      <c r="E396" s="2" t="s">
        <v>35</v>
      </c>
      <c r="F396" s="2" t="s">
        <v>37</v>
      </c>
      <c r="G396" s="2" t="s">
        <v>35</v>
      </c>
      <c r="H396" s="2" t="s">
        <v>1478</v>
      </c>
      <c r="I396" s="2" t="s">
        <v>12</v>
      </c>
      <c r="J396" s="2" t="s">
        <v>40</v>
      </c>
      <c r="K396" s="2" t="s">
        <v>1349</v>
      </c>
      <c r="L396" s="2" t="s">
        <v>42</v>
      </c>
      <c r="M396" s="2" t="s">
        <v>371</v>
      </c>
      <c r="N396" s="2" t="s">
        <v>35</v>
      </c>
      <c r="O396" s="2" t="s">
        <v>268</v>
      </c>
      <c r="P396" s="2" t="s">
        <v>35</v>
      </c>
      <c r="Q396" s="2" t="s">
        <v>35</v>
      </c>
    </row>
    <row r="397" spans="1:17" ht="86.4">
      <c r="A397" s="8" t="str">
        <f>HYPERLINK("http://sipi.sic.gov.co/sipi/View.ashx?4288801","SD2022/0077203")</f>
        <v>SD2022/0077203</v>
      </c>
      <c r="B397" s="2" t="s">
        <v>1480</v>
      </c>
      <c r="C397" s="2" t="s">
        <v>35</v>
      </c>
      <c r="D397" s="2" t="s">
        <v>198</v>
      </c>
      <c r="E397" s="2" t="s">
        <v>35</v>
      </c>
      <c r="F397" s="2" t="s">
        <v>37</v>
      </c>
      <c r="G397" s="2" t="s">
        <v>35</v>
      </c>
      <c r="H397" s="2" t="s">
        <v>1481</v>
      </c>
      <c r="I397" s="2" t="s">
        <v>12</v>
      </c>
      <c r="J397" s="2" t="s">
        <v>40</v>
      </c>
      <c r="K397" s="2" t="s">
        <v>1482</v>
      </c>
      <c r="L397" s="2" t="s">
        <v>42</v>
      </c>
      <c r="M397" s="2" t="s">
        <v>35</v>
      </c>
      <c r="N397" s="2" t="s">
        <v>35</v>
      </c>
      <c r="O397" s="2" t="s">
        <v>268</v>
      </c>
      <c r="P397" s="2" t="s">
        <v>35</v>
      </c>
      <c r="Q397" s="2" t="s">
        <v>35</v>
      </c>
    </row>
    <row r="398" spans="1:17" ht="129.6">
      <c r="A398" s="8" t="str">
        <f>HYPERLINK("http://sipi.sic.gov.co/sipi/View.ashx?4289378","SD2022/0077290")</f>
        <v>SD2022/0077290</v>
      </c>
      <c r="B398" s="2" t="s">
        <v>1483</v>
      </c>
      <c r="C398" s="2" t="s">
        <v>35</v>
      </c>
      <c r="D398" s="2" t="s">
        <v>1484</v>
      </c>
      <c r="E398" s="2" t="s">
        <v>35</v>
      </c>
      <c r="F398" s="2" t="s">
        <v>37</v>
      </c>
      <c r="G398" s="2" t="s">
        <v>35</v>
      </c>
      <c r="H398" s="2" t="s">
        <v>1485</v>
      </c>
      <c r="I398" s="2" t="s">
        <v>12</v>
      </c>
      <c r="J398" s="2" t="s">
        <v>40</v>
      </c>
      <c r="K398" s="2" t="s">
        <v>1486</v>
      </c>
      <c r="L398" s="2" t="s">
        <v>42</v>
      </c>
      <c r="M398" s="2" t="s">
        <v>1487</v>
      </c>
      <c r="N398" s="2" t="s">
        <v>35</v>
      </c>
      <c r="O398" s="2" t="s">
        <v>555</v>
      </c>
      <c r="P398" s="2" t="s">
        <v>35</v>
      </c>
      <c r="Q398" s="2" t="s">
        <v>35</v>
      </c>
    </row>
    <row r="399" spans="1:17" ht="129.6">
      <c r="A399" s="8" t="str">
        <f>HYPERLINK("http://sipi.sic.gov.co/sipi/View.ashx?4289384","SD2022/0077292")</f>
        <v>SD2022/0077292</v>
      </c>
      <c r="B399" s="2" t="s">
        <v>1488</v>
      </c>
      <c r="C399" s="2" t="s">
        <v>35</v>
      </c>
      <c r="D399" s="2" t="s">
        <v>1484</v>
      </c>
      <c r="E399" s="2" t="s">
        <v>35</v>
      </c>
      <c r="F399" s="2" t="s">
        <v>37</v>
      </c>
      <c r="G399" s="2" t="s">
        <v>35</v>
      </c>
      <c r="H399" s="2" t="s">
        <v>1485</v>
      </c>
      <c r="I399" s="2" t="s">
        <v>12</v>
      </c>
      <c r="J399" s="2" t="s">
        <v>40</v>
      </c>
      <c r="K399" s="2" t="s">
        <v>1486</v>
      </c>
      <c r="L399" s="2" t="s">
        <v>42</v>
      </c>
      <c r="M399" s="2" t="s">
        <v>1487</v>
      </c>
      <c r="N399" s="2" t="s">
        <v>35</v>
      </c>
      <c r="O399" s="2" t="s">
        <v>555</v>
      </c>
      <c r="P399" s="2" t="s">
        <v>35</v>
      </c>
      <c r="Q399" s="2" t="s">
        <v>35</v>
      </c>
    </row>
    <row r="400" spans="1:17" ht="129.6">
      <c r="A400" s="8" t="str">
        <f>HYPERLINK("http://sipi.sic.gov.co/sipi/View.ashx?4289389","SD2022/0077294")</f>
        <v>SD2022/0077294</v>
      </c>
      <c r="B400" s="2" t="s">
        <v>1489</v>
      </c>
      <c r="C400" s="2" t="s">
        <v>35</v>
      </c>
      <c r="D400" s="2" t="s">
        <v>1484</v>
      </c>
      <c r="E400" s="2" t="s">
        <v>35</v>
      </c>
      <c r="F400" s="2" t="s">
        <v>37</v>
      </c>
      <c r="G400" s="2" t="s">
        <v>35</v>
      </c>
      <c r="H400" s="2" t="s">
        <v>1485</v>
      </c>
      <c r="I400" s="2" t="s">
        <v>12</v>
      </c>
      <c r="J400" s="2" t="s">
        <v>40</v>
      </c>
      <c r="K400" s="2" t="s">
        <v>1486</v>
      </c>
      <c r="L400" s="2" t="s">
        <v>42</v>
      </c>
      <c r="M400" s="2" t="s">
        <v>1487</v>
      </c>
      <c r="N400" s="2" t="s">
        <v>35</v>
      </c>
      <c r="O400" s="2" t="s">
        <v>555</v>
      </c>
      <c r="P400" s="2" t="s">
        <v>35</v>
      </c>
      <c r="Q400" s="2" t="s">
        <v>35</v>
      </c>
    </row>
    <row r="401" spans="1:17" ht="129.6">
      <c r="A401" s="8" t="str">
        <f>HYPERLINK("http://sipi.sic.gov.co/sipi/View.ashx?4289391","SD2022/0077295")</f>
        <v>SD2022/0077295</v>
      </c>
      <c r="B401" s="2" t="s">
        <v>1490</v>
      </c>
      <c r="C401" s="2" t="s">
        <v>35</v>
      </c>
      <c r="D401" s="2" t="s">
        <v>1484</v>
      </c>
      <c r="E401" s="2" t="s">
        <v>35</v>
      </c>
      <c r="F401" s="2" t="s">
        <v>37</v>
      </c>
      <c r="G401" s="2" t="s">
        <v>35</v>
      </c>
      <c r="H401" s="2" t="s">
        <v>1485</v>
      </c>
      <c r="I401" s="2" t="s">
        <v>12</v>
      </c>
      <c r="J401" s="2" t="s">
        <v>40</v>
      </c>
      <c r="K401" s="2" t="s">
        <v>1486</v>
      </c>
      <c r="L401" s="2" t="s">
        <v>55</v>
      </c>
      <c r="M401" s="2" t="s">
        <v>1487</v>
      </c>
      <c r="N401" s="2" t="s">
        <v>35</v>
      </c>
      <c r="O401" s="2" t="s">
        <v>555</v>
      </c>
      <c r="P401" s="2" t="s">
        <v>35</v>
      </c>
      <c r="Q401" s="2" t="s">
        <v>35</v>
      </c>
    </row>
    <row r="402" spans="1:17" ht="144">
      <c r="A402" s="8" t="str">
        <f>HYPERLINK("http://sipi.sic.gov.co/sipi/View.ashx?4293076","SD2022/0078528")</f>
        <v>SD2022/0078528</v>
      </c>
      <c r="B402" s="2" t="s">
        <v>1491</v>
      </c>
      <c r="C402" s="2" t="s">
        <v>35</v>
      </c>
      <c r="D402" s="2" t="s">
        <v>1492</v>
      </c>
      <c r="E402" s="2" t="s">
        <v>35</v>
      </c>
      <c r="F402" s="2" t="s">
        <v>37</v>
      </c>
      <c r="G402" s="2" t="s">
        <v>1493</v>
      </c>
      <c r="H402" s="2" t="s">
        <v>735</v>
      </c>
      <c r="I402" s="2" t="s">
        <v>12</v>
      </c>
      <c r="J402" s="2" t="s">
        <v>40</v>
      </c>
      <c r="K402" s="2" t="s">
        <v>1494</v>
      </c>
      <c r="L402" s="2" t="s">
        <v>42</v>
      </c>
      <c r="M402" s="2" t="s">
        <v>527</v>
      </c>
      <c r="N402" s="2" t="s">
        <v>35</v>
      </c>
      <c r="O402" s="2" t="s">
        <v>555</v>
      </c>
      <c r="P402" s="2" t="s">
        <v>35</v>
      </c>
      <c r="Q402" s="2" t="s">
        <v>35</v>
      </c>
    </row>
    <row r="403" spans="1:17" ht="129.6">
      <c r="A403" s="8" t="str">
        <f>HYPERLINK("http://sipi.sic.gov.co/sipi/View.ashx?4293418","SD2022/0078254")</f>
        <v>SD2022/0078254</v>
      </c>
      <c r="B403" s="2" t="s">
        <v>1495</v>
      </c>
      <c r="C403" s="2" t="s">
        <v>35</v>
      </c>
      <c r="D403" s="2" t="s">
        <v>1496</v>
      </c>
      <c r="E403" s="2" t="s">
        <v>35</v>
      </c>
      <c r="F403" s="2" t="s">
        <v>37</v>
      </c>
      <c r="G403" s="2" t="s">
        <v>1497</v>
      </c>
      <c r="H403" s="2" t="s">
        <v>1498</v>
      </c>
      <c r="I403" s="2" t="s">
        <v>12</v>
      </c>
      <c r="J403" s="2" t="s">
        <v>40</v>
      </c>
      <c r="K403" s="2" t="s">
        <v>1499</v>
      </c>
      <c r="L403" s="2" t="s">
        <v>42</v>
      </c>
      <c r="M403" s="2" t="s">
        <v>451</v>
      </c>
      <c r="N403" s="2" t="s">
        <v>35</v>
      </c>
      <c r="O403" s="2" t="s">
        <v>224</v>
      </c>
      <c r="P403" s="2" t="s">
        <v>35</v>
      </c>
      <c r="Q403" s="2" t="s">
        <v>35</v>
      </c>
    </row>
    <row r="404" spans="1:17" ht="129.6">
      <c r="A404" s="8" t="str">
        <f>HYPERLINK("http://sipi.sic.gov.co/sipi/View.ashx?4295540","SD2022/0078869")</f>
        <v>SD2022/0078869</v>
      </c>
      <c r="B404" s="2" t="s">
        <v>1500</v>
      </c>
      <c r="C404" s="2" t="s">
        <v>35</v>
      </c>
      <c r="D404" s="2" t="s">
        <v>1492</v>
      </c>
      <c r="E404" s="2" t="s">
        <v>35</v>
      </c>
      <c r="F404" s="2" t="s">
        <v>37</v>
      </c>
      <c r="G404" s="2" t="s">
        <v>35</v>
      </c>
      <c r="H404" s="2" t="s">
        <v>1485</v>
      </c>
      <c r="I404" s="2" t="s">
        <v>12</v>
      </c>
      <c r="J404" s="2" t="s">
        <v>40</v>
      </c>
      <c r="K404" s="2" t="s">
        <v>1486</v>
      </c>
      <c r="L404" s="2" t="s">
        <v>42</v>
      </c>
      <c r="M404" s="2" t="s">
        <v>1487</v>
      </c>
      <c r="N404" s="2" t="s">
        <v>35</v>
      </c>
      <c r="O404" s="2" t="s">
        <v>558</v>
      </c>
      <c r="P404" s="2" t="s">
        <v>35</v>
      </c>
      <c r="Q404" s="2" t="s">
        <v>35</v>
      </c>
    </row>
    <row r="405" spans="1:17" ht="216">
      <c r="A405" s="8" t="str">
        <f>HYPERLINK("http://sipi.sic.gov.co/sipi/View.ashx?4296022","SD2022/0078993")</f>
        <v>SD2022/0078993</v>
      </c>
      <c r="B405" s="2" t="s">
        <v>1501</v>
      </c>
      <c r="C405" s="7" t="s">
        <v>35</v>
      </c>
      <c r="D405" s="2" t="s">
        <v>1492</v>
      </c>
      <c r="E405" s="2" t="s">
        <v>35</v>
      </c>
      <c r="F405" s="2" t="s">
        <v>37</v>
      </c>
      <c r="G405" s="2" t="s">
        <v>1502</v>
      </c>
      <c r="H405" s="2" t="s">
        <v>1503</v>
      </c>
      <c r="I405" s="2" t="s">
        <v>12</v>
      </c>
      <c r="J405" s="2" t="s">
        <v>40</v>
      </c>
      <c r="K405" s="2" t="s">
        <v>1504</v>
      </c>
      <c r="L405" s="2" t="s">
        <v>55</v>
      </c>
      <c r="M405" s="2" t="s">
        <v>1037</v>
      </c>
      <c r="N405" s="2" t="s">
        <v>35</v>
      </c>
      <c r="O405" s="2" t="s">
        <v>268</v>
      </c>
      <c r="P405" s="2" t="s">
        <v>35</v>
      </c>
      <c r="Q405" s="2" t="s">
        <v>35</v>
      </c>
    </row>
    <row r="406" spans="1:17" ht="100.8">
      <c r="A406" s="8" t="str">
        <f>HYPERLINK("http://sipi.sic.gov.co/sipi/View.ashx?4296883","SD2022/0079179")</f>
        <v>SD2022/0079179</v>
      </c>
      <c r="B406" s="2" t="s">
        <v>1505</v>
      </c>
      <c r="C406" s="2" t="s">
        <v>35</v>
      </c>
      <c r="D406" s="2" t="s">
        <v>1506</v>
      </c>
      <c r="E406" s="2" t="s">
        <v>35</v>
      </c>
      <c r="F406" s="2" t="s">
        <v>37</v>
      </c>
      <c r="G406" s="2" t="s">
        <v>35</v>
      </c>
      <c r="H406" s="2" t="s">
        <v>1507</v>
      </c>
      <c r="I406" s="2" t="s">
        <v>12</v>
      </c>
      <c r="J406" s="2" t="s">
        <v>40</v>
      </c>
      <c r="K406" s="2" t="s">
        <v>1472</v>
      </c>
      <c r="L406" s="2" t="s">
        <v>42</v>
      </c>
      <c r="M406" s="2" t="s">
        <v>1322</v>
      </c>
      <c r="N406" s="2" t="s">
        <v>35</v>
      </c>
      <c r="O406" s="2" t="s">
        <v>580</v>
      </c>
      <c r="P406" s="2" t="s">
        <v>35</v>
      </c>
      <c r="Q406" s="2" t="s">
        <v>35</v>
      </c>
    </row>
    <row r="407" spans="1:17" ht="172.8">
      <c r="A407" s="8" t="str">
        <f>HYPERLINK("http://sipi.sic.gov.co/sipi/View.ashx?4297296","SD2022/0079291")</f>
        <v>SD2022/0079291</v>
      </c>
      <c r="B407" s="2" t="s">
        <v>1508</v>
      </c>
      <c r="C407" s="7" t="s">
        <v>35</v>
      </c>
      <c r="D407" s="2" t="s">
        <v>268</v>
      </c>
      <c r="E407" s="2" t="s">
        <v>35</v>
      </c>
      <c r="F407" s="2" t="s">
        <v>37</v>
      </c>
      <c r="G407" s="2" t="s">
        <v>35</v>
      </c>
      <c r="H407" s="2" t="s">
        <v>1509</v>
      </c>
      <c r="I407" s="2" t="s">
        <v>1121</v>
      </c>
      <c r="J407" s="2" t="s">
        <v>40</v>
      </c>
      <c r="K407" s="2" t="s">
        <v>1510</v>
      </c>
      <c r="L407" s="2" t="s">
        <v>42</v>
      </c>
      <c r="M407" s="2" t="s">
        <v>1511</v>
      </c>
      <c r="N407" s="2" t="s">
        <v>35</v>
      </c>
      <c r="O407" s="2" t="s">
        <v>595</v>
      </c>
      <c r="P407" s="2" t="s">
        <v>35</v>
      </c>
      <c r="Q407" s="2" t="s">
        <v>35</v>
      </c>
    </row>
    <row r="408" spans="1:17" ht="216">
      <c r="A408" s="8" t="str">
        <f>HYPERLINK("http://sipi.sic.gov.co/sipi/View.ashx?4301330","SD2022/0080555")</f>
        <v>SD2022/0080555</v>
      </c>
      <c r="B408" s="2" t="s">
        <v>1512</v>
      </c>
      <c r="C408" s="2" t="s">
        <v>35</v>
      </c>
      <c r="D408" s="2" t="s">
        <v>1513</v>
      </c>
      <c r="E408" s="2" t="s">
        <v>35</v>
      </c>
      <c r="F408" s="2" t="s">
        <v>37</v>
      </c>
      <c r="G408" s="2" t="s">
        <v>1514</v>
      </c>
      <c r="H408" s="2" t="s">
        <v>1515</v>
      </c>
      <c r="I408" s="2" t="s">
        <v>12</v>
      </c>
      <c r="J408" s="2" t="s">
        <v>40</v>
      </c>
      <c r="K408" s="2" t="s">
        <v>1516</v>
      </c>
      <c r="L408" s="2" t="s">
        <v>42</v>
      </c>
      <c r="M408" s="2" t="s">
        <v>417</v>
      </c>
      <c r="N408" s="2" t="s">
        <v>35</v>
      </c>
      <c r="O408" s="2" t="s">
        <v>580</v>
      </c>
      <c r="P408" s="2" t="s">
        <v>413</v>
      </c>
      <c r="Q408" s="2" t="s">
        <v>35</v>
      </c>
    </row>
    <row r="409" spans="1:17" ht="100.8">
      <c r="A409" s="8" t="str">
        <f>HYPERLINK("http://sipi.sic.gov.co/sipi/View.ashx?4301920","SD2022/0083063")</f>
        <v>SD2022/0083063</v>
      </c>
      <c r="B409" s="2" t="s">
        <v>1517</v>
      </c>
      <c r="C409" s="2" t="s">
        <v>35</v>
      </c>
      <c r="D409" s="2" t="s">
        <v>1518</v>
      </c>
      <c r="E409" s="2" t="s">
        <v>35</v>
      </c>
      <c r="F409" s="2" t="s">
        <v>37</v>
      </c>
      <c r="G409" s="2" t="s">
        <v>1519</v>
      </c>
      <c r="H409" s="2" t="s">
        <v>1520</v>
      </c>
      <c r="I409" s="2" t="s">
        <v>12</v>
      </c>
      <c r="J409" s="2" t="s">
        <v>40</v>
      </c>
      <c r="K409" s="2" t="s">
        <v>1521</v>
      </c>
      <c r="L409" s="2" t="s">
        <v>42</v>
      </c>
      <c r="M409" s="2" t="s">
        <v>1522</v>
      </c>
      <c r="N409" s="2" t="s">
        <v>35</v>
      </c>
      <c r="O409" s="2" t="s">
        <v>558</v>
      </c>
      <c r="P409" s="2" t="s">
        <v>35</v>
      </c>
      <c r="Q409" s="2" t="s">
        <v>35</v>
      </c>
    </row>
    <row r="410" spans="1:17" ht="187.2">
      <c r="A410" s="8" t="str">
        <f>HYPERLINK("http://sipi.sic.gov.co/sipi/View.ashx?4302998","SD2022/0080827")</f>
        <v>SD2022/0080827</v>
      </c>
      <c r="B410" s="2" t="s">
        <v>1523</v>
      </c>
      <c r="C410" s="2" t="s">
        <v>35</v>
      </c>
      <c r="D410" s="2" t="s">
        <v>268</v>
      </c>
      <c r="E410" s="2" t="s">
        <v>35</v>
      </c>
      <c r="F410" s="2" t="s">
        <v>37</v>
      </c>
      <c r="G410" s="2" t="s">
        <v>1524</v>
      </c>
      <c r="H410" s="2" t="s">
        <v>1525</v>
      </c>
      <c r="I410" s="2" t="s">
        <v>12</v>
      </c>
      <c r="J410" s="2" t="s">
        <v>40</v>
      </c>
      <c r="K410" s="2" t="s">
        <v>551</v>
      </c>
      <c r="L410" s="2" t="s">
        <v>42</v>
      </c>
      <c r="M410" s="2" t="s">
        <v>1526</v>
      </c>
      <c r="N410" s="2" t="s">
        <v>35</v>
      </c>
      <c r="O410" s="2" t="s">
        <v>224</v>
      </c>
      <c r="P410" s="2" t="s">
        <v>35</v>
      </c>
      <c r="Q410" s="2" t="s">
        <v>35</v>
      </c>
    </row>
    <row r="411" spans="1:17" ht="172.8">
      <c r="A411" s="8" t="str">
        <f>HYPERLINK("http://sipi.sic.gov.co/sipi/View.ashx?4303199","SD2022/0080857")</f>
        <v>SD2022/0080857</v>
      </c>
      <c r="B411" s="2" t="s">
        <v>1527</v>
      </c>
      <c r="C411" s="2" t="s">
        <v>35</v>
      </c>
      <c r="D411" s="2" t="s">
        <v>268</v>
      </c>
      <c r="E411" s="2" t="s">
        <v>35</v>
      </c>
      <c r="F411" s="2" t="s">
        <v>37</v>
      </c>
      <c r="G411" s="2" t="s">
        <v>1528</v>
      </c>
      <c r="H411" s="2" t="s">
        <v>1529</v>
      </c>
      <c r="I411" s="2" t="s">
        <v>12</v>
      </c>
      <c r="J411" s="2" t="s">
        <v>40</v>
      </c>
      <c r="K411" s="2" t="s">
        <v>1530</v>
      </c>
      <c r="L411" s="2" t="s">
        <v>42</v>
      </c>
      <c r="M411" s="2" t="s">
        <v>515</v>
      </c>
      <c r="N411" s="2" t="s">
        <v>35</v>
      </c>
      <c r="O411" s="2" t="s">
        <v>580</v>
      </c>
      <c r="P411" s="2" t="s">
        <v>35</v>
      </c>
      <c r="Q411" s="2" t="s">
        <v>35</v>
      </c>
    </row>
    <row r="412" spans="1:17" ht="172.8">
      <c r="A412" s="8" t="str">
        <f>HYPERLINK("http://sipi.sic.gov.co/sipi/View.ashx?4303214","SD2022/0080862")</f>
        <v>SD2022/0080862</v>
      </c>
      <c r="B412" s="2" t="s">
        <v>1531</v>
      </c>
      <c r="C412" s="2" t="s">
        <v>35</v>
      </c>
      <c r="D412" s="2" t="s">
        <v>268</v>
      </c>
      <c r="E412" s="2" t="s">
        <v>35</v>
      </c>
      <c r="F412" s="2" t="s">
        <v>37</v>
      </c>
      <c r="G412" s="2" t="s">
        <v>1532</v>
      </c>
      <c r="H412" s="2" t="s">
        <v>1529</v>
      </c>
      <c r="I412" s="2" t="s">
        <v>12</v>
      </c>
      <c r="J412" s="2" t="s">
        <v>40</v>
      </c>
      <c r="K412" s="2" t="s">
        <v>1530</v>
      </c>
      <c r="L412" s="2" t="s">
        <v>42</v>
      </c>
      <c r="M412" s="2" t="s">
        <v>515</v>
      </c>
      <c r="N412" s="2" t="s">
        <v>35</v>
      </c>
      <c r="O412" s="2" t="s">
        <v>590</v>
      </c>
      <c r="P412" s="2" t="s">
        <v>35</v>
      </c>
      <c r="Q412" s="2" t="s">
        <v>35</v>
      </c>
    </row>
    <row r="413" spans="1:17" ht="144">
      <c r="A413" s="8" t="str">
        <f>HYPERLINK("http://sipi.sic.gov.co/sipi/View.ashx?4308016","SD2022/0082384")</f>
        <v>SD2022/0082384</v>
      </c>
      <c r="B413" s="2" t="s">
        <v>1533</v>
      </c>
      <c r="C413" s="7" t="s">
        <v>35</v>
      </c>
      <c r="D413" s="2" t="s">
        <v>1534</v>
      </c>
      <c r="E413" s="2" t="s">
        <v>35</v>
      </c>
      <c r="F413" s="2" t="s">
        <v>37</v>
      </c>
      <c r="G413" s="2" t="s">
        <v>1535</v>
      </c>
      <c r="H413" s="2" t="s">
        <v>735</v>
      </c>
      <c r="I413" s="2" t="s">
        <v>12</v>
      </c>
      <c r="J413" s="2" t="s">
        <v>40</v>
      </c>
      <c r="K413" s="2" t="s">
        <v>1536</v>
      </c>
      <c r="L413" s="2" t="s">
        <v>55</v>
      </c>
      <c r="M413" s="2" t="s">
        <v>527</v>
      </c>
      <c r="N413" s="2" t="s">
        <v>35</v>
      </c>
      <c r="O413" s="2" t="s">
        <v>555</v>
      </c>
      <c r="P413" s="2" t="s">
        <v>35</v>
      </c>
      <c r="Q413" s="2" t="s">
        <v>35</v>
      </c>
    </row>
    <row r="414" spans="1:17" ht="115.2">
      <c r="A414" s="8" t="str">
        <f>HYPERLINK("http://sipi.sic.gov.co/sipi/View.ashx?4310345","SD2022/0082613")</f>
        <v>SD2022/0082613</v>
      </c>
      <c r="B414" s="2" t="s">
        <v>1537</v>
      </c>
      <c r="C414" s="7" t="s">
        <v>35</v>
      </c>
      <c r="D414" s="2" t="s">
        <v>1534</v>
      </c>
      <c r="E414" s="2" t="s">
        <v>35</v>
      </c>
      <c r="F414" s="2" t="s">
        <v>37</v>
      </c>
      <c r="G414" s="2" t="s">
        <v>1538</v>
      </c>
      <c r="H414" s="2" t="s">
        <v>1454</v>
      </c>
      <c r="I414" s="2" t="s">
        <v>12</v>
      </c>
      <c r="J414" s="2" t="s">
        <v>40</v>
      </c>
      <c r="K414" s="2" t="s">
        <v>1539</v>
      </c>
      <c r="L414" s="2" t="s">
        <v>42</v>
      </c>
      <c r="M414" s="2" t="s">
        <v>1456</v>
      </c>
      <c r="N414" s="2" t="s">
        <v>35</v>
      </c>
      <c r="O414" s="2" t="s">
        <v>558</v>
      </c>
      <c r="P414" s="2" t="s">
        <v>35</v>
      </c>
      <c r="Q414" s="2" t="s">
        <v>35</v>
      </c>
    </row>
    <row r="415" spans="1:17" ht="129.6">
      <c r="A415" s="8" t="str">
        <f>HYPERLINK("http://sipi.sic.gov.co/sipi/View.ashx?4311179","SD2022/0082746")</f>
        <v>SD2022/0082746</v>
      </c>
      <c r="B415" s="2" t="s">
        <v>1540</v>
      </c>
      <c r="C415" s="2" t="s">
        <v>35</v>
      </c>
      <c r="D415" s="2" t="s">
        <v>1541</v>
      </c>
      <c r="E415" s="2" t="s">
        <v>35</v>
      </c>
      <c r="F415" s="2" t="s">
        <v>37</v>
      </c>
      <c r="G415" s="2" t="s">
        <v>1540</v>
      </c>
      <c r="H415" s="2" t="s">
        <v>1542</v>
      </c>
      <c r="I415" s="2" t="s">
        <v>12</v>
      </c>
      <c r="J415" s="2" t="s">
        <v>40</v>
      </c>
      <c r="K415" s="2" t="s">
        <v>491</v>
      </c>
      <c r="L415" s="2" t="s">
        <v>42</v>
      </c>
      <c r="M415" s="2" t="s">
        <v>1543</v>
      </c>
      <c r="N415" s="2" t="s">
        <v>35</v>
      </c>
      <c r="O415" s="2" t="s">
        <v>1409</v>
      </c>
      <c r="P415" s="2" t="s">
        <v>35</v>
      </c>
      <c r="Q415" s="2" t="s">
        <v>35</v>
      </c>
    </row>
    <row r="416" spans="1:17" ht="409.6">
      <c r="A416" s="8" t="str">
        <f>HYPERLINK("http://sipi.sic.gov.co/sipi/View.ashx?4311612","SD2022/0082781")</f>
        <v>SD2022/0082781</v>
      </c>
      <c r="B416" s="2" t="s">
        <v>1544</v>
      </c>
      <c r="C416" s="7" t="s">
        <v>35</v>
      </c>
      <c r="D416" s="2" t="s">
        <v>1545</v>
      </c>
      <c r="E416" s="2" t="s">
        <v>35</v>
      </c>
      <c r="F416" s="2" t="s">
        <v>37</v>
      </c>
      <c r="G416" s="2" t="s">
        <v>1546</v>
      </c>
      <c r="H416" s="2" t="s">
        <v>1547</v>
      </c>
      <c r="I416" s="2" t="s">
        <v>113</v>
      </c>
      <c r="J416" s="2" t="s">
        <v>40</v>
      </c>
      <c r="K416" s="2" t="s">
        <v>1548</v>
      </c>
      <c r="L416" s="2" t="s">
        <v>42</v>
      </c>
      <c r="M416" s="2" t="s">
        <v>35</v>
      </c>
      <c r="N416" s="2" t="s">
        <v>35</v>
      </c>
      <c r="O416" s="2" t="s">
        <v>359</v>
      </c>
      <c r="P416" s="2" t="s">
        <v>35</v>
      </c>
      <c r="Q416" s="2" t="s">
        <v>35</v>
      </c>
    </row>
    <row r="417" spans="1:17" ht="259.2">
      <c r="A417" s="8" t="str">
        <f>HYPERLINK("http://sipi.sic.gov.co/sipi/View.ashx?4311657","SD2022/0082788")</f>
        <v>SD2022/0082788</v>
      </c>
      <c r="B417" s="2" t="s">
        <v>1549</v>
      </c>
      <c r="C417" s="7" t="s">
        <v>35</v>
      </c>
      <c r="D417" s="2" t="s">
        <v>1545</v>
      </c>
      <c r="E417" s="2" t="s">
        <v>35</v>
      </c>
      <c r="F417" s="2" t="s">
        <v>37</v>
      </c>
      <c r="G417" s="2" t="s">
        <v>1549</v>
      </c>
      <c r="H417" s="2" t="s">
        <v>1550</v>
      </c>
      <c r="I417" s="2" t="s">
        <v>12</v>
      </c>
      <c r="J417" s="2" t="s">
        <v>40</v>
      </c>
      <c r="K417" s="2" t="s">
        <v>1551</v>
      </c>
      <c r="L417" s="2" t="s">
        <v>55</v>
      </c>
      <c r="M417" s="2" t="s">
        <v>1552</v>
      </c>
      <c r="N417" s="2" t="s">
        <v>35</v>
      </c>
      <c r="O417" s="2" t="s">
        <v>704</v>
      </c>
      <c r="P417" s="2" t="s">
        <v>35</v>
      </c>
      <c r="Q417" s="2" t="s">
        <v>35</v>
      </c>
    </row>
    <row r="418" spans="1:17" ht="187.2">
      <c r="A418" s="8" t="str">
        <f>HYPERLINK("http://sipi.sic.gov.co/sipi/View.ashx?4312141","SD2022/0085336")</f>
        <v>SD2022/0085336</v>
      </c>
      <c r="B418" s="2" t="s">
        <v>1553</v>
      </c>
      <c r="C418" s="7" t="s">
        <v>35</v>
      </c>
      <c r="D418" s="2" t="s">
        <v>1554</v>
      </c>
      <c r="E418" s="2" t="s">
        <v>35</v>
      </c>
      <c r="F418" s="2" t="s">
        <v>37</v>
      </c>
      <c r="G418" s="2" t="s">
        <v>1555</v>
      </c>
      <c r="H418" s="2" t="s">
        <v>980</v>
      </c>
      <c r="I418" s="2" t="s">
        <v>12</v>
      </c>
      <c r="J418" s="2" t="s">
        <v>40</v>
      </c>
      <c r="K418" s="2" t="s">
        <v>981</v>
      </c>
      <c r="L418" s="2" t="s">
        <v>42</v>
      </c>
      <c r="M418" s="2" t="s">
        <v>515</v>
      </c>
      <c r="N418" s="2" t="s">
        <v>35</v>
      </c>
      <c r="O418" s="2" t="s">
        <v>493</v>
      </c>
      <c r="P418" s="2" t="s">
        <v>35</v>
      </c>
      <c r="Q418" s="2" t="s">
        <v>35</v>
      </c>
    </row>
    <row r="419" spans="1:17" ht="158.4">
      <c r="A419" s="8" t="str">
        <f>HYPERLINK("http://sipi.sic.gov.co/sipi/View.ashx?4312389","SD2022/0082991")</f>
        <v>SD2022/0082991</v>
      </c>
      <c r="B419" s="2" t="s">
        <v>1556</v>
      </c>
      <c r="C419" s="7" t="s">
        <v>35</v>
      </c>
      <c r="D419" s="2" t="s">
        <v>1518</v>
      </c>
      <c r="E419" s="2" t="s">
        <v>35</v>
      </c>
      <c r="F419" s="2" t="s">
        <v>37</v>
      </c>
      <c r="G419" s="2" t="s">
        <v>1557</v>
      </c>
      <c r="H419" s="2" t="s">
        <v>1558</v>
      </c>
      <c r="I419" s="2" t="s">
        <v>12</v>
      </c>
      <c r="J419" s="2" t="s">
        <v>40</v>
      </c>
      <c r="K419" s="2" t="s">
        <v>821</v>
      </c>
      <c r="L419" s="2" t="s">
        <v>42</v>
      </c>
      <c r="M419" s="2" t="s">
        <v>1559</v>
      </c>
      <c r="N419" s="2" t="s">
        <v>35</v>
      </c>
      <c r="O419" s="2" t="s">
        <v>359</v>
      </c>
      <c r="P419" s="2" t="s">
        <v>35</v>
      </c>
      <c r="Q419" s="2" t="s">
        <v>35</v>
      </c>
    </row>
    <row r="420" spans="1:17" ht="158.4">
      <c r="A420" s="8" t="str">
        <f>HYPERLINK("http://sipi.sic.gov.co/sipi/View.ashx?4313020","SD2022/0083067")</f>
        <v>SD2022/0083067</v>
      </c>
      <c r="B420" s="2" t="s">
        <v>1560</v>
      </c>
      <c r="C420" s="2" t="s">
        <v>35</v>
      </c>
      <c r="D420" s="2" t="s">
        <v>1518</v>
      </c>
      <c r="E420" s="2" t="s">
        <v>35</v>
      </c>
      <c r="F420" s="2" t="s">
        <v>37</v>
      </c>
      <c r="G420" s="2" t="s">
        <v>1561</v>
      </c>
      <c r="H420" s="2" t="s">
        <v>1520</v>
      </c>
      <c r="I420" s="2" t="s">
        <v>12</v>
      </c>
      <c r="J420" s="2" t="s">
        <v>40</v>
      </c>
      <c r="K420" s="2" t="s">
        <v>1521</v>
      </c>
      <c r="L420" s="2" t="s">
        <v>55</v>
      </c>
      <c r="M420" s="2" t="s">
        <v>1562</v>
      </c>
      <c r="N420" s="2" t="s">
        <v>35</v>
      </c>
      <c r="O420" s="2" t="s">
        <v>558</v>
      </c>
      <c r="P420" s="2" t="s">
        <v>35</v>
      </c>
      <c r="Q420" s="2" t="s">
        <v>35</v>
      </c>
    </row>
    <row r="421" spans="1:17" ht="216">
      <c r="A421" s="8" t="str">
        <f>HYPERLINK("http://sipi.sic.gov.co/sipi/View.ashx?4315206","SD2022/0085049")</f>
        <v>SD2022/0085049</v>
      </c>
      <c r="B421" s="2" t="s">
        <v>1563</v>
      </c>
      <c r="C421" s="7" t="s">
        <v>35</v>
      </c>
      <c r="D421" s="2" t="s">
        <v>224</v>
      </c>
      <c r="E421" s="2" t="s">
        <v>35</v>
      </c>
      <c r="F421" s="2" t="s">
        <v>37</v>
      </c>
      <c r="G421" s="2" t="s">
        <v>1564</v>
      </c>
      <c r="H421" s="2" t="s">
        <v>1565</v>
      </c>
      <c r="I421" s="2" t="s">
        <v>444</v>
      </c>
      <c r="J421" s="2" t="s">
        <v>40</v>
      </c>
      <c r="K421" s="2" t="s">
        <v>1566</v>
      </c>
      <c r="L421" s="2" t="s">
        <v>42</v>
      </c>
      <c r="M421" s="2" t="s">
        <v>56</v>
      </c>
      <c r="N421" s="2" t="s">
        <v>35</v>
      </c>
      <c r="O421" s="2" t="s">
        <v>704</v>
      </c>
      <c r="P421" s="2" t="s">
        <v>35</v>
      </c>
      <c r="Q421" s="2" t="s">
        <v>35</v>
      </c>
    </row>
    <row r="422" spans="1:17" ht="144">
      <c r="A422" s="8" t="str">
        <f>HYPERLINK("http://sipi.sic.gov.co/sipi/View.ashx?4317376","SD2022/0084286")</f>
        <v>SD2022/0084286</v>
      </c>
      <c r="B422" s="2" t="s">
        <v>35</v>
      </c>
      <c r="C422" s="7" t="s">
        <v>35</v>
      </c>
      <c r="D422" s="2" t="s">
        <v>1567</v>
      </c>
      <c r="E422" s="2" t="s">
        <v>35</v>
      </c>
      <c r="F422" s="2" t="s">
        <v>37</v>
      </c>
      <c r="G422" s="2" t="s">
        <v>1568</v>
      </c>
      <c r="H422" s="2" t="s">
        <v>1569</v>
      </c>
      <c r="I422" s="2" t="s">
        <v>12</v>
      </c>
      <c r="J422" s="2" t="s">
        <v>40</v>
      </c>
      <c r="K422" s="2" t="s">
        <v>41</v>
      </c>
      <c r="L422" s="2" t="s">
        <v>42</v>
      </c>
      <c r="M422" s="2" t="s">
        <v>827</v>
      </c>
      <c r="N422" s="2" t="s">
        <v>35</v>
      </c>
      <c r="O422" s="2" t="s">
        <v>704</v>
      </c>
      <c r="P422" s="2" t="s">
        <v>35</v>
      </c>
      <c r="Q422" s="2" t="s">
        <v>35</v>
      </c>
    </row>
    <row r="423" spans="1:17" ht="187.2">
      <c r="A423" s="8" t="str">
        <f>HYPERLINK("http://sipi.sic.gov.co/sipi/View.ashx?4317820","SD2022/0084428")</f>
        <v>SD2022/0084428</v>
      </c>
      <c r="B423" s="2" t="s">
        <v>1570</v>
      </c>
      <c r="C423" s="7" t="s">
        <v>35</v>
      </c>
      <c r="D423" s="2" t="s">
        <v>555</v>
      </c>
      <c r="E423" s="2" t="s">
        <v>35</v>
      </c>
      <c r="F423" s="2" t="s">
        <v>37</v>
      </c>
      <c r="G423" s="2" t="s">
        <v>35</v>
      </c>
      <c r="H423" s="2" t="s">
        <v>1571</v>
      </c>
      <c r="I423" s="2" t="s">
        <v>120</v>
      </c>
      <c r="J423" s="2" t="s">
        <v>40</v>
      </c>
      <c r="K423" s="2" t="s">
        <v>1572</v>
      </c>
      <c r="L423" s="2" t="s">
        <v>42</v>
      </c>
      <c r="M423" s="2" t="s">
        <v>1573</v>
      </c>
      <c r="N423" s="2" t="s">
        <v>35</v>
      </c>
      <c r="O423" s="2" t="s">
        <v>1574</v>
      </c>
      <c r="P423" s="2" t="s">
        <v>35</v>
      </c>
      <c r="Q423" s="2" t="s">
        <v>35</v>
      </c>
    </row>
    <row r="424" spans="1:17" ht="129.6">
      <c r="A424" s="8" t="str">
        <f>HYPERLINK("http://sipi.sic.gov.co/sipi/View.ashx?4318055","SD2022/0084684")</f>
        <v>SD2022/0084684</v>
      </c>
      <c r="B424" s="2" t="s">
        <v>1575</v>
      </c>
      <c r="C424" s="2" t="s">
        <v>35</v>
      </c>
      <c r="D424" s="2" t="s">
        <v>224</v>
      </c>
      <c r="E424" s="2" t="s">
        <v>35</v>
      </c>
      <c r="F424" s="2" t="s">
        <v>37</v>
      </c>
      <c r="G424" s="2" t="s">
        <v>1575</v>
      </c>
      <c r="H424" s="2" t="s">
        <v>999</v>
      </c>
      <c r="I424" s="2" t="s">
        <v>12</v>
      </c>
      <c r="J424" s="2" t="s">
        <v>40</v>
      </c>
      <c r="K424" s="2" t="s">
        <v>1576</v>
      </c>
      <c r="L424" s="2" t="s">
        <v>42</v>
      </c>
      <c r="M424" s="2" t="s">
        <v>1001</v>
      </c>
      <c r="N424" s="2" t="s">
        <v>35</v>
      </c>
      <c r="O424" s="2" t="s">
        <v>555</v>
      </c>
      <c r="P424" s="2" t="s">
        <v>35</v>
      </c>
      <c r="Q424" s="2" t="s">
        <v>35</v>
      </c>
    </row>
    <row r="425" spans="1:17" ht="115.2">
      <c r="A425" s="8" t="str">
        <f>HYPERLINK("http://sipi.sic.gov.co/sipi/View.ashx?4318070","SD2022/0084599")</f>
        <v>SD2022/0084599</v>
      </c>
      <c r="B425" s="2" t="s">
        <v>1577</v>
      </c>
      <c r="C425" s="2" t="s">
        <v>35</v>
      </c>
      <c r="D425" s="2" t="s">
        <v>1567</v>
      </c>
      <c r="E425" s="2" t="s">
        <v>35</v>
      </c>
      <c r="F425" s="2" t="s">
        <v>37</v>
      </c>
      <c r="G425" s="2" t="s">
        <v>1578</v>
      </c>
      <c r="H425" s="2" t="s">
        <v>1579</v>
      </c>
      <c r="I425" s="2" t="s">
        <v>12</v>
      </c>
      <c r="J425" s="2" t="s">
        <v>40</v>
      </c>
      <c r="K425" s="2" t="s">
        <v>1580</v>
      </c>
      <c r="L425" s="2" t="s">
        <v>55</v>
      </c>
      <c r="M425" s="2" t="s">
        <v>1581</v>
      </c>
      <c r="N425" s="2" t="s">
        <v>35</v>
      </c>
      <c r="O425" s="2" t="s">
        <v>359</v>
      </c>
      <c r="P425" s="2" t="s">
        <v>35</v>
      </c>
      <c r="Q425" s="2" t="s">
        <v>35</v>
      </c>
    </row>
    <row r="426" spans="1:17" ht="388.8">
      <c r="A426" s="8" t="str">
        <f>HYPERLINK("http://sipi.sic.gov.co/sipi/View.ashx?4318301","SD2022/0084964")</f>
        <v>SD2022/0084964</v>
      </c>
      <c r="B426" s="2" t="s">
        <v>1582</v>
      </c>
      <c r="C426" s="2" t="s">
        <v>35</v>
      </c>
      <c r="D426" s="2" t="s">
        <v>224</v>
      </c>
      <c r="E426" s="2" t="s">
        <v>35</v>
      </c>
      <c r="F426" s="2" t="s">
        <v>37</v>
      </c>
      <c r="G426" s="2" t="s">
        <v>1582</v>
      </c>
      <c r="H426" s="2" t="s">
        <v>1583</v>
      </c>
      <c r="I426" s="2" t="s">
        <v>61</v>
      </c>
      <c r="J426" s="2" t="s">
        <v>40</v>
      </c>
      <c r="K426" s="2" t="s">
        <v>1584</v>
      </c>
      <c r="L426" s="2" t="s">
        <v>42</v>
      </c>
      <c r="M426" s="2" t="s">
        <v>1585</v>
      </c>
      <c r="N426" s="2" t="s">
        <v>35</v>
      </c>
      <c r="O426" s="2" t="s">
        <v>558</v>
      </c>
      <c r="P426" s="2" t="s">
        <v>35</v>
      </c>
      <c r="Q426" s="2" t="s">
        <v>35</v>
      </c>
    </row>
    <row r="427" spans="1:17" ht="409.6">
      <c r="A427" s="8" t="str">
        <f>HYPERLINK("http://sipi.sic.gov.co/sipi/View.ashx?4318337","SD2022/0085274")</f>
        <v>SD2022/0085274</v>
      </c>
      <c r="B427" s="2" t="s">
        <v>1586</v>
      </c>
      <c r="C427" s="2" t="s">
        <v>35</v>
      </c>
      <c r="D427" s="2" t="s">
        <v>1587</v>
      </c>
      <c r="E427" s="2" t="s">
        <v>35</v>
      </c>
      <c r="F427" s="2" t="s">
        <v>37</v>
      </c>
      <c r="G427" s="2" t="s">
        <v>1586</v>
      </c>
      <c r="H427" s="2" t="s">
        <v>1583</v>
      </c>
      <c r="I427" s="2" t="s">
        <v>61</v>
      </c>
      <c r="J427" s="2" t="s">
        <v>40</v>
      </c>
      <c r="K427" s="2" t="s">
        <v>1588</v>
      </c>
      <c r="L427" s="2" t="s">
        <v>42</v>
      </c>
      <c r="M427" s="2" t="s">
        <v>1585</v>
      </c>
      <c r="N427" s="2" t="s">
        <v>35</v>
      </c>
      <c r="O427" s="2" t="s">
        <v>558</v>
      </c>
      <c r="P427" s="2" t="s">
        <v>35</v>
      </c>
      <c r="Q427" s="2" t="s">
        <v>35</v>
      </c>
    </row>
    <row r="428" spans="1:17" ht="144">
      <c r="A428" s="8" t="str">
        <f>HYPERLINK("http://sipi.sic.gov.co/sipi/View.ashx?4320156","SD2022/0085036")</f>
        <v>SD2022/0085036</v>
      </c>
      <c r="B428" s="2" t="s">
        <v>1589</v>
      </c>
      <c r="C428" s="7" t="s">
        <v>35</v>
      </c>
      <c r="D428" s="2" t="s">
        <v>224</v>
      </c>
      <c r="E428" s="2" t="s">
        <v>35</v>
      </c>
      <c r="F428" s="2" t="s">
        <v>37</v>
      </c>
      <c r="G428" s="2" t="s">
        <v>1590</v>
      </c>
      <c r="H428" s="2" t="s">
        <v>1591</v>
      </c>
      <c r="I428" s="2" t="s">
        <v>12</v>
      </c>
      <c r="J428" s="2" t="s">
        <v>40</v>
      </c>
      <c r="K428" s="2" t="s">
        <v>104</v>
      </c>
      <c r="L428" s="2" t="s">
        <v>42</v>
      </c>
      <c r="M428" s="2" t="s">
        <v>1592</v>
      </c>
      <c r="N428" s="2" t="s">
        <v>35</v>
      </c>
      <c r="O428" s="2" t="s">
        <v>1303</v>
      </c>
      <c r="P428" s="2" t="s">
        <v>35</v>
      </c>
      <c r="Q428" s="2" t="s">
        <v>35</v>
      </c>
    </row>
    <row r="429" spans="1:17" ht="216">
      <c r="A429" s="8" t="str">
        <f>HYPERLINK("http://sipi.sic.gov.co/sipi/View.ashx?4320177","SD2022/0085042")</f>
        <v>SD2022/0085042</v>
      </c>
      <c r="B429" s="2" t="s">
        <v>1593</v>
      </c>
      <c r="C429" s="7" t="s">
        <v>35</v>
      </c>
      <c r="D429" s="2" t="s">
        <v>224</v>
      </c>
      <c r="E429" s="2" t="s">
        <v>35</v>
      </c>
      <c r="F429" s="2" t="s">
        <v>37</v>
      </c>
      <c r="G429" s="2" t="s">
        <v>1594</v>
      </c>
      <c r="H429" s="2" t="s">
        <v>1565</v>
      </c>
      <c r="I429" s="2" t="s">
        <v>444</v>
      </c>
      <c r="J429" s="2" t="s">
        <v>40</v>
      </c>
      <c r="K429" s="2" t="s">
        <v>1566</v>
      </c>
      <c r="L429" s="2" t="s">
        <v>42</v>
      </c>
      <c r="M429" s="2" t="s">
        <v>56</v>
      </c>
      <c r="N429" s="2" t="s">
        <v>35</v>
      </c>
      <c r="O429" s="2" t="s">
        <v>704</v>
      </c>
      <c r="P429" s="2" t="s">
        <v>35</v>
      </c>
      <c r="Q429" s="2" t="s">
        <v>35</v>
      </c>
    </row>
    <row r="430" spans="1:17" ht="144">
      <c r="A430" s="8" t="str">
        <f>HYPERLINK("http://sipi.sic.gov.co/sipi/View.ashx?4320391","SD2022/0085152")</f>
        <v>SD2022/0085152</v>
      </c>
      <c r="B430" s="2" t="s">
        <v>1595</v>
      </c>
      <c r="C430" s="7" t="s">
        <v>35</v>
      </c>
      <c r="D430" s="2" t="s">
        <v>224</v>
      </c>
      <c r="E430" s="2" t="s">
        <v>35</v>
      </c>
      <c r="F430" s="2" t="s">
        <v>37</v>
      </c>
      <c r="G430" s="2" t="s">
        <v>1596</v>
      </c>
      <c r="H430" s="2" t="s">
        <v>1400</v>
      </c>
      <c r="I430" s="2" t="s">
        <v>444</v>
      </c>
      <c r="J430" s="2" t="s">
        <v>40</v>
      </c>
      <c r="K430" s="2" t="s">
        <v>1597</v>
      </c>
      <c r="L430" s="2" t="s">
        <v>42</v>
      </c>
      <c r="M430" s="2" t="s">
        <v>1402</v>
      </c>
      <c r="N430" s="2" t="s">
        <v>35</v>
      </c>
      <c r="O430" s="2" t="s">
        <v>1476</v>
      </c>
      <c r="P430" s="2" t="s">
        <v>35</v>
      </c>
      <c r="Q430" s="2" t="s">
        <v>35</v>
      </c>
    </row>
    <row r="431" spans="1:17" ht="100.8">
      <c r="A431" s="8" t="str">
        <f>HYPERLINK("http://sipi.sic.gov.co/sipi/View.ashx?4323487","SD2022/0087832")</f>
        <v>SD2022/0087832</v>
      </c>
      <c r="B431" s="2" t="s">
        <v>1598</v>
      </c>
      <c r="C431" s="7" t="s">
        <v>35</v>
      </c>
      <c r="D431" s="2" t="s">
        <v>1599</v>
      </c>
      <c r="E431" s="2" t="s">
        <v>35</v>
      </c>
      <c r="F431" s="2" t="s">
        <v>37</v>
      </c>
      <c r="G431" s="2" t="s">
        <v>35</v>
      </c>
      <c r="H431" s="2" t="s">
        <v>1600</v>
      </c>
      <c r="I431" s="2" t="s">
        <v>12</v>
      </c>
      <c r="J431" s="2" t="s">
        <v>40</v>
      </c>
      <c r="K431" s="2" t="s">
        <v>1601</v>
      </c>
      <c r="L431" s="2" t="s">
        <v>42</v>
      </c>
      <c r="M431" s="2" t="s">
        <v>1322</v>
      </c>
      <c r="N431" s="2" t="s">
        <v>35</v>
      </c>
      <c r="O431" s="2" t="s">
        <v>1424</v>
      </c>
      <c r="P431" s="2" t="s">
        <v>35</v>
      </c>
      <c r="Q431" s="2" t="s">
        <v>35</v>
      </c>
    </row>
    <row r="432" spans="1:17" ht="144">
      <c r="A432" s="8" t="str">
        <f>HYPERLINK("http://sipi.sic.gov.co/sipi/View.ashx?4323811","SD2022/0085793")</f>
        <v>SD2022/0085793</v>
      </c>
      <c r="B432" s="2" t="s">
        <v>1602</v>
      </c>
      <c r="C432" s="2" t="s">
        <v>35</v>
      </c>
      <c r="D432" s="2" t="s">
        <v>1554</v>
      </c>
      <c r="E432" s="2" t="s">
        <v>35</v>
      </c>
      <c r="F432" s="2" t="s">
        <v>37</v>
      </c>
      <c r="G432" s="2" t="s">
        <v>1603</v>
      </c>
      <c r="H432" s="2" t="s">
        <v>1224</v>
      </c>
      <c r="I432" s="2" t="s">
        <v>12</v>
      </c>
      <c r="J432" s="2" t="s">
        <v>40</v>
      </c>
      <c r="K432" s="2" t="s">
        <v>1225</v>
      </c>
      <c r="L432" s="2" t="s">
        <v>42</v>
      </c>
      <c r="M432" s="2" t="s">
        <v>1226</v>
      </c>
      <c r="N432" s="2" t="s">
        <v>35</v>
      </c>
      <c r="O432" s="2" t="s">
        <v>359</v>
      </c>
      <c r="P432" s="2" t="s">
        <v>35</v>
      </c>
      <c r="Q432" s="2" t="s">
        <v>35</v>
      </c>
    </row>
    <row r="433" spans="1:17" ht="201.6">
      <c r="A433" s="8" t="str">
        <f>HYPERLINK("http://sipi.sic.gov.co/sipi/View.ashx?4325596","SD2022/0086252")</f>
        <v>SD2022/0086252</v>
      </c>
      <c r="B433" s="2" t="s">
        <v>1604</v>
      </c>
      <c r="C433" s="7" t="s">
        <v>35</v>
      </c>
      <c r="D433" s="2" t="s">
        <v>1028</v>
      </c>
      <c r="E433" s="2" t="s">
        <v>35</v>
      </c>
      <c r="F433" s="2" t="s">
        <v>37</v>
      </c>
      <c r="G433" s="2" t="s">
        <v>1605</v>
      </c>
      <c r="H433" s="2" t="s">
        <v>1606</v>
      </c>
      <c r="I433" s="2" t="s">
        <v>61</v>
      </c>
      <c r="J433" s="2" t="s">
        <v>40</v>
      </c>
      <c r="K433" s="2" t="s">
        <v>686</v>
      </c>
      <c r="L433" s="2" t="s">
        <v>42</v>
      </c>
      <c r="M433" s="2" t="s">
        <v>1607</v>
      </c>
      <c r="N433" s="2" t="s">
        <v>35</v>
      </c>
      <c r="O433" s="2" t="s">
        <v>810</v>
      </c>
      <c r="P433" s="2" t="s">
        <v>35</v>
      </c>
      <c r="Q433" s="2" t="s">
        <v>35</v>
      </c>
    </row>
    <row r="434" spans="1:17" ht="144">
      <c r="A434" s="8" t="str">
        <f>HYPERLINK("http://sipi.sic.gov.co/sipi/View.ashx?4325715","SD2022/0086279")</f>
        <v>SD2022/0086279</v>
      </c>
      <c r="B434" s="2" t="s">
        <v>1608</v>
      </c>
      <c r="C434" s="7" t="s">
        <v>35</v>
      </c>
      <c r="D434" s="2" t="s">
        <v>1028</v>
      </c>
      <c r="E434" s="2" t="s">
        <v>35</v>
      </c>
      <c r="F434" s="2" t="s">
        <v>37</v>
      </c>
      <c r="G434" s="2" t="s">
        <v>1608</v>
      </c>
      <c r="H434" s="2" t="s">
        <v>1609</v>
      </c>
      <c r="I434" s="2" t="s">
        <v>12</v>
      </c>
      <c r="J434" s="2" t="s">
        <v>40</v>
      </c>
      <c r="K434" s="2" t="s">
        <v>1610</v>
      </c>
      <c r="L434" s="2" t="s">
        <v>42</v>
      </c>
      <c r="M434" s="2" t="s">
        <v>1037</v>
      </c>
      <c r="N434" s="2" t="s">
        <v>35</v>
      </c>
      <c r="O434" s="2" t="s">
        <v>558</v>
      </c>
      <c r="P434" s="2" t="s">
        <v>35</v>
      </c>
      <c r="Q434" s="2" t="s">
        <v>35</v>
      </c>
    </row>
    <row r="435" spans="1:17" ht="144">
      <c r="A435" s="8" t="str">
        <f>HYPERLINK("http://sipi.sic.gov.co/sipi/View.ashx?4327592","SD2022/0086768")</f>
        <v>SD2022/0086768</v>
      </c>
      <c r="B435" s="2" t="s">
        <v>1611</v>
      </c>
      <c r="C435" s="2" t="s">
        <v>35</v>
      </c>
      <c r="D435" s="2" t="s">
        <v>1612</v>
      </c>
      <c r="E435" s="2" t="s">
        <v>35</v>
      </c>
      <c r="F435" s="2" t="s">
        <v>37</v>
      </c>
      <c r="G435" s="2" t="s">
        <v>1603</v>
      </c>
      <c r="H435" s="2" t="s">
        <v>1224</v>
      </c>
      <c r="I435" s="2" t="s">
        <v>12</v>
      </c>
      <c r="J435" s="2" t="s">
        <v>40</v>
      </c>
      <c r="K435" s="2" t="s">
        <v>1225</v>
      </c>
      <c r="L435" s="2" t="s">
        <v>42</v>
      </c>
      <c r="M435" s="2" t="s">
        <v>1226</v>
      </c>
      <c r="N435" s="2" t="s">
        <v>35</v>
      </c>
      <c r="O435" s="2" t="s">
        <v>359</v>
      </c>
      <c r="P435" s="2" t="s">
        <v>35</v>
      </c>
      <c r="Q435" s="2" t="s">
        <v>35</v>
      </c>
    </row>
    <row r="436" spans="1:17" ht="409.6">
      <c r="A436" s="8" t="str">
        <f>HYPERLINK("http://sipi.sic.gov.co/sipi/View.ashx?4328401","SD2022/0087123")</f>
        <v>SD2022/0087123</v>
      </c>
      <c r="B436" s="2" t="s">
        <v>1613</v>
      </c>
      <c r="C436" s="7" t="s">
        <v>35</v>
      </c>
      <c r="D436" s="2" t="s">
        <v>1612</v>
      </c>
      <c r="E436" s="2" t="s">
        <v>35</v>
      </c>
      <c r="F436" s="2" t="s">
        <v>37</v>
      </c>
      <c r="G436" s="2" t="s">
        <v>1614</v>
      </c>
      <c r="H436" s="2" t="s">
        <v>1615</v>
      </c>
      <c r="I436" s="2" t="s">
        <v>12</v>
      </c>
      <c r="J436" s="2" t="s">
        <v>40</v>
      </c>
      <c r="K436" s="2" t="s">
        <v>1616</v>
      </c>
      <c r="L436" s="2" t="s">
        <v>42</v>
      </c>
      <c r="M436" s="2" t="s">
        <v>1617</v>
      </c>
      <c r="N436" s="2" t="s">
        <v>35</v>
      </c>
      <c r="O436" s="2" t="s">
        <v>558</v>
      </c>
      <c r="P436" s="2" t="s">
        <v>35</v>
      </c>
      <c r="Q436" s="2" t="s">
        <v>35</v>
      </c>
    </row>
    <row r="437" spans="1:17" ht="144">
      <c r="A437" s="8" t="str">
        <f>HYPERLINK("http://sipi.sic.gov.co/sipi/View.ashx?4329266","SD2022/0087237")</f>
        <v>SD2022/0087237</v>
      </c>
      <c r="B437" s="2" t="s">
        <v>1618</v>
      </c>
      <c r="C437" s="2" t="s">
        <v>35</v>
      </c>
      <c r="D437" s="2" t="s">
        <v>1619</v>
      </c>
      <c r="E437" s="2" t="s">
        <v>35</v>
      </c>
      <c r="F437" s="2" t="s">
        <v>37</v>
      </c>
      <c r="G437" s="2" t="s">
        <v>35</v>
      </c>
      <c r="H437" s="2" t="s">
        <v>1620</v>
      </c>
      <c r="I437" s="2" t="s">
        <v>12</v>
      </c>
      <c r="J437" s="2" t="s">
        <v>40</v>
      </c>
      <c r="K437" s="2" t="s">
        <v>1621</v>
      </c>
      <c r="L437" s="2" t="s">
        <v>42</v>
      </c>
      <c r="M437" s="2" t="s">
        <v>838</v>
      </c>
      <c r="N437" s="2" t="s">
        <v>35</v>
      </c>
      <c r="O437" s="2" t="s">
        <v>590</v>
      </c>
      <c r="P437" s="2" t="s">
        <v>35</v>
      </c>
      <c r="Q437" s="2" t="s">
        <v>35</v>
      </c>
    </row>
    <row r="438" spans="1:17" ht="129.6">
      <c r="A438" s="8" t="str">
        <f>HYPERLINK("http://sipi.sic.gov.co/sipi/View.ashx?4329415","SD2022/0087271")</f>
        <v>SD2022/0087271</v>
      </c>
      <c r="B438" s="2" t="s">
        <v>1622</v>
      </c>
      <c r="C438" s="7" t="s">
        <v>35</v>
      </c>
      <c r="D438" s="2" t="s">
        <v>1619</v>
      </c>
      <c r="E438" s="2" t="s">
        <v>35</v>
      </c>
      <c r="F438" s="2" t="s">
        <v>37</v>
      </c>
      <c r="G438" s="2" t="s">
        <v>35</v>
      </c>
      <c r="H438" s="2" t="s">
        <v>1623</v>
      </c>
      <c r="I438" s="2" t="s">
        <v>12</v>
      </c>
      <c r="J438" s="2" t="s">
        <v>40</v>
      </c>
      <c r="K438" s="2" t="s">
        <v>1624</v>
      </c>
      <c r="L438" s="2" t="s">
        <v>55</v>
      </c>
      <c r="M438" s="2" t="s">
        <v>371</v>
      </c>
      <c r="N438" s="2" t="s">
        <v>35</v>
      </c>
      <c r="O438" s="2" t="s">
        <v>590</v>
      </c>
      <c r="P438" s="2" t="s">
        <v>35</v>
      </c>
      <c r="Q438" s="2" t="s">
        <v>35</v>
      </c>
    </row>
    <row r="439" spans="1:17" ht="115.2">
      <c r="A439" s="8" t="str">
        <f>HYPERLINK("http://sipi.sic.gov.co/sipi/View.ashx?4329595","SD2022/0087741")</f>
        <v>SD2022/0087741</v>
      </c>
      <c r="B439" s="2" t="s">
        <v>1625</v>
      </c>
      <c r="C439" s="2" t="s">
        <v>35</v>
      </c>
      <c r="D439" s="2" t="s">
        <v>1619</v>
      </c>
      <c r="E439" s="2" t="s">
        <v>35</v>
      </c>
      <c r="F439" s="2" t="s">
        <v>37</v>
      </c>
      <c r="G439" s="2" t="s">
        <v>1625</v>
      </c>
      <c r="H439" s="2" t="s">
        <v>1626</v>
      </c>
      <c r="I439" s="2" t="s">
        <v>12</v>
      </c>
      <c r="J439" s="2" t="s">
        <v>40</v>
      </c>
      <c r="K439" s="2" t="s">
        <v>790</v>
      </c>
      <c r="L439" s="2" t="s">
        <v>55</v>
      </c>
      <c r="M439" s="2" t="s">
        <v>747</v>
      </c>
      <c r="N439" s="2" t="s">
        <v>35</v>
      </c>
      <c r="O439" s="2" t="s">
        <v>555</v>
      </c>
      <c r="P439" s="2" t="s">
        <v>35</v>
      </c>
      <c r="Q439" s="2" t="s">
        <v>35</v>
      </c>
    </row>
    <row r="440" spans="1:17" ht="129.6">
      <c r="A440" s="8" t="str">
        <f>HYPERLINK("http://sipi.sic.gov.co/sipi/View.ashx?4329683","SD2022/0087349")</f>
        <v>SD2022/0087349</v>
      </c>
      <c r="B440" s="2" t="s">
        <v>1627</v>
      </c>
      <c r="C440" s="7" t="s">
        <v>35</v>
      </c>
      <c r="D440" s="2" t="s">
        <v>1619</v>
      </c>
      <c r="E440" s="2" t="s">
        <v>35</v>
      </c>
      <c r="F440" s="2" t="s">
        <v>37</v>
      </c>
      <c r="G440" s="2" t="s">
        <v>35</v>
      </c>
      <c r="H440" s="2" t="s">
        <v>1623</v>
      </c>
      <c r="I440" s="2" t="s">
        <v>12</v>
      </c>
      <c r="J440" s="2" t="s">
        <v>40</v>
      </c>
      <c r="K440" s="2" t="s">
        <v>1628</v>
      </c>
      <c r="L440" s="2" t="s">
        <v>42</v>
      </c>
      <c r="M440" s="2" t="s">
        <v>371</v>
      </c>
      <c r="N440" s="2" t="s">
        <v>35</v>
      </c>
      <c r="O440" s="2" t="s">
        <v>1077</v>
      </c>
      <c r="P440" s="2" t="s">
        <v>35</v>
      </c>
      <c r="Q440" s="2" t="s">
        <v>35</v>
      </c>
    </row>
    <row r="441" spans="1:17" ht="129.6">
      <c r="A441" s="8" t="str">
        <f>HYPERLINK("http://sipi.sic.gov.co/sipi/View.ashx?4331240","SD2022/0087800")</f>
        <v>SD2022/0087800</v>
      </c>
      <c r="B441" s="2" t="s">
        <v>1629</v>
      </c>
      <c r="C441" s="2" t="s">
        <v>35</v>
      </c>
      <c r="D441" s="2" t="s">
        <v>1599</v>
      </c>
      <c r="E441" s="2" t="s">
        <v>35</v>
      </c>
      <c r="F441" s="2" t="s">
        <v>37</v>
      </c>
      <c r="G441" s="2" t="s">
        <v>35</v>
      </c>
      <c r="H441" s="2" t="s">
        <v>1630</v>
      </c>
      <c r="I441" s="2" t="s">
        <v>12</v>
      </c>
      <c r="J441" s="2" t="s">
        <v>40</v>
      </c>
      <c r="K441" s="2" t="s">
        <v>380</v>
      </c>
      <c r="L441" s="2" t="s">
        <v>42</v>
      </c>
      <c r="M441" s="2" t="s">
        <v>1631</v>
      </c>
      <c r="N441" s="2" t="s">
        <v>35</v>
      </c>
      <c r="O441" s="2" t="s">
        <v>810</v>
      </c>
      <c r="P441" s="2" t="s">
        <v>35</v>
      </c>
      <c r="Q441" s="2" t="s">
        <v>35</v>
      </c>
    </row>
    <row r="442" spans="1:17" ht="187.2">
      <c r="A442" s="8" t="str">
        <f>HYPERLINK("http://sipi.sic.gov.co/sipi/View.ashx?4331590","SD2022/0088019")</f>
        <v>SD2022/0088019</v>
      </c>
      <c r="B442" s="2" t="s">
        <v>1632</v>
      </c>
      <c r="C442" s="2" t="s">
        <v>35</v>
      </c>
      <c r="D442" s="2" t="s">
        <v>1599</v>
      </c>
      <c r="E442" s="2" t="s">
        <v>35</v>
      </c>
      <c r="F442" s="2" t="s">
        <v>37</v>
      </c>
      <c r="G442" s="2" t="s">
        <v>1633</v>
      </c>
      <c r="H442" s="2" t="s">
        <v>1634</v>
      </c>
      <c r="I442" s="2" t="s">
        <v>120</v>
      </c>
      <c r="J442" s="2" t="s">
        <v>40</v>
      </c>
      <c r="K442" s="2" t="s">
        <v>1635</v>
      </c>
      <c r="L442" s="2" t="s">
        <v>42</v>
      </c>
      <c r="M442" s="2" t="s">
        <v>252</v>
      </c>
      <c r="N442" s="2" t="s">
        <v>35</v>
      </c>
      <c r="O442" s="2" t="s">
        <v>590</v>
      </c>
      <c r="P442" s="2" t="s">
        <v>35</v>
      </c>
      <c r="Q442" s="2" t="s">
        <v>35</v>
      </c>
    </row>
    <row r="443" spans="1:17" ht="187.2">
      <c r="A443" s="8" t="str">
        <f>HYPERLINK("http://sipi.sic.gov.co/sipi/View.ashx?4331743","SD2022/0088035")</f>
        <v>SD2022/0088035</v>
      </c>
      <c r="B443" s="2" t="s">
        <v>1636</v>
      </c>
      <c r="C443" s="2" t="s">
        <v>35</v>
      </c>
      <c r="D443" s="2" t="s">
        <v>1599</v>
      </c>
      <c r="E443" s="2" t="s">
        <v>35</v>
      </c>
      <c r="F443" s="2" t="s">
        <v>37</v>
      </c>
      <c r="G443" s="2" t="s">
        <v>1637</v>
      </c>
      <c r="H443" s="2" t="s">
        <v>1634</v>
      </c>
      <c r="I443" s="2" t="s">
        <v>120</v>
      </c>
      <c r="J443" s="2" t="s">
        <v>40</v>
      </c>
      <c r="K443" s="2" t="s">
        <v>1635</v>
      </c>
      <c r="L443" s="2" t="s">
        <v>42</v>
      </c>
      <c r="M443" s="2" t="s">
        <v>252</v>
      </c>
      <c r="N443" s="2" t="s">
        <v>35</v>
      </c>
      <c r="O443" s="2" t="s">
        <v>555</v>
      </c>
      <c r="P443" s="2" t="s">
        <v>35</v>
      </c>
      <c r="Q443" s="2" t="s">
        <v>35</v>
      </c>
    </row>
    <row r="444" spans="1:17" ht="187.2">
      <c r="A444" s="8" t="str">
        <f>HYPERLINK("http://sipi.sic.gov.co/sipi/View.ashx?4331831","SD2022/0088069")</f>
        <v>SD2022/0088069</v>
      </c>
      <c r="B444" s="2" t="s">
        <v>1638</v>
      </c>
      <c r="C444" s="2" t="s">
        <v>35</v>
      </c>
      <c r="D444" s="2" t="s">
        <v>1599</v>
      </c>
      <c r="E444" s="2" t="s">
        <v>35</v>
      </c>
      <c r="F444" s="2" t="s">
        <v>37</v>
      </c>
      <c r="G444" s="2" t="s">
        <v>1639</v>
      </c>
      <c r="H444" s="2" t="s">
        <v>1634</v>
      </c>
      <c r="I444" s="2" t="s">
        <v>120</v>
      </c>
      <c r="J444" s="2" t="s">
        <v>40</v>
      </c>
      <c r="K444" s="2" t="s">
        <v>1635</v>
      </c>
      <c r="L444" s="2" t="s">
        <v>42</v>
      </c>
      <c r="M444" s="2" t="s">
        <v>252</v>
      </c>
      <c r="N444" s="2" t="s">
        <v>35</v>
      </c>
      <c r="O444" s="2" t="s">
        <v>580</v>
      </c>
      <c r="P444" s="2" t="s">
        <v>35</v>
      </c>
      <c r="Q444" s="2" t="s">
        <v>35</v>
      </c>
    </row>
    <row r="445" spans="1:17" ht="129.6">
      <c r="A445" s="8" t="str">
        <f>HYPERLINK("http://sipi.sic.gov.co/sipi/View.ashx?4335579","SD2022/0088652")</f>
        <v>SD2022/0088652</v>
      </c>
      <c r="B445" s="2" t="s">
        <v>1640</v>
      </c>
      <c r="C445" s="2" t="s">
        <v>35</v>
      </c>
      <c r="D445" s="2" t="s">
        <v>1641</v>
      </c>
      <c r="E445" s="2" t="s">
        <v>35</v>
      </c>
      <c r="F445" s="2" t="s">
        <v>37</v>
      </c>
      <c r="G445" s="2" t="s">
        <v>1642</v>
      </c>
      <c r="H445" s="2" t="s">
        <v>1643</v>
      </c>
      <c r="I445" s="2" t="s">
        <v>12</v>
      </c>
      <c r="J445" s="2" t="s">
        <v>40</v>
      </c>
      <c r="K445" s="2" t="s">
        <v>1644</v>
      </c>
      <c r="L445" s="2" t="s">
        <v>55</v>
      </c>
      <c r="M445" s="2" t="s">
        <v>105</v>
      </c>
      <c r="N445" s="2" t="s">
        <v>35</v>
      </c>
      <c r="O445" s="2" t="s">
        <v>493</v>
      </c>
      <c r="P445" s="2" t="s">
        <v>35</v>
      </c>
      <c r="Q445" s="2" t="s">
        <v>35</v>
      </c>
    </row>
    <row r="446" spans="1:17" ht="129.6">
      <c r="A446" s="8" t="str">
        <f>HYPERLINK("http://sipi.sic.gov.co/sipi/View.ashx?4336634","SD2022/0088845")</f>
        <v>SD2022/0088845</v>
      </c>
      <c r="B446" s="2" t="s">
        <v>1645</v>
      </c>
      <c r="C446" s="2" t="s">
        <v>35</v>
      </c>
      <c r="D446" s="2" t="s">
        <v>558</v>
      </c>
      <c r="E446" s="2" t="s">
        <v>35</v>
      </c>
      <c r="F446" s="2" t="s">
        <v>37</v>
      </c>
      <c r="G446" s="2" t="s">
        <v>35</v>
      </c>
      <c r="H446" s="2" t="s">
        <v>1646</v>
      </c>
      <c r="I446" s="2" t="s">
        <v>12</v>
      </c>
      <c r="J446" s="2" t="s">
        <v>40</v>
      </c>
      <c r="K446" s="2" t="s">
        <v>41</v>
      </c>
      <c r="L446" s="2" t="s">
        <v>42</v>
      </c>
      <c r="M446" s="2" t="s">
        <v>1647</v>
      </c>
      <c r="N446" s="2" t="s">
        <v>35</v>
      </c>
      <c r="O446" s="2" t="s">
        <v>359</v>
      </c>
      <c r="P446" s="2" t="s">
        <v>35</v>
      </c>
      <c r="Q446" s="2" t="s">
        <v>35</v>
      </c>
    </row>
    <row r="447" spans="1:17" ht="144">
      <c r="A447" s="8" t="str">
        <f>HYPERLINK("http://sipi.sic.gov.co/sipi/View.ashx?4337753","SD2022/0089143")</f>
        <v>SD2022/0089143</v>
      </c>
      <c r="B447" s="2" t="s">
        <v>1648</v>
      </c>
      <c r="C447" s="7" t="s">
        <v>35</v>
      </c>
      <c r="D447" s="2" t="s">
        <v>558</v>
      </c>
      <c r="E447" s="2" t="s">
        <v>35</v>
      </c>
      <c r="F447" s="2" t="s">
        <v>37</v>
      </c>
      <c r="G447" s="2" t="s">
        <v>35</v>
      </c>
      <c r="H447" s="2" t="s">
        <v>1649</v>
      </c>
      <c r="I447" s="2" t="s">
        <v>12</v>
      </c>
      <c r="J447" s="2" t="s">
        <v>40</v>
      </c>
      <c r="K447" s="2" t="s">
        <v>1650</v>
      </c>
      <c r="L447" s="2" t="s">
        <v>42</v>
      </c>
      <c r="M447" s="2" t="s">
        <v>1651</v>
      </c>
      <c r="N447" s="2" t="s">
        <v>35</v>
      </c>
      <c r="O447" s="2" t="s">
        <v>580</v>
      </c>
      <c r="P447" s="2" t="s">
        <v>35</v>
      </c>
      <c r="Q447" s="2" t="s">
        <v>35</v>
      </c>
    </row>
    <row r="448" spans="1:17" ht="409.6">
      <c r="A448" s="8" t="str">
        <f>HYPERLINK("http://sipi.sic.gov.co/sipi/View.ashx?4339027","SD2022/0089426")</f>
        <v>SD2022/0089426</v>
      </c>
      <c r="B448" s="2" t="s">
        <v>1652</v>
      </c>
      <c r="C448" s="2" t="s">
        <v>35</v>
      </c>
      <c r="D448" s="2" t="s">
        <v>1298</v>
      </c>
      <c r="E448" s="2" t="s">
        <v>35</v>
      </c>
      <c r="F448" s="2" t="s">
        <v>37</v>
      </c>
      <c r="G448" s="2" t="s">
        <v>374</v>
      </c>
      <c r="H448" s="2" t="s">
        <v>1653</v>
      </c>
      <c r="I448" s="2" t="s">
        <v>12</v>
      </c>
      <c r="J448" s="2" t="s">
        <v>40</v>
      </c>
      <c r="K448" s="2" t="s">
        <v>1654</v>
      </c>
      <c r="L448" s="2" t="s">
        <v>55</v>
      </c>
      <c r="M448" s="2" t="s">
        <v>35</v>
      </c>
      <c r="N448" s="2" t="s">
        <v>35</v>
      </c>
      <c r="O448" s="2" t="s">
        <v>1655</v>
      </c>
      <c r="P448" s="2" t="s">
        <v>35</v>
      </c>
      <c r="Q448" s="2" t="s">
        <v>35</v>
      </c>
    </row>
    <row r="449" spans="1:17" ht="201.6">
      <c r="A449" s="8" t="str">
        <f>HYPERLINK("http://sipi.sic.gov.co/sipi/View.ashx?4339567","SD2022/0090779")</f>
        <v>SD2022/0090779</v>
      </c>
      <c r="B449" s="2" t="s">
        <v>1656</v>
      </c>
      <c r="C449" s="2" t="s">
        <v>35</v>
      </c>
      <c r="D449" s="2" t="s">
        <v>1657</v>
      </c>
      <c r="E449" s="2" t="s">
        <v>35</v>
      </c>
      <c r="F449" s="2" t="s">
        <v>37</v>
      </c>
      <c r="G449" s="2" t="s">
        <v>1658</v>
      </c>
      <c r="H449" s="2" t="s">
        <v>1529</v>
      </c>
      <c r="I449" s="2" t="s">
        <v>12</v>
      </c>
      <c r="J449" s="2" t="s">
        <v>40</v>
      </c>
      <c r="K449" s="2" t="s">
        <v>1659</v>
      </c>
      <c r="L449" s="2" t="s">
        <v>55</v>
      </c>
      <c r="M449" s="2" t="s">
        <v>515</v>
      </c>
      <c r="N449" s="2" t="s">
        <v>35</v>
      </c>
      <c r="O449" s="2" t="s">
        <v>1077</v>
      </c>
      <c r="P449" s="2" t="s">
        <v>35</v>
      </c>
      <c r="Q449" s="2" t="s">
        <v>35</v>
      </c>
    </row>
    <row r="450" spans="1:17" ht="201.6">
      <c r="A450" s="8" t="str">
        <f>HYPERLINK("http://sipi.sic.gov.co/sipi/View.ashx?4339577","SD2022/0090802")</f>
        <v>SD2022/0090802</v>
      </c>
      <c r="B450" s="2" t="s">
        <v>1660</v>
      </c>
      <c r="C450" s="2" t="s">
        <v>35</v>
      </c>
      <c r="D450" s="2" t="s">
        <v>1657</v>
      </c>
      <c r="E450" s="2" t="s">
        <v>35</v>
      </c>
      <c r="F450" s="2" t="s">
        <v>37</v>
      </c>
      <c r="G450" s="2" t="s">
        <v>1661</v>
      </c>
      <c r="H450" s="2" t="s">
        <v>1529</v>
      </c>
      <c r="I450" s="2" t="s">
        <v>12</v>
      </c>
      <c r="J450" s="2" t="s">
        <v>40</v>
      </c>
      <c r="K450" s="2" t="s">
        <v>1659</v>
      </c>
      <c r="L450" s="2" t="s">
        <v>42</v>
      </c>
      <c r="M450" s="2" t="s">
        <v>515</v>
      </c>
      <c r="N450" s="2" t="s">
        <v>35</v>
      </c>
      <c r="O450" s="2" t="s">
        <v>590</v>
      </c>
      <c r="P450" s="2" t="s">
        <v>35</v>
      </c>
      <c r="Q450" s="2" t="s">
        <v>35</v>
      </c>
    </row>
    <row r="451" spans="1:17" ht="129.6">
      <c r="A451" s="8" t="str">
        <f>HYPERLINK("http://sipi.sic.gov.co/sipi/View.ashx?4340053","SD2022/0089652")</f>
        <v>SD2022/0089652</v>
      </c>
      <c r="B451" s="2" t="s">
        <v>1662</v>
      </c>
      <c r="C451" s="2" t="s">
        <v>35</v>
      </c>
      <c r="D451" s="2" t="s">
        <v>1298</v>
      </c>
      <c r="E451" s="2" t="s">
        <v>35</v>
      </c>
      <c r="F451" s="2" t="s">
        <v>37</v>
      </c>
      <c r="G451" s="2" t="s">
        <v>35</v>
      </c>
      <c r="H451" s="2" t="s">
        <v>1663</v>
      </c>
      <c r="I451" s="2" t="s">
        <v>12</v>
      </c>
      <c r="J451" s="2" t="s">
        <v>40</v>
      </c>
      <c r="K451" s="2" t="s">
        <v>1664</v>
      </c>
      <c r="L451" s="2" t="s">
        <v>42</v>
      </c>
      <c r="M451" s="2" t="s">
        <v>795</v>
      </c>
      <c r="N451" s="2" t="s">
        <v>35</v>
      </c>
      <c r="O451" s="2" t="s">
        <v>580</v>
      </c>
      <c r="P451" s="2" t="s">
        <v>35</v>
      </c>
      <c r="Q451" s="2" t="s">
        <v>35</v>
      </c>
    </row>
    <row r="452" spans="1:17" ht="129.6">
      <c r="A452" s="8" t="str">
        <f>HYPERLINK("http://sipi.sic.gov.co/sipi/View.ashx?4340079","SD2022/0089792")</f>
        <v>SD2022/0089792</v>
      </c>
      <c r="B452" s="2" t="s">
        <v>1665</v>
      </c>
      <c r="C452" s="2" t="s">
        <v>35</v>
      </c>
      <c r="D452" s="2" t="s">
        <v>1298</v>
      </c>
      <c r="E452" s="2" t="s">
        <v>35</v>
      </c>
      <c r="F452" s="2" t="s">
        <v>37</v>
      </c>
      <c r="G452" s="2" t="s">
        <v>35</v>
      </c>
      <c r="H452" s="2" t="s">
        <v>1663</v>
      </c>
      <c r="I452" s="2" t="s">
        <v>12</v>
      </c>
      <c r="J452" s="2" t="s">
        <v>40</v>
      </c>
      <c r="K452" s="2" t="s">
        <v>1664</v>
      </c>
      <c r="L452" s="2" t="s">
        <v>42</v>
      </c>
      <c r="M452" s="2" t="s">
        <v>795</v>
      </c>
      <c r="N452" s="2" t="s">
        <v>35</v>
      </c>
      <c r="O452" s="2" t="s">
        <v>555</v>
      </c>
      <c r="P452" s="2" t="s">
        <v>35</v>
      </c>
      <c r="Q452" s="2" t="s">
        <v>35</v>
      </c>
    </row>
    <row r="453" spans="1:17" ht="129.6">
      <c r="A453" s="8" t="str">
        <f>HYPERLINK("http://sipi.sic.gov.co/sipi/View.ashx?4341114","SD2022/0090078")</f>
        <v>SD2022/0090078</v>
      </c>
      <c r="B453" s="2" t="s">
        <v>1666</v>
      </c>
      <c r="C453" s="7" t="s">
        <v>35</v>
      </c>
      <c r="D453" s="2" t="s">
        <v>1667</v>
      </c>
      <c r="E453" s="2" t="s">
        <v>35</v>
      </c>
      <c r="F453" s="2" t="s">
        <v>37</v>
      </c>
      <c r="G453" s="2" t="s">
        <v>1666</v>
      </c>
      <c r="H453" s="2" t="s">
        <v>731</v>
      </c>
      <c r="I453" s="2" t="s">
        <v>12</v>
      </c>
      <c r="J453" s="2" t="s">
        <v>40</v>
      </c>
      <c r="K453" s="2" t="s">
        <v>41</v>
      </c>
      <c r="L453" s="2" t="s">
        <v>42</v>
      </c>
      <c r="M453" s="2" t="s">
        <v>732</v>
      </c>
      <c r="N453" s="2" t="s">
        <v>35</v>
      </c>
      <c r="O453" s="2" t="s">
        <v>704</v>
      </c>
      <c r="P453" s="2" t="s">
        <v>35</v>
      </c>
      <c r="Q453" s="2" t="s">
        <v>35</v>
      </c>
    </row>
    <row r="454" spans="1:17" ht="129.6">
      <c r="A454" s="8" t="str">
        <f>HYPERLINK("http://sipi.sic.gov.co/sipi/View.ashx?4341645","SD2022/0090225")</f>
        <v>SD2022/0090225</v>
      </c>
      <c r="B454" s="2" t="s">
        <v>1668</v>
      </c>
      <c r="C454" s="2" t="s">
        <v>35</v>
      </c>
      <c r="D454" s="2" t="s">
        <v>1667</v>
      </c>
      <c r="E454" s="2" t="s">
        <v>35</v>
      </c>
      <c r="F454" s="2" t="s">
        <v>37</v>
      </c>
      <c r="G454" s="2" t="s">
        <v>35</v>
      </c>
      <c r="H454" s="2" t="s">
        <v>1033</v>
      </c>
      <c r="I454" s="2" t="s">
        <v>12</v>
      </c>
      <c r="J454" s="2" t="s">
        <v>40</v>
      </c>
      <c r="K454" s="2" t="s">
        <v>1669</v>
      </c>
      <c r="L454" s="2" t="s">
        <v>42</v>
      </c>
      <c r="M454" s="2" t="s">
        <v>110</v>
      </c>
      <c r="N454" s="2" t="s">
        <v>35</v>
      </c>
      <c r="O454" s="2" t="s">
        <v>704</v>
      </c>
      <c r="P454" s="2" t="s">
        <v>35</v>
      </c>
      <c r="Q454" s="2" t="s">
        <v>35</v>
      </c>
    </row>
    <row r="455" spans="1:17" ht="288">
      <c r="A455" s="8" t="str">
        <f>HYPERLINK("http://sipi.sic.gov.co/sipi/View.ashx?4342520","SD2022/0090520")</f>
        <v>SD2022/0090520</v>
      </c>
      <c r="B455" s="2" t="s">
        <v>1670</v>
      </c>
      <c r="C455" s="7" t="s">
        <v>35</v>
      </c>
      <c r="D455" s="2" t="s">
        <v>1667</v>
      </c>
      <c r="E455" s="2" t="s">
        <v>35</v>
      </c>
      <c r="F455" s="2" t="s">
        <v>37</v>
      </c>
      <c r="G455" s="2" t="s">
        <v>1671</v>
      </c>
      <c r="H455" s="2" t="s">
        <v>1672</v>
      </c>
      <c r="I455" s="2" t="s">
        <v>12</v>
      </c>
      <c r="J455" s="2" t="s">
        <v>40</v>
      </c>
      <c r="K455" s="2" t="s">
        <v>1673</v>
      </c>
      <c r="L455" s="2" t="s">
        <v>55</v>
      </c>
      <c r="M455" s="2" t="s">
        <v>35</v>
      </c>
      <c r="N455" s="2" t="s">
        <v>35</v>
      </c>
      <c r="O455" s="2" t="s">
        <v>493</v>
      </c>
      <c r="P455" s="2" t="s">
        <v>35</v>
      </c>
      <c r="Q455" s="2" t="s">
        <v>35</v>
      </c>
    </row>
    <row r="456" spans="1:17" ht="129.6">
      <c r="A456" s="8" t="str">
        <f>HYPERLINK("http://sipi.sic.gov.co/sipi/View.ashx?4342910","SD2022/0090570")</f>
        <v>SD2022/0090570</v>
      </c>
      <c r="B456" s="2" t="s">
        <v>1674</v>
      </c>
      <c r="C456" s="2" t="s">
        <v>35</v>
      </c>
      <c r="D456" s="2" t="s">
        <v>1657</v>
      </c>
      <c r="E456" s="2" t="s">
        <v>35</v>
      </c>
      <c r="F456" s="2" t="s">
        <v>37</v>
      </c>
      <c r="G456" s="2" t="s">
        <v>35</v>
      </c>
      <c r="H456" s="2" t="s">
        <v>1630</v>
      </c>
      <c r="I456" s="2" t="s">
        <v>12</v>
      </c>
      <c r="J456" s="2" t="s">
        <v>40</v>
      </c>
      <c r="K456" s="2" t="s">
        <v>380</v>
      </c>
      <c r="L456" s="2" t="s">
        <v>42</v>
      </c>
      <c r="M456" s="2" t="s">
        <v>1631</v>
      </c>
      <c r="N456" s="2" t="s">
        <v>35</v>
      </c>
      <c r="O456" s="2" t="s">
        <v>359</v>
      </c>
      <c r="P456" s="2" t="s">
        <v>35</v>
      </c>
      <c r="Q456" s="2" t="s">
        <v>35</v>
      </c>
    </row>
    <row r="457" spans="1:17" ht="187.2">
      <c r="A457" s="8" t="str">
        <f>HYPERLINK("http://sipi.sic.gov.co/sipi/View.ashx?4344462","SD2022/0090954")</f>
        <v>SD2022/0090954</v>
      </c>
      <c r="B457" s="2" t="s">
        <v>1675</v>
      </c>
      <c r="C457" s="2" t="s">
        <v>35</v>
      </c>
      <c r="D457" s="2" t="s">
        <v>1676</v>
      </c>
      <c r="E457" s="2" t="s">
        <v>35</v>
      </c>
      <c r="F457" s="2" t="s">
        <v>37</v>
      </c>
      <c r="G457" s="2" t="s">
        <v>1677</v>
      </c>
      <c r="H457" s="2" t="s">
        <v>1678</v>
      </c>
      <c r="I457" s="2" t="s">
        <v>61</v>
      </c>
      <c r="J457" s="2" t="s">
        <v>40</v>
      </c>
      <c r="K457" s="2" t="s">
        <v>1679</v>
      </c>
      <c r="L457" s="2" t="s">
        <v>42</v>
      </c>
      <c r="M457" s="2" t="s">
        <v>1680</v>
      </c>
      <c r="N457" s="2" t="s">
        <v>35</v>
      </c>
      <c r="O457" s="2" t="s">
        <v>359</v>
      </c>
      <c r="P457" s="2" t="s">
        <v>35</v>
      </c>
      <c r="Q457" s="2" t="s">
        <v>35</v>
      </c>
    </row>
    <row r="458" spans="1:17" ht="388.8">
      <c r="A458" s="8" t="str">
        <f>HYPERLINK("http://sipi.sic.gov.co/sipi/View.ashx?4345065","SD2022/0091015")</f>
        <v>SD2022/0091015</v>
      </c>
      <c r="B458" s="2" t="s">
        <v>1681</v>
      </c>
      <c r="C458" s="7" t="s">
        <v>35</v>
      </c>
      <c r="D458" s="2" t="s">
        <v>1682</v>
      </c>
      <c r="E458" s="2" t="s">
        <v>35</v>
      </c>
      <c r="F458" s="2" t="s">
        <v>37</v>
      </c>
      <c r="G458" s="2" t="s">
        <v>1683</v>
      </c>
      <c r="H458" s="2" t="s">
        <v>1684</v>
      </c>
      <c r="I458" s="2" t="s">
        <v>805</v>
      </c>
      <c r="J458" s="2" t="s">
        <v>40</v>
      </c>
      <c r="K458" s="2" t="s">
        <v>1685</v>
      </c>
      <c r="L458" s="2" t="s">
        <v>42</v>
      </c>
      <c r="M458" s="2" t="s">
        <v>1686</v>
      </c>
      <c r="N458" s="2" t="s">
        <v>35</v>
      </c>
      <c r="O458" s="2" t="s">
        <v>1687</v>
      </c>
      <c r="P458" s="2" t="s">
        <v>35</v>
      </c>
      <c r="Q458" s="2" t="s">
        <v>35</v>
      </c>
    </row>
    <row r="459" spans="1:17" ht="409.6">
      <c r="A459" s="8" t="str">
        <f>HYPERLINK("http://sipi.sic.gov.co/sipi/View.ashx?4345355","SD2022/0091120")</f>
        <v>SD2022/0091120</v>
      </c>
      <c r="B459" s="2" t="s">
        <v>1688</v>
      </c>
      <c r="C459" s="7" t="s">
        <v>35</v>
      </c>
      <c r="D459" s="2" t="s">
        <v>1682</v>
      </c>
      <c r="E459" s="2" t="s">
        <v>35</v>
      </c>
      <c r="F459" s="2" t="s">
        <v>37</v>
      </c>
      <c r="G459" s="2" t="s">
        <v>1689</v>
      </c>
      <c r="H459" s="2" t="s">
        <v>973</v>
      </c>
      <c r="I459" s="2" t="s">
        <v>12</v>
      </c>
      <c r="J459" s="2" t="s">
        <v>40</v>
      </c>
      <c r="K459" s="2" t="s">
        <v>1690</v>
      </c>
      <c r="L459" s="2" t="s">
        <v>42</v>
      </c>
      <c r="M459" s="2" t="s">
        <v>48</v>
      </c>
      <c r="N459" s="2" t="s">
        <v>35</v>
      </c>
      <c r="O459" s="2" t="s">
        <v>1691</v>
      </c>
      <c r="P459" s="2" t="s">
        <v>35</v>
      </c>
      <c r="Q459" s="2" t="s">
        <v>35</v>
      </c>
    </row>
    <row r="460" spans="1:17" ht="115.2">
      <c r="A460" s="8" t="str">
        <f>HYPERLINK("http://sipi.sic.gov.co/sipi/View.ashx?4345364","SD2022/0093938")</f>
        <v>SD2022/0093938</v>
      </c>
      <c r="B460" s="2" t="s">
        <v>1692</v>
      </c>
      <c r="C460" s="7" t="s">
        <v>35</v>
      </c>
      <c r="D460" s="2" t="s">
        <v>1693</v>
      </c>
      <c r="E460" s="2" t="s">
        <v>35</v>
      </c>
      <c r="F460" s="2" t="s">
        <v>37</v>
      </c>
      <c r="G460" s="2" t="s">
        <v>35</v>
      </c>
      <c r="H460" s="2" t="s">
        <v>1694</v>
      </c>
      <c r="I460" s="2" t="s">
        <v>12</v>
      </c>
      <c r="J460" s="2" t="s">
        <v>40</v>
      </c>
      <c r="K460" s="2" t="s">
        <v>1695</v>
      </c>
      <c r="L460" s="2" t="s">
        <v>42</v>
      </c>
      <c r="M460" s="2" t="s">
        <v>1696</v>
      </c>
      <c r="N460" s="2" t="s">
        <v>35</v>
      </c>
      <c r="O460" s="2" t="s">
        <v>762</v>
      </c>
      <c r="P460" s="2" t="s">
        <v>35</v>
      </c>
      <c r="Q460" s="2" t="s">
        <v>35</v>
      </c>
    </row>
    <row r="461" spans="1:17" ht="409.6">
      <c r="A461" s="8" t="str">
        <f>HYPERLINK("http://sipi.sic.gov.co/sipi/View.ashx?4345462","SD2022/0091148")</f>
        <v>SD2022/0091148</v>
      </c>
      <c r="B461" s="2" t="s">
        <v>1697</v>
      </c>
      <c r="C461" s="7" t="s">
        <v>35</v>
      </c>
      <c r="D461" s="2" t="s">
        <v>1682</v>
      </c>
      <c r="E461" s="2" t="s">
        <v>35</v>
      </c>
      <c r="F461" s="2" t="s">
        <v>37</v>
      </c>
      <c r="G461" s="2" t="s">
        <v>1698</v>
      </c>
      <c r="H461" s="2" t="s">
        <v>973</v>
      </c>
      <c r="I461" s="2" t="s">
        <v>12</v>
      </c>
      <c r="J461" s="2" t="s">
        <v>40</v>
      </c>
      <c r="K461" s="2" t="s">
        <v>1699</v>
      </c>
      <c r="L461" s="2" t="s">
        <v>42</v>
      </c>
      <c r="M461" s="2" t="s">
        <v>48</v>
      </c>
      <c r="N461" s="2" t="s">
        <v>35</v>
      </c>
      <c r="O461" s="2" t="s">
        <v>1691</v>
      </c>
      <c r="P461" s="2" t="s">
        <v>35</v>
      </c>
      <c r="Q461" s="2" t="s">
        <v>35</v>
      </c>
    </row>
    <row r="462" spans="1:17" ht="345.6">
      <c r="A462" s="8" t="str">
        <f>HYPERLINK("http://sipi.sic.gov.co/sipi/View.ashx?4345465","SD2022/0091147")</f>
        <v>SD2022/0091147</v>
      </c>
      <c r="B462" s="2" t="s">
        <v>1700</v>
      </c>
      <c r="C462" s="7" t="s">
        <v>35</v>
      </c>
      <c r="D462" s="2" t="s">
        <v>1682</v>
      </c>
      <c r="E462" s="2" t="s">
        <v>35</v>
      </c>
      <c r="F462" s="2" t="s">
        <v>37</v>
      </c>
      <c r="G462" s="2" t="s">
        <v>1701</v>
      </c>
      <c r="H462" s="2" t="s">
        <v>1702</v>
      </c>
      <c r="I462" s="2" t="s">
        <v>1703</v>
      </c>
      <c r="J462" s="2" t="s">
        <v>40</v>
      </c>
      <c r="K462" s="2" t="s">
        <v>1704</v>
      </c>
      <c r="L462" s="2" t="s">
        <v>42</v>
      </c>
      <c r="M462" s="2" t="s">
        <v>35</v>
      </c>
      <c r="N462" s="2" t="s">
        <v>35</v>
      </c>
      <c r="O462" s="2" t="s">
        <v>1705</v>
      </c>
      <c r="P462" s="2" t="s">
        <v>35</v>
      </c>
      <c r="Q462" s="2" t="s">
        <v>35</v>
      </c>
    </row>
    <row r="463" spans="1:17" ht="43.2">
      <c r="A463" s="8" t="str">
        <f>HYPERLINK("http://sipi.sic.gov.co/sipi/View.ashx?4346127","SD2022/0091335")</f>
        <v>SD2022/0091335</v>
      </c>
      <c r="B463" s="2" t="s">
        <v>1706</v>
      </c>
      <c r="C463" s="2" t="s">
        <v>35</v>
      </c>
      <c r="D463" s="2" t="s">
        <v>1682</v>
      </c>
      <c r="E463" s="2" t="s">
        <v>35</v>
      </c>
      <c r="F463" s="2" t="s">
        <v>37</v>
      </c>
      <c r="G463" s="2" t="s">
        <v>1706</v>
      </c>
      <c r="H463" s="2" t="s">
        <v>1707</v>
      </c>
      <c r="I463" s="2" t="s">
        <v>12</v>
      </c>
      <c r="J463" s="2" t="s">
        <v>40</v>
      </c>
      <c r="K463" s="2" t="s">
        <v>790</v>
      </c>
      <c r="L463" s="2" t="s">
        <v>42</v>
      </c>
      <c r="M463" s="2" t="s">
        <v>35</v>
      </c>
      <c r="N463" s="2" t="s">
        <v>35</v>
      </c>
      <c r="O463" s="2" t="s">
        <v>580</v>
      </c>
      <c r="P463" s="2" t="s">
        <v>35</v>
      </c>
      <c r="Q463" s="2" t="s">
        <v>35</v>
      </c>
    </row>
    <row r="464" spans="1:17" ht="43.2">
      <c r="A464" s="8" t="str">
        <f>HYPERLINK("http://sipi.sic.gov.co/sipi/View.ashx?4346235","SD2022/0091359")</f>
        <v>SD2022/0091359</v>
      </c>
      <c r="B464" s="2" t="s">
        <v>1708</v>
      </c>
      <c r="C464" s="2" t="s">
        <v>35</v>
      </c>
      <c r="D464" s="2" t="s">
        <v>1682</v>
      </c>
      <c r="E464" s="2" t="s">
        <v>35</v>
      </c>
      <c r="F464" s="2" t="s">
        <v>37</v>
      </c>
      <c r="G464" s="2" t="s">
        <v>1708</v>
      </c>
      <c r="H464" s="2" t="s">
        <v>1707</v>
      </c>
      <c r="I464" s="2" t="s">
        <v>12</v>
      </c>
      <c r="J464" s="2" t="s">
        <v>40</v>
      </c>
      <c r="K464" s="2" t="s">
        <v>790</v>
      </c>
      <c r="L464" s="2" t="s">
        <v>42</v>
      </c>
      <c r="M464" s="2" t="s">
        <v>35</v>
      </c>
      <c r="N464" s="2" t="s">
        <v>35</v>
      </c>
      <c r="O464" s="2" t="s">
        <v>1574</v>
      </c>
      <c r="P464" s="2" t="s">
        <v>35</v>
      </c>
      <c r="Q464" s="2" t="s">
        <v>35</v>
      </c>
    </row>
    <row r="465" spans="1:17" ht="43.2">
      <c r="A465" s="8" t="str">
        <f>HYPERLINK("http://sipi.sic.gov.co/sipi/View.ashx?4346244","SD2022/0091361")</f>
        <v>SD2022/0091361</v>
      </c>
      <c r="B465" s="2" t="s">
        <v>1709</v>
      </c>
      <c r="C465" s="2" t="s">
        <v>35</v>
      </c>
      <c r="D465" s="2" t="s">
        <v>1682</v>
      </c>
      <c r="E465" s="2" t="s">
        <v>35</v>
      </c>
      <c r="F465" s="2" t="s">
        <v>37</v>
      </c>
      <c r="G465" s="2" t="s">
        <v>1709</v>
      </c>
      <c r="H465" s="2" t="s">
        <v>1707</v>
      </c>
      <c r="I465" s="2" t="s">
        <v>12</v>
      </c>
      <c r="J465" s="2" t="s">
        <v>40</v>
      </c>
      <c r="K465" s="2" t="s">
        <v>790</v>
      </c>
      <c r="L465" s="2" t="s">
        <v>42</v>
      </c>
      <c r="M465" s="2" t="s">
        <v>35</v>
      </c>
      <c r="N465" s="2" t="s">
        <v>35</v>
      </c>
      <c r="O465" s="2" t="s">
        <v>493</v>
      </c>
      <c r="P465" s="2" t="s">
        <v>35</v>
      </c>
      <c r="Q465" s="2" t="s">
        <v>35</v>
      </c>
    </row>
    <row r="466" spans="1:17" ht="409.6">
      <c r="A466" s="8" t="str">
        <f>HYPERLINK("http://sipi.sic.gov.co/sipi/View.ashx?4347141","SD2022/0092108")</f>
        <v>SD2022/0092108</v>
      </c>
      <c r="B466" s="2" t="s">
        <v>1710</v>
      </c>
      <c r="C466" s="7" t="s">
        <v>35</v>
      </c>
      <c r="D466" s="2" t="s">
        <v>1711</v>
      </c>
      <c r="E466" s="2" t="s">
        <v>35</v>
      </c>
      <c r="F466" s="2" t="s">
        <v>37</v>
      </c>
      <c r="G466" s="2" t="s">
        <v>1712</v>
      </c>
      <c r="H466" s="2" t="s">
        <v>1713</v>
      </c>
      <c r="I466" s="2" t="s">
        <v>1714</v>
      </c>
      <c r="J466" s="2" t="s">
        <v>40</v>
      </c>
      <c r="K466" s="2" t="s">
        <v>1715</v>
      </c>
      <c r="L466" s="2" t="s">
        <v>42</v>
      </c>
      <c r="M466" s="2" t="s">
        <v>1716</v>
      </c>
      <c r="N466" s="2" t="s">
        <v>35</v>
      </c>
      <c r="O466" s="2" t="s">
        <v>580</v>
      </c>
      <c r="P466" s="2" t="s">
        <v>35</v>
      </c>
      <c r="Q466" s="2" t="s">
        <v>35</v>
      </c>
    </row>
    <row r="467" spans="1:17" ht="273.60000000000002">
      <c r="A467" s="8" t="str">
        <f>HYPERLINK("http://sipi.sic.gov.co/sipi/View.ashx?4349880","SD2022/0092231")</f>
        <v>SD2022/0092231</v>
      </c>
      <c r="B467" s="2" t="s">
        <v>1717</v>
      </c>
      <c r="C467" s="7" t="s">
        <v>35</v>
      </c>
      <c r="D467" s="2" t="s">
        <v>1711</v>
      </c>
      <c r="E467" s="2" t="s">
        <v>35</v>
      </c>
      <c r="F467" s="2" t="s">
        <v>37</v>
      </c>
      <c r="G467" s="2" t="s">
        <v>1305</v>
      </c>
      <c r="H467" s="2" t="s">
        <v>1718</v>
      </c>
      <c r="I467" s="2" t="s">
        <v>12</v>
      </c>
      <c r="J467" s="2" t="s">
        <v>40</v>
      </c>
      <c r="K467" s="2" t="s">
        <v>1719</v>
      </c>
      <c r="L467" s="2" t="s">
        <v>42</v>
      </c>
      <c r="M467" s="2" t="s">
        <v>1308</v>
      </c>
      <c r="N467" s="2" t="s">
        <v>35</v>
      </c>
      <c r="O467" s="2" t="s">
        <v>810</v>
      </c>
      <c r="P467" s="2" t="s">
        <v>35</v>
      </c>
      <c r="Q467" s="2" t="s">
        <v>35</v>
      </c>
    </row>
    <row r="468" spans="1:17" ht="409.6">
      <c r="A468" s="8" t="str">
        <f>HYPERLINK("http://sipi.sic.gov.co/sipi/View.ashx?4350375","SD2022/0092477")</f>
        <v>SD2022/0092477</v>
      </c>
      <c r="B468" s="2" t="s">
        <v>1710</v>
      </c>
      <c r="C468" s="7" t="s">
        <v>35</v>
      </c>
      <c r="D468" s="2" t="s">
        <v>1711</v>
      </c>
      <c r="E468" s="2" t="s">
        <v>35</v>
      </c>
      <c r="F468" s="2" t="s">
        <v>37</v>
      </c>
      <c r="G468" s="2" t="s">
        <v>1720</v>
      </c>
      <c r="H468" s="2" t="s">
        <v>1713</v>
      </c>
      <c r="I468" s="2" t="s">
        <v>1714</v>
      </c>
      <c r="J468" s="2" t="s">
        <v>40</v>
      </c>
      <c r="K468" s="2" t="s">
        <v>1721</v>
      </c>
      <c r="L468" s="2" t="s">
        <v>42</v>
      </c>
      <c r="M468" s="2" t="s">
        <v>1716</v>
      </c>
      <c r="N468" s="2" t="s">
        <v>35</v>
      </c>
      <c r="O468" s="2" t="s">
        <v>1687</v>
      </c>
      <c r="P468" s="2" t="s">
        <v>35</v>
      </c>
      <c r="Q468" s="2" t="s">
        <v>35</v>
      </c>
    </row>
    <row r="469" spans="1:17" ht="409.6">
      <c r="A469" s="8" t="str">
        <f>HYPERLINK("http://sipi.sic.gov.co/sipi/View.ashx?4350500","SD2022/0092376")</f>
        <v>SD2022/0092376</v>
      </c>
      <c r="B469" s="2" t="s">
        <v>1722</v>
      </c>
      <c r="C469" s="7" t="s">
        <v>35</v>
      </c>
      <c r="D469" s="2" t="s">
        <v>1711</v>
      </c>
      <c r="E469" s="2" t="s">
        <v>35</v>
      </c>
      <c r="F469" s="2" t="s">
        <v>37</v>
      </c>
      <c r="G469" s="2" t="s">
        <v>1305</v>
      </c>
      <c r="H469" s="2" t="s">
        <v>1306</v>
      </c>
      <c r="I469" s="2" t="s">
        <v>12</v>
      </c>
      <c r="J469" s="2" t="s">
        <v>40</v>
      </c>
      <c r="K469" s="2" t="s">
        <v>1723</v>
      </c>
      <c r="L469" s="2" t="s">
        <v>55</v>
      </c>
      <c r="M469" s="2" t="s">
        <v>1308</v>
      </c>
      <c r="N469" s="2" t="s">
        <v>35</v>
      </c>
      <c r="O469" s="2" t="s">
        <v>810</v>
      </c>
      <c r="P469" s="2" t="s">
        <v>35</v>
      </c>
      <c r="Q469" s="2" t="s">
        <v>35</v>
      </c>
    </row>
    <row r="470" spans="1:17" ht="409.6">
      <c r="A470" s="8" t="str">
        <f>HYPERLINK("http://sipi.sic.gov.co/sipi/View.ashx?4351501","SD2022/0092667")</f>
        <v>SD2022/0092667</v>
      </c>
      <c r="B470" s="2" t="s">
        <v>1724</v>
      </c>
      <c r="C470" s="7" t="s">
        <v>35</v>
      </c>
      <c r="D470" s="2" t="s">
        <v>1725</v>
      </c>
      <c r="E470" s="2" t="s">
        <v>35</v>
      </c>
      <c r="F470" s="2" t="s">
        <v>37</v>
      </c>
      <c r="G470" s="2" t="s">
        <v>1724</v>
      </c>
      <c r="H470" s="2" t="s">
        <v>813</v>
      </c>
      <c r="I470" s="2" t="s">
        <v>12</v>
      </c>
      <c r="J470" s="2" t="s">
        <v>40</v>
      </c>
      <c r="K470" s="2" t="s">
        <v>1726</v>
      </c>
      <c r="L470" s="2" t="s">
        <v>42</v>
      </c>
      <c r="M470" s="2" t="s">
        <v>35</v>
      </c>
      <c r="N470" s="2" t="s">
        <v>35</v>
      </c>
      <c r="O470" s="2" t="s">
        <v>1077</v>
      </c>
      <c r="P470" s="2" t="s">
        <v>35</v>
      </c>
      <c r="Q470" s="2" t="s">
        <v>35</v>
      </c>
    </row>
    <row r="471" spans="1:17" ht="129.6">
      <c r="A471" s="8" t="str">
        <f>HYPERLINK("http://sipi.sic.gov.co/sipi/View.ashx?4351895","SD2022/0092814")</f>
        <v>SD2022/0092814</v>
      </c>
      <c r="B471" s="2" t="s">
        <v>1727</v>
      </c>
      <c r="C471" s="7" t="s">
        <v>35</v>
      </c>
      <c r="D471" s="2" t="s">
        <v>1725</v>
      </c>
      <c r="E471" s="2" t="s">
        <v>35</v>
      </c>
      <c r="F471" s="2" t="s">
        <v>37</v>
      </c>
      <c r="G471" s="2" t="s">
        <v>1728</v>
      </c>
      <c r="H471" s="2" t="s">
        <v>1729</v>
      </c>
      <c r="I471" s="2" t="s">
        <v>12</v>
      </c>
      <c r="J471" s="2" t="s">
        <v>40</v>
      </c>
      <c r="K471" s="2" t="s">
        <v>1730</v>
      </c>
      <c r="L471" s="2" t="s">
        <v>42</v>
      </c>
      <c r="M471" s="2" t="s">
        <v>257</v>
      </c>
      <c r="N471" s="2" t="s">
        <v>35</v>
      </c>
      <c r="O471" s="2" t="s">
        <v>580</v>
      </c>
      <c r="P471" s="2" t="s">
        <v>35</v>
      </c>
      <c r="Q471" s="2" t="s">
        <v>35</v>
      </c>
    </row>
    <row r="472" spans="1:17" ht="100.8">
      <c r="A472" s="8" t="str">
        <f>HYPERLINK("http://sipi.sic.gov.co/sipi/View.ashx?4352905","SD2022/0093060")</f>
        <v>SD2022/0093060</v>
      </c>
      <c r="B472" s="2" t="s">
        <v>1731</v>
      </c>
      <c r="C472" s="2" t="s">
        <v>35</v>
      </c>
      <c r="D472" s="2" t="s">
        <v>1725</v>
      </c>
      <c r="E472" s="2" t="s">
        <v>35</v>
      </c>
      <c r="F472" s="2" t="s">
        <v>37</v>
      </c>
      <c r="G472" s="2" t="s">
        <v>35</v>
      </c>
      <c r="H472" s="2" t="s">
        <v>1417</v>
      </c>
      <c r="I472" s="2" t="s">
        <v>12</v>
      </c>
      <c r="J472" s="2" t="s">
        <v>40</v>
      </c>
      <c r="K472" s="2" t="s">
        <v>1732</v>
      </c>
      <c r="L472" s="2" t="s">
        <v>42</v>
      </c>
      <c r="M472" s="2" t="s">
        <v>1419</v>
      </c>
      <c r="N472" s="2" t="s">
        <v>35</v>
      </c>
      <c r="O472" s="2" t="s">
        <v>1733</v>
      </c>
      <c r="P472" s="2" t="s">
        <v>35</v>
      </c>
      <c r="Q472" s="2" t="s">
        <v>35</v>
      </c>
    </row>
    <row r="473" spans="1:17" ht="115.2">
      <c r="A473" s="8" t="str">
        <f>HYPERLINK("http://sipi.sic.gov.co/sipi/View.ashx?4353408","SD2022/0093164")</f>
        <v>SD2022/0093164</v>
      </c>
      <c r="B473" s="2" t="s">
        <v>1734</v>
      </c>
      <c r="C473" s="7" t="s">
        <v>35</v>
      </c>
      <c r="D473" s="2" t="s">
        <v>1735</v>
      </c>
      <c r="E473" s="2" t="s">
        <v>35</v>
      </c>
      <c r="F473" s="2" t="s">
        <v>37</v>
      </c>
      <c r="G473" s="2" t="s">
        <v>1736</v>
      </c>
      <c r="H473" s="2" t="s">
        <v>1737</v>
      </c>
      <c r="I473" s="2" t="s">
        <v>12</v>
      </c>
      <c r="J473" s="2" t="s">
        <v>40</v>
      </c>
      <c r="K473" s="2" t="s">
        <v>41</v>
      </c>
      <c r="L473" s="2" t="s">
        <v>42</v>
      </c>
      <c r="M473" s="2" t="s">
        <v>35</v>
      </c>
      <c r="N473" s="2" t="s">
        <v>35</v>
      </c>
      <c r="O473" s="2" t="s">
        <v>704</v>
      </c>
      <c r="P473" s="2" t="s">
        <v>35</v>
      </c>
      <c r="Q473" s="2" t="s">
        <v>35</v>
      </c>
    </row>
    <row r="474" spans="1:17" ht="158.4">
      <c r="A474" s="8" t="str">
        <f>HYPERLINK("http://sipi.sic.gov.co/sipi/View.ashx?4353545","SD2022/0093178")</f>
        <v>SD2022/0093178</v>
      </c>
      <c r="B474" s="2" t="s">
        <v>1738</v>
      </c>
      <c r="C474" s="7" t="s">
        <v>35</v>
      </c>
      <c r="D474" s="2" t="s">
        <v>555</v>
      </c>
      <c r="E474" s="2" t="s">
        <v>35</v>
      </c>
      <c r="F474" s="2" t="s">
        <v>37</v>
      </c>
      <c r="G474" s="2" t="s">
        <v>35</v>
      </c>
      <c r="H474" s="2" t="s">
        <v>1739</v>
      </c>
      <c r="I474" s="2" t="s">
        <v>12</v>
      </c>
      <c r="J474" s="2" t="s">
        <v>40</v>
      </c>
      <c r="K474" s="2" t="s">
        <v>1740</v>
      </c>
      <c r="L474" s="2" t="s">
        <v>55</v>
      </c>
      <c r="M474" s="2" t="s">
        <v>1741</v>
      </c>
      <c r="N474" s="2" t="s">
        <v>35</v>
      </c>
      <c r="O474" s="2" t="s">
        <v>810</v>
      </c>
      <c r="P474" s="2" t="s">
        <v>35</v>
      </c>
      <c r="Q474" s="2" t="s">
        <v>35</v>
      </c>
    </row>
    <row r="475" spans="1:17" ht="100.8">
      <c r="A475" s="8" t="str">
        <f>HYPERLINK("http://sipi.sic.gov.co/sipi/View.ashx?4353940","SD2022/0093284")</f>
        <v>SD2022/0093284</v>
      </c>
      <c r="B475" s="2" t="s">
        <v>1742</v>
      </c>
      <c r="C475" s="2" t="s">
        <v>35</v>
      </c>
      <c r="D475" s="2" t="s">
        <v>555</v>
      </c>
      <c r="E475" s="2" t="s">
        <v>35</v>
      </c>
      <c r="F475" s="2" t="s">
        <v>37</v>
      </c>
      <c r="G475" s="2" t="s">
        <v>1742</v>
      </c>
      <c r="H475" s="2" t="s">
        <v>1743</v>
      </c>
      <c r="I475" s="2" t="s">
        <v>12</v>
      </c>
      <c r="J475" s="2" t="s">
        <v>40</v>
      </c>
      <c r="K475" s="2" t="s">
        <v>380</v>
      </c>
      <c r="L475" s="2" t="s">
        <v>55</v>
      </c>
      <c r="M475" s="2" t="s">
        <v>1744</v>
      </c>
      <c r="N475" s="2" t="s">
        <v>35</v>
      </c>
      <c r="O475" s="2" t="s">
        <v>590</v>
      </c>
      <c r="P475" s="2" t="s">
        <v>35</v>
      </c>
      <c r="Q475" s="2" t="s">
        <v>35</v>
      </c>
    </row>
    <row r="476" spans="1:17" ht="129.6">
      <c r="A476" s="8" t="str">
        <f>HYPERLINK("http://sipi.sic.gov.co/sipi/View.ashx?4359029","SD2022/0094325")</f>
        <v>SD2022/0094325</v>
      </c>
      <c r="B476" s="2" t="s">
        <v>1745</v>
      </c>
      <c r="C476" s="2" t="s">
        <v>35</v>
      </c>
      <c r="D476" s="2" t="s">
        <v>1735</v>
      </c>
      <c r="E476" s="2" t="s">
        <v>35</v>
      </c>
      <c r="F476" s="2" t="s">
        <v>37</v>
      </c>
      <c r="G476" s="2" t="s">
        <v>1746</v>
      </c>
      <c r="H476" s="2" t="s">
        <v>407</v>
      </c>
      <c r="I476" s="2" t="s">
        <v>12</v>
      </c>
      <c r="J476" s="2" t="s">
        <v>40</v>
      </c>
      <c r="K476" s="2" t="s">
        <v>1747</v>
      </c>
      <c r="L476" s="2" t="s">
        <v>42</v>
      </c>
      <c r="M476" s="2" t="s">
        <v>409</v>
      </c>
      <c r="N476" s="2" t="s">
        <v>35</v>
      </c>
      <c r="O476" s="2" t="s">
        <v>810</v>
      </c>
      <c r="P476" s="2" t="s">
        <v>35</v>
      </c>
      <c r="Q476" s="2" t="s">
        <v>35</v>
      </c>
    </row>
    <row r="477" spans="1:17" ht="129.6">
      <c r="A477" s="8" t="str">
        <f>HYPERLINK("http://sipi.sic.gov.co/sipi/View.ashx?4359077","SD2022/0094343")</f>
        <v>SD2022/0094343</v>
      </c>
      <c r="B477" s="2" t="s">
        <v>1748</v>
      </c>
      <c r="C477" s="2" t="s">
        <v>35</v>
      </c>
      <c r="D477" s="2" t="s">
        <v>1735</v>
      </c>
      <c r="E477" s="2" t="s">
        <v>35</v>
      </c>
      <c r="F477" s="2" t="s">
        <v>37</v>
      </c>
      <c r="G477" s="2" t="s">
        <v>1749</v>
      </c>
      <c r="H477" s="2" t="s">
        <v>407</v>
      </c>
      <c r="I477" s="2" t="s">
        <v>12</v>
      </c>
      <c r="J477" s="2" t="s">
        <v>40</v>
      </c>
      <c r="K477" s="2" t="s">
        <v>1750</v>
      </c>
      <c r="L477" s="2" t="s">
        <v>42</v>
      </c>
      <c r="M477" s="2" t="s">
        <v>409</v>
      </c>
      <c r="N477" s="2" t="s">
        <v>35</v>
      </c>
      <c r="O477" s="2" t="s">
        <v>810</v>
      </c>
      <c r="P477" s="2" t="s">
        <v>35</v>
      </c>
      <c r="Q477" s="2" t="s">
        <v>35</v>
      </c>
    </row>
    <row r="478" spans="1:17" ht="409.6">
      <c r="A478" s="8" t="str">
        <f>HYPERLINK("http://sipi.sic.gov.co/sipi/View.ashx?4359418","SD2022/0094418")</f>
        <v>SD2022/0094418</v>
      </c>
      <c r="B478" s="2" t="s">
        <v>1751</v>
      </c>
      <c r="C478" s="7" t="s">
        <v>35</v>
      </c>
      <c r="D478" s="2" t="s">
        <v>1735</v>
      </c>
      <c r="E478" s="2" t="s">
        <v>35</v>
      </c>
      <c r="F478" s="2" t="s">
        <v>37</v>
      </c>
      <c r="G478" s="2" t="s">
        <v>35</v>
      </c>
      <c r="H478" s="2" t="s">
        <v>1752</v>
      </c>
      <c r="I478" s="2" t="s">
        <v>1753</v>
      </c>
      <c r="J478" s="2" t="s">
        <v>40</v>
      </c>
      <c r="K478" s="2" t="s">
        <v>1754</v>
      </c>
      <c r="L478" s="2" t="s">
        <v>42</v>
      </c>
      <c r="M478" s="2" t="s">
        <v>35</v>
      </c>
      <c r="N478" s="2" t="s">
        <v>35</v>
      </c>
      <c r="O478" s="2" t="s">
        <v>1424</v>
      </c>
      <c r="P478" s="2" t="s">
        <v>35</v>
      </c>
      <c r="Q478" s="2" t="s">
        <v>35</v>
      </c>
    </row>
    <row r="479" spans="1:17" ht="100.8">
      <c r="A479" s="8" t="str">
        <f>HYPERLINK("http://sipi.sic.gov.co/sipi/View.ashx?4359478","SD2022/0094426")</f>
        <v>SD2022/0094426</v>
      </c>
      <c r="B479" s="2" t="s">
        <v>1755</v>
      </c>
      <c r="C479" s="7" t="s">
        <v>35</v>
      </c>
      <c r="D479" s="2" t="s">
        <v>1756</v>
      </c>
      <c r="E479" s="2" t="s">
        <v>35</v>
      </c>
      <c r="F479" s="2" t="s">
        <v>37</v>
      </c>
      <c r="G479" s="2" t="s">
        <v>1757</v>
      </c>
      <c r="H479" s="2" t="s">
        <v>1758</v>
      </c>
      <c r="I479" s="2" t="s">
        <v>12</v>
      </c>
      <c r="J479" s="2" t="s">
        <v>40</v>
      </c>
      <c r="K479" s="2" t="s">
        <v>380</v>
      </c>
      <c r="L479" s="2" t="s">
        <v>42</v>
      </c>
      <c r="M479" s="2" t="s">
        <v>1759</v>
      </c>
      <c r="N479" s="2" t="s">
        <v>35</v>
      </c>
      <c r="O479" s="2" t="s">
        <v>590</v>
      </c>
      <c r="P479" s="2" t="s">
        <v>35</v>
      </c>
      <c r="Q479" s="2" t="s">
        <v>35</v>
      </c>
    </row>
    <row r="480" spans="1:17" ht="187.2">
      <c r="A480" s="8" t="str">
        <f>HYPERLINK("http://sipi.sic.gov.co/sipi/View.ashx?4360111","SD2022/0094515")</f>
        <v>SD2022/0094515</v>
      </c>
      <c r="B480" s="2" t="s">
        <v>1760</v>
      </c>
      <c r="C480" s="2" t="s">
        <v>35</v>
      </c>
      <c r="D480" s="2" t="s">
        <v>1756</v>
      </c>
      <c r="E480" s="2" t="s">
        <v>35</v>
      </c>
      <c r="F480" s="2" t="s">
        <v>37</v>
      </c>
      <c r="G480" s="2" t="s">
        <v>1761</v>
      </c>
      <c r="H480" s="2" t="s">
        <v>1762</v>
      </c>
      <c r="I480" s="2" t="s">
        <v>12</v>
      </c>
      <c r="J480" s="2" t="s">
        <v>40</v>
      </c>
      <c r="K480" s="2" t="s">
        <v>1763</v>
      </c>
      <c r="L480" s="2" t="s">
        <v>42</v>
      </c>
      <c r="M480" s="2" t="s">
        <v>252</v>
      </c>
      <c r="N480" s="2" t="s">
        <v>35</v>
      </c>
      <c r="O480" s="2" t="s">
        <v>595</v>
      </c>
      <c r="P480" s="2" t="s">
        <v>35</v>
      </c>
      <c r="Q480" s="2" t="s">
        <v>35</v>
      </c>
    </row>
    <row r="481" spans="1:17" ht="100.8">
      <c r="A481" s="8" t="str">
        <f>HYPERLINK("http://sipi.sic.gov.co/sipi/View.ashx?4364912","SD2022/0095770")</f>
        <v>SD2022/0095770</v>
      </c>
      <c r="B481" s="2" t="s">
        <v>1764</v>
      </c>
      <c r="C481" s="7" t="s">
        <v>35</v>
      </c>
      <c r="D481" s="2" t="s">
        <v>1765</v>
      </c>
      <c r="E481" s="2" t="s">
        <v>35</v>
      </c>
      <c r="F481" s="2" t="s">
        <v>37</v>
      </c>
      <c r="G481" s="2" t="s">
        <v>1766</v>
      </c>
      <c r="H481" s="2" t="s">
        <v>1767</v>
      </c>
      <c r="I481" s="2" t="s">
        <v>12</v>
      </c>
      <c r="J481" s="2" t="s">
        <v>40</v>
      </c>
      <c r="K481" s="2" t="s">
        <v>1768</v>
      </c>
      <c r="L481" s="2" t="s">
        <v>42</v>
      </c>
      <c r="M481" s="2" t="s">
        <v>440</v>
      </c>
      <c r="N481" s="2" t="s">
        <v>35</v>
      </c>
      <c r="O481" s="2" t="s">
        <v>1574</v>
      </c>
      <c r="P481" s="2" t="s">
        <v>35</v>
      </c>
      <c r="Q481" s="2" t="s">
        <v>35</v>
      </c>
    </row>
    <row r="482" spans="1:17" ht="409.6">
      <c r="A482" s="8" t="str">
        <f>HYPERLINK("http://sipi.sic.gov.co/sipi/View.ashx?4366590","SD2022/0096323")</f>
        <v>SD2022/0096323</v>
      </c>
      <c r="B482" s="2" t="s">
        <v>1769</v>
      </c>
      <c r="C482" s="7" t="s">
        <v>35</v>
      </c>
      <c r="D482" s="2" t="s">
        <v>1770</v>
      </c>
      <c r="E482" s="2" t="s">
        <v>35</v>
      </c>
      <c r="F482" s="2" t="s">
        <v>37</v>
      </c>
      <c r="G482" s="2" t="s">
        <v>1771</v>
      </c>
      <c r="H482" s="2" t="s">
        <v>153</v>
      </c>
      <c r="I482" s="2" t="s">
        <v>120</v>
      </c>
      <c r="J482" s="2" t="s">
        <v>40</v>
      </c>
      <c r="K482" s="2" t="s">
        <v>1772</v>
      </c>
      <c r="L482" s="2" t="s">
        <v>55</v>
      </c>
      <c r="M482" s="2" t="s">
        <v>155</v>
      </c>
      <c r="N482" s="2" t="s">
        <v>35</v>
      </c>
      <c r="O482" s="2" t="s">
        <v>1077</v>
      </c>
      <c r="P482" s="2" t="s">
        <v>35</v>
      </c>
      <c r="Q482" s="2" t="s">
        <v>35</v>
      </c>
    </row>
    <row r="483" spans="1:17" ht="216">
      <c r="A483" s="8" t="str">
        <f>HYPERLINK("http://sipi.sic.gov.co/sipi/View.ashx?4366594","SD2022/0096329")</f>
        <v>SD2022/0096329</v>
      </c>
      <c r="B483" s="2" t="s">
        <v>1773</v>
      </c>
      <c r="C483" s="7" t="s">
        <v>35</v>
      </c>
      <c r="D483" s="2" t="s">
        <v>1770</v>
      </c>
      <c r="E483" s="2" t="s">
        <v>35</v>
      </c>
      <c r="F483" s="2" t="s">
        <v>37</v>
      </c>
      <c r="G483" s="2" t="s">
        <v>1774</v>
      </c>
      <c r="H483" s="2" t="s">
        <v>153</v>
      </c>
      <c r="I483" s="2" t="s">
        <v>61</v>
      </c>
      <c r="J483" s="2" t="s">
        <v>40</v>
      </c>
      <c r="K483" s="2" t="s">
        <v>1775</v>
      </c>
      <c r="L483" s="2" t="s">
        <v>42</v>
      </c>
      <c r="M483" s="2" t="s">
        <v>155</v>
      </c>
      <c r="N483" s="2" t="s">
        <v>35</v>
      </c>
      <c r="O483" s="2" t="s">
        <v>1077</v>
      </c>
      <c r="P483" s="2" t="s">
        <v>35</v>
      </c>
      <c r="Q483" s="2" t="s">
        <v>35</v>
      </c>
    </row>
    <row r="484" spans="1:17" ht="201.6">
      <c r="A484" s="8" t="str">
        <f>HYPERLINK("http://sipi.sic.gov.co/sipi/View.ashx?4368895","SD2022/0096500")</f>
        <v>SD2022/0096500</v>
      </c>
      <c r="B484" s="2" t="s">
        <v>1776</v>
      </c>
      <c r="C484" s="2" t="s">
        <v>35</v>
      </c>
      <c r="D484" s="2" t="s">
        <v>590</v>
      </c>
      <c r="E484" s="2" t="s">
        <v>35</v>
      </c>
      <c r="F484" s="2" t="s">
        <v>37</v>
      </c>
      <c r="G484" s="2" t="s">
        <v>1777</v>
      </c>
      <c r="H484" s="2" t="s">
        <v>1778</v>
      </c>
      <c r="I484" s="2" t="s">
        <v>12</v>
      </c>
      <c r="J484" s="2" t="s">
        <v>40</v>
      </c>
      <c r="K484" s="2" t="s">
        <v>1779</v>
      </c>
      <c r="L484" s="2" t="s">
        <v>55</v>
      </c>
      <c r="M484" s="2" t="s">
        <v>257</v>
      </c>
      <c r="N484" s="2" t="s">
        <v>35</v>
      </c>
      <c r="O484" s="2" t="s">
        <v>810</v>
      </c>
      <c r="P484" s="2" t="s">
        <v>35</v>
      </c>
      <c r="Q484" s="2" t="s">
        <v>35</v>
      </c>
    </row>
    <row r="485" spans="1:17" ht="129.6">
      <c r="A485" s="8" t="str">
        <f>HYPERLINK("http://sipi.sic.gov.co/sipi/View.ashx?4369304","SD2022/0096590")</f>
        <v>SD2022/0096590</v>
      </c>
      <c r="B485" s="2" t="s">
        <v>1780</v>
      </c>
      <c r="C485" s="2" t="s">
        <v>35</v>
      </c>
      <c r="D485" s="2" t="s">
        <v>590</v>
      </c>
      <c r="E485" s="2" t="s">
        <v>35</v>
      </c>
      <c r="F485" s="2" t="s">
        <v>37</v>
      </c>
      <c r="G485" s="2" t="s">
        <v>35</v>
      </c>
      <c r="H485" s="2" t="s">
        <v>973</v>
      </c>
      <c r="I485" s="2" t="s">
        <v>12</v>
      </c>
      <c r="J485" s="2" t="s">
        <v>40</v>
      </c>
      <c r="K485" s="2" t="s">
        <v>1781</v>
      </c>
      <c r="L485" s="2" t="s">
        <v>42</v>
      </c>
      <c r="M485" s="2" t="s">
        <v>48</v>
      </c>
      <c r="N485" s="2" t="s">
        <v>35</v>
      </c>
      <c r="O485" s="2" t="s">
        <v>1687</v>
      </c>
      <c r="P485" s="2" t="s">
        <v>35</v>
      </c>
      <c r="Q485" s="2" t="s">
        <v>35</v>
      </c>
    </row>
    <row r="486" spans="1:17" ht="409.6">
      <c r="A486" s="8" t="str">
        <f>HYPERLINK("http://sipi.sic.gov.co/sipi/View.ashx?4371435","SD2022/0097089")</f>
        <v>SD2022/0097089</v>
      </c>
      <c r="B486" s="2" t="s">
        <v>1782</v>
      </c>
      <c r="C486" s="7" t="s">
        <v>35</v>
      </c>
      <c r="D486" s="2" t="s">
        <v>1783</v>
      </c>
      <c r="E486" s="2" t="s">
        <v>35</v>
      </c>
      <c r="F486" s="2" t="s">
        <v>37</v>
      </c>
      <c r="G486" s="2" t="s">
        <v>1782</v>
      </c>
      <c r="H486" s="2" t="s">
        <v>1784</v>
      </c>
      <c r="I486" s="2" t="s">
        <v>1785</v>
      </c>
      <c r="J486" s="2" t="s">
        <v>40</v>
      </c>
      <c r="K486" s="2" t="s">
        <v>1786</v>
      </c>
      <c r="L486" s="2" t="s">
        <v>55</v>
      </c>
      <c r="M486" s="2" t="s">
        <v>35</v>
      </c>
      <c r="N486" s="2" t="s">
        <v>35</v>
      </c>
      <c r="O486" s="2" t="s">
        <v>580</v>
      </c>
      <c r="P486" s="2" t="s">
        <v>35</v>
      </c>
      <c r="Q486" s="2" t="s">
        <v>35</v>
      </c>
    </row>
    <row r="487" spans="1:17" ht="216">
      <c r="A487" s="8" t="str">
        <f>HYPERLINK("http://sipi.sic.gov.co/sipi/View.ashx?4372204","SD2022/0097273")</f>
        <v>SD2022/0097273</v>
      </c>
      <c r="B487" s="2" t="s">
        <v>1787</v>
      </c>
      <c r="C487" s="7" t="s">
        <v>35</v>
      </c>
      <c r="D487" s="2" t="s">
        <v>1783</v>
      </c>
      <c r="E487" s="2" t="s">
        <v>35</v>
      </c>
      <c r="F487" s="2" t="s">
        <v>37</v>
      </c>
      <c r="G487" s="2" t="s">
        <v>35</v>
      </c>
      <c r="H487" s="2" t="s">
        <v>1788</v>
      </c>
      <c r="I487" s="2" t="s">
        <v>805</v>
      </c>
      <c r="J487" s="2" t="s">
        <v>40</v>
      </c>
      <c r="K487" s="2" t="s">
        <v>1789</v>
      </c>
      <c r="L487" s="2" t="s">
        <v>42</v>
      </c>
      <c r="M487" s="2" t="s">
        <v>35</v>
      </c>
      <c r="N487" s="2" t="s">
        <v>35</v>
      </c>
      <c r="O487" s="2" t="s">
        <v>1790</v>
      </c>
      <c r="P487" s="2" t="s">
        <v>35</v>
      </c>
      <c r="Q487" s="2" t="s">
        <v>35</v>
      </c>
    </row>
    <row r="488" spans="1:17" ht="129.6">
      <c r="A488" s="8" t="str">
        <f>HYPERLINK("http://sipi.sic.gov.co/sipi/View.ashx?4372300","SD2022/0097293")</f>
        <v>SD2022/0097293</v>
      </c>
      <c r="B488" s="2" t="s">
        <v>1791</v>
      </c>
      <c r="C488" s="2" t="s">
        <v>35</v>
      </c>
      <c r="D488" s="2" t="s">
        <v>1783</v>
      </c>
      <c r="E488" s="2" t="s">
        <v>35</v>
      </c>
      <c r="F488" s="2" t="s">
        <v>37</v>
      </c>
      <c r="G488" s="2" t="s">
        <v>35</v>
      </c>
      <c r="H488" s="2" t="s">
        <v>1792</v>
      </c>
      <c r="I488" s="2" t="s">
        <v>12</v>
      </c>
      <c r="J488" s="2" t="s">
        <v>40</v>
      </c>
      <c r="K488" s="2" t="s">
        <v>1793</v>
      </c>
      <c r="L488" s="2" t="s">
        <v>42</v>
      </c>
      <c r="M488" s="2" t="s">
        <v>1794</v>
      </c>
      <c r="N488" s="2" t="s">
        <v>35</v>
      </c>
      <c r="O488" s="2" t="s">
        <v>1655</v>
      </c>
      <c r="P488" s="2" t="s">
        <v>35</v>
      </c>
      <c r="Q488" s="2" t="s">
        <v>35</v>
      </c>
    </row>
    <row r="489" spans="1:17" ht="201.6">
      <c r="A489" s="8" t="str">
        <f>HYPERLINK("http://sipi.sic.gov.co/sipi/View.ashx?4372483","SD2022/0097330")</f>
        <v>SD2022/0097330</v>
      </c>
      <c r="B489" s="2" t="s">
        <v>1795</v>
      </c>
      <c r="C489" s="7" t="s">
        <v>35</v>
      </c>
      <c r="D489" s="2" t="s">
        <v>1783</v>
      </c>
      <c r="E489" s="2" t="s">
        <v>35</v>
      </c>
      <c r="F489" s="2" t="s">
        <v>37</v>
      </c>
      <c r="G489" s="2" t="s">
        <v>35</v>
      </c>
      <c r="H489" s="2" t="s">
        <v>1792</v>
      </c>
      <c r="I489" s="2" t="s">
        <v>12</v>
      </c>
      <c r="J489" s="2" t="s">
        <v>40</v>
      </c>
      <c r="K489" s="2" t="s">
        <v>1796</v>
      </c>
      <c r="L489" s="2" t="s">
        <v>42</v>
      </c>
      <c r="M489" s="2" t="s">
        <v>1794</v>
      </c>
      <c r="N489" s="2" t="s">
        <v>35</v>
      </c>
      <c r="O489" s="2" t="s">
        <v>1574</v>
      </c>
      <c r="P489" s="2" t="s">
        <v>35</v>
      </c>
      <c r="Q489" s="2" t="s">
        <v>35</v>
      </c>
    </row>
    <row r="490" spans="1:17" ht="115.2">
      <c r="A490" s="8" t="str">
        <f>HYPERLINK("http://sipi.sic.gov.co/sipi/View.ashx?4373015","SD2022/0097576")</f>
        <v>SD2022/0097576</v>
      </c>
      <c r="B490" s="2" t="s">
        <v>1797</v>
      </c>
      <c r="C490" s="2" t="s">
        <v>35</v>
      </c>
      <c r="D490" s="2" t="s">
        <v>1783</v>
      </c>
      <c r="E490" s="2" t="s">
        <v>35</v>
      </c>
      <c r="F490" s="2" t="s">
        <v>37</v>
      </c>
      <c r="G490" s="2" t="s">
        <v>1798</v>
      </c>
      <c r="H490" s="2" t="s">
        <v>1799</v>
      </c>
      <c r="I490" s="2" t="s">
        <v>120</v>
      </c>
      <c r="J490" s="2" t="s">
        <v>40</v>
      </c>
      <c r="K490" s="2" t="s">
        <v>1800</v>
      </c>
      <c r="L490" s="2" t="s">
        <v>42</v>
      </c>
      <c r="M490" s="2" t="s">
        <v>1089</v>
      </c>
      <c r="N490" s="2" t="s">
        <v>35</v>
      </c>
      <c r="O490" s="2" t="s">
        <v>1655</v>
      </c>
      <c r="P490" s="2" t="s">
        <v>35</v>
      </c>
      <c r="Q490" s="2" t="s">
        <v>35</v>
      </c>
    </row>
    <row r="491" spans="1:17" ht="115.2">
      <c r="A491" s="8" t="str">
        <f>HYPERLINK("http://sipi.sic.gov.co/sipi/View.ashx?4373020","SD2022/0097579")</f>
        <v>SD2022/0097579</v>
      </c>
      <c r="B491" s="2" t="s">
        <v>1801</v>
      </c>
      <c r="C491" s="2" t="s">
        <v>35</v>
      </c>
      <c r="D491" s="2" t="s">
        <v>1783</v>
      </c>
      <c r="E491" s="2" t="s">
        <v>35</v>
      </c>
      <c r="F491" s="2" t="s">
        <v>37</v>
      </c>
      <c r="G491" s="2" t="s">
        <v>1802</v>
      </c>
      <c r="H491" s="2" t="s">
        <v>1799</v>
      </c>
      <c r="I491" s="2" t="s">
        <v>120</v>
      </c>
      <c r="J491" s="2" t="s">
        <v>40</v>
      </c>
      <c r="K491" s="2" t="s">
        <v>1803</v>
      </c>
      <c r="L491" s="2" t="s">
        <v>42</v>
      </c>
      <c r="M491" s="2" t="s">
        <v>1089</v>
      </c>
      <c r="N491" s="2" t="s">
        <v>35</v>
      </c>
      <c r="O491" s="2" t="s">
        <v>1077</v>
      </c>
      <c r="P491" s="2" t="s">
        <v>35</v>
      </c>
      <c r="Q491" s="2" t="s">
        <v>35</v>
      </c>
    </row>
    <row r="492" spans="1:17" ht="144">
      <c r="A492" s="8" t="str">
        <f>HYPERLINK("http://sipi.sic.gov.co/sipi/View.ashx?4373197","SD2022/0097593")</f>
        <v>SD2022/0097593</v>
      </c>
      <c r="B492" s="2" t="s">
        <v>1804</v>
      </c>
      <c r="C492" s="7" t="s">
        <v>35</v>
      </c>
      <c r="D492" s="2" t="s">
        <v>1805</v>
      </c>
      <c r="E492" s="2" t="s">
        <v>35</v>
      </c>
      <c r="F492" s="2" t="s">
        <v>37</v>
      </c>
      <c r="G492" s="2" t="s">
        <v>1804</v>
      </c>
      <c r="H492" s="2" t="s">
        <v>1806</v>
      </c>
      <c r="I492" s="2" t="s">
        <v>1807</v>
      </c>
      <c r="J492" s="2" t="s">
        <v>40</v>
      </c>
      <c r="K492" s="2" t="s">
        <v>1808</v>
      </c>
      <c r="L492" s="2" t="s">
        <v>42</v>
      </c>
      <c r="M492" s="2" t="s">
        <v>1809</v>
      </c>
      <c r="N492" s="2" t="s">
        <v>35</v>
      </c>
      <c r="O492" s="2" t="s">
        <v>1574</v>
      </c>
      <c r="P492" s="2" t="s">
        <v>35</v>
      </c>
      <c r="Q492" s="2" t="s">
        <v>35</v>
      </c>
    </row>
    <row r="493" spans="1:17" ht="100.8">
      <c r="A493" s="8" t="str">
        <f>HYPERLINK("http://sipi.sic.gov.co/sipi/View.ashx?4373979","SD2022/0097767")</f>
        <v>SD2022/0097767</v>
      </c>
      <c r="B493" s="2" t="s">
        <v>1810</v>
      </c>
      <c r="C493" s="2" t="s">
        <v>35</v>
      </c>
      <c r="D493" s="2" t="s">
        <v>1805</v>
      </c>
      <c r="E493" s="2" t="s">
        <v>35</v>
      </c>
      <c r="F493" s="2" t="s">
        <v>37</v>
      </c>
      <c r="G493" s="2" t="s">
        <v>35</v>
      </c>
      <c r="H493" s="2" t="s">
        <v>1811</v>
      </c>
      <c r="I493" s="2" t="s">
        <v>12</v>
      </c>
      <c r="J493" s="2" t="s">
        <v>40</v>
      </c>
      <c r="K493" s="2" t="s">
        <v>1812</v>
      </c>
      <c r="L493" s="2" t="s">
        <v>42</v>
      </c>
      <c r="M493" s="2" t="s">
        <v>290</v>
      </c>
      <c r="N493" s="2" t="s">
        <v>35</v>
      </c>
      <c r="O493" s="2" t="s">
        <v>810</v>
      </c>
      <c r="P493" s="2" t="s">
        <v>35</v>
      </c>
      <c r="Q493" s="2" t="s">
        <v>35</v>
      </c>
    </row>
    <row r="494" spans="1:17" ht="100.8">
      <c r="A494" s="8" t="str">
        <f>HYPERLINK("http://sipi.sic.gov.co/sipi/View.ashx?4374247","SD2022/0097829")</f>
        <v>SD2022/0097829</v>
      </c>
      <c r="B494" s="2" t="s">
        <v>1813</v>
      </c>
      <c r="C494" s="2" t="s">
        <v>35</v>
      </c>
      <c r="D494" s="2" t="s">
        <v>1805</v>
      </c>
      <c r="E494" s="2" t="s">
        <v>35</v>
      </c>
      <c r="F494" s="2" t="s">
        <v>37</v>
      </c>
      <c r="G494" s="2" t="s">
        <v>1814</v>
      </c>
      <c r="H494" s="2" t="s">
        <v>1815</v>
      </c>
      <c r="I494" s="2" t="s">
        <v>12</v>
      </c>
      <c r="J494" s="2" t="s">
        <v>40</v>
      </c>
      <c r="K494" s="2" t="s">
        <v>1816</v>
      </c>
      <c r="L494" s="2" t="s">
        <v>55</v>
      </c>
      <c r="M494" s="2" t="s">
        <v>440</v>
      </c>
      <c r="N494" s="2" t="s">
        <v>35</v>
      </c>
      <c r="O494" s="2" t="s">
        <v>1077</v>
      </c>
      <c r="P494" s="2" t="s">
        <v>35</v>
      </c>
      <c r="Q494" s="2" t="s">
        <v>35</v>
      </c>
    </row>
    <row r="495" spans="1:17" ht="144">
      <c r="A495" s="8" t="str">
        <f>HYPERLINK("http://sipi.sic.gov.co/sipi/View.ashx?4374912","SD2022/0099454")</f>
        <v>SD2022/0099454</v>
      </c>
      <c r="B495" s="2" t="s">
        <v>1817</v>
      </c>
      <c r="C495" s="7" t="s">
        <v>35</v>
      </c>
      <c r="D495" s="2" t="s">
        <v>1818</v>
      </c>
      <c r="E495" s="2" t="s">
        <v>35</v>
      </c>
      <c r="F495" s="2" t="s">
        <v>37</v>
      </c>
      <c r="G495" s="2" t="s">
        <v>35</v>
      </c>
      <c r="H495" s="2" t="s">
        <v>1819</v>
      </c>
      <c r="I495" s="2" t="s">
        <v>12</v>
      </c>
      <c r="J495" s="2" t="s">
        <v>40</v>
      </c>
      <c r="K495" s="2" t="s">
        <v>1820</v>
      </c>
      <c r="L495" s="2" t="s">
        <v>42</v>
      </c>
      <c r="M495" s="2" t="s">
        <v>1230</v>
      </c>
      <c r="N495" s="2" t="s">
        <v>35</v>
      </c>
      <c r="O495" s="2" t="s">
        <v>580</v>
      </c>
      <c r="P495" s="2" t="s">
        <v>35</v>
      </c>
      <c r="Q495" s="2" t="s">
        <v>35</v>
      </c>
    </row>
    <row r="496" spans="1:17" ht="144">
      <c r="A496" s="8" t="str">
        <f>HYPERLINK("http://sipi.sic.gov.co/sipi/View.ashx?4374928","SD2022/0099457")</f>
        <v>SD2022/0099457</v>
      </c>
      <c r="B496" s="2" t="s">
        <v>1821</v>
      </c>
      <c r="C496" s="7" t="s">
        <v>35</v>
      </c>
      <c r="D496" s="2" t="s">
        <v>1818</v>
      </c>
      <c r="E496" s="2" t="s">
        <v>35</v>
      </c>
      <c r="F496" s="2" t="s">
        <v>37</v>
      </c>
      <c r="G496" s="2" t="s">
        <v>35</v>
      </c>
      <c r="H496" s="2" t="s">
        <v>1819</v>
      </c>
      <c r="I496" s="2" t="s">
        <v>12</v>
      </c>
      <c r="J496" s="2" t="s">
        <v>40</v>
      </c>
      <c r="K496" s="2" t="s">
        <v>1820</v>
      </c>
      <c r="L496" s="2" t="s">
        <v>42</v>
      </c>
      <c r="M496" s="2" t="s">
        <v>1230</v>
      </c>
      <c r="N496" s="2" t="s">
        <v>35</v>
      </c>
      <c r="O496" s="2" t="s">
        <v>493</v>
      </c>
      <c r="P496" s="2" t="s">
        <v>35</v>
      </c>
      <c r="Q496" s="2" t="s">
        <v>35</v>
      </c>
    </row>
    <row r="497" spans="1:17" ht="144">
      <c r="A497" s="8" t="str">
        <f>HYPERLINK("http://sipi.sic.gov.co/sipi/View.ashx?4374933","SD2022/0099458")</f>
        <v>SD2022/0099458</v>
      </c>
      <c r="B497" s="2" t="s">
        <v>1822</v>
      </c>
      <c r="C497" s="7" t="s">
        <v>35</v>
      </c>
      <c r="D497" s="2" t="s">
        <v>1818</v>
      </c>
      <c r="E497" s="2" t="s">
        <v>35</v>
      </c>
      <c r="F497" s="2" t="s">
        <v>37</v>
      </c>
      <c r="G497" s="2" t="s">
        <v>35</v>
      </c>
      <c r="H497" s="2" t="s">
        <v>1819</v>
      </c>
      <c r="I497" s="2" t="s">
        <v>12</v>
      </c>
      <c r="J497" s="2" t="s">
        <v>40</v>
      </c>
      <c r="K497" s="2" t="s">
        <v>1820</v>
      </c>
      <c r="L497" s="2" t="s">
        <v>42</v>
      </c>
      <c r="M497" s="2" t="s">
        <v>1230</v>
      </c>
      <c r="N497" s="2" t="s">
        <v>35</v>
      </c>
      <c r="O497" s="2" t="s">
        <v>493</v>
      </c>
      <c r="P497" s="2" t="s">
        <v>35</v>
      </c>
      <c r="Q497" s="2" t="s">
        <v>35</v>
      </c>
    </row>
    <row r="498" spans="1:17" ht="115.2">
      <c r="A498" s="8" t="str">
        <f>HYPERLINK("http://sipi.sic.gov.co/sipi/View.ashx?4375288","SD2022/0098060")</f>
        <v>SD2022/0098060</v>
      </c>
      <c r="B498" s="2" t="s">
        <v>1823</v>
      </c>
      <c r="C498" s="7" t="s">
        <v>35</v>
      </c>
      <c r="D498" s="2" t="s">
        <v>1824</v>
      </c>
      <c r="E498" s="2" t="s">
        <v>35</v>
      </c>
      <c r="F498" s="2" t="s">
        <v>37</v>
      </c>
      <c r="G498" s="2" t="s">
        <v>1825</v>
      </c>
      <c r="H498" s="2" t="s">
        <v>1826</v>
      </c>
      <c r="I498" s="2" t="s">
        <v>12</v>
      </c>
      <c r="J498" s="2" t="s">
        <v>40</v>
      </c>
      <c r="K498" s="2" t="s">
        <v>1827</v>
      </c>
      <c r="L498" s="2" t="s">
        <v>42</v>
      </c>
      <c r="M498" s="2" t="s">
        <v>833</v>
      </c>
      <c r="N498" s="2" t="s">
        <v>35</v>
      </c>
      <c r="O498" s="2" t="s">
        <v>1828</v>
      </c>
      <c r="P498" s="2" t="s">
        <v>35</v>
      </c>
      <c r="Q498" s="2" t="s">
        <v>35</v>
      </c>
    </row>
    <row r="499" spans="1:17" ht="100.8">
      <c r="A499" s="8" t="str">
        <f>HYPERLINK("http://sipi.sic.gov.co/sipi/View.ashx?4375768","SD2022/0098168")</f>
        <v>SD2022/0098168</v>
      </c>
      <c r="B499" s="2" t="s">
        <v>1813</v>
      </c>
      <c r="C499" s="7" t="s">
        <v>35</v>
      </c>
      <c r="D499" s="2" t="s">
        <v>1824</v>
      </c>
      <c r="E499" s="2" t="s">
        <v>35</v>
      </c>
      <c r="F499" s="2" t="s">
        <v>37</v>
      </c>
      <c r="G499" s="2" t="s">
        <v>1829</v>
      </c>
      <c r="H499" s="2" t="s">
        <v>1815</v>
      </c>
      <c r="I499" s="2" t="s">
        <v>12</v>
      </c>
      <c r="J499" s="2" t="s">
        <v>40</v>
      </c>
      <c r="K499" s="2" t="s">
        <v>1816</v>
      </c>
      <c r="L499" s="2" t="s">
        <v>55</v>
      </c>
      <c r="M499" s="2" t="s">
        <v>440</v>
      </c>
      <c r="N499" s="2" t="s">
        <v>35</v>
      </c>
      <c r="O499" s="2" t="s">
        <v>1409</v>
      </c>
      <c r="P499" s="2" t="s">
        <v>35</v>
      </c>
      <c r="Q499" s="2" t="s">
        <v>35</v>
      </c>
    </row>
    <row r="500" spans="1:17" ht="115.2">
      <c r="A500" s="8" t="str">
        <f>HYPERLINK("http://sipi.sic.gov.co/sipi/View.ashx?4376462","SD2022/0098329")</f>
        <v>SD2022/0098329</v>
      </c>
      <c r="B500" s="2" t="s">
        <v>1830</v>
      </c>
      <c r="C500" s="2" t="s">
        <v>35</v>
      </c>
      <c r="D500" s="2" t="s">
        <v>1824</v>
      </c>
      <c r="E500" s="2" t="s">
        <v>35</v>
      </c>
      <c r="F500" s="2" t="s">
        <v>37</v>
      </c>
      <c r="G500" s="2" t="s">
        <v>35</v>
      </c>
      <c r="H500" s="2" t="s">
        <v>1478</v>
      </c>
      <c r="I500" s="2" t="s">
        <v>991</v>
      </c>
      <c r="J500" s="2" t="s">
        <v>40</v>
      </c>
      <c r="K500" s="2" t="s">
        <v>1831</v>
      </c>
      <c r="L500" s="2" t="s">
        <v>55</v>
      </c>
      <c r="M500" s="2" t="s">
        <v>1832</v>
      </c>
      <c r="N500" s="2" t="s">
        <v>35</v>
      </c>
      <c r="O500" s="2" t="s">
        <v>810</v>
      </c>
      <c r="P500" s="2" t="s">
        <v>35</v>
      </c>
      <c r="Q500" s="2" t="s">
        <v>35</v>
      </c>
    </row>
    <row r="501" spans="1:17" ht="129.6">
      <c r="A501" s="8" t="str">
        <f>HYPERLINK("http://sipi.sic.gov.co/sipi/View.ashx?4376492","SD2022/0098341")</f>
        <v>SD2022/0098341</v>
      </c>
      <c r="B501" s="2" t="s">
        <v>1833</v>
      </c>
      <c r="C501" s="2" t="s">
        <v>35</v>
      </c>
      <c r="D501" s="2" t="s">
        <v>1824</v>
      </c>
      <c r="E501" s="2" t="s">
        <v>35</v>
      </c>
      <c r="F501" s="2" t="s">
        <v>37</v>
      </c>
      <c r="G501" s="2" t="s">
        <v>35</v>
      </c>
      <c r="H501" s="2" t="s">
        <v>1834</v>
      </c>
      <c r="I501" s="2" t="s">
        <v>991</v>
      </c>
      <c r="J501" s="2" t="s">
        <v>40</v>
      </c>
      <c r="K501" s="2" t="s">
        <v>1831</v>
      </c>
      <c r="L501" s="2" t="s">
        <v>55</v>
      </c>
      <c r="M501" s="2" t="s">
        <v>1835</v>
      </c>
      <c r="N501" s="2" t="s">
        <v>35</v>
      </c>
      <c r="O501" s="2" t="s">
        <v>810</v>
      </c>
      <c r="P501" s="2" t="s">
        <v>35</v>
      </c>
      <c r="Q501" s="2" t="s">
        <v>35</v>
      </c>
    </row>
    <row r="502" spans="1:17" ht="129.6">
      <c r="A502" s="8" t="str">
        <f>HYPERLINK("http://sipi.sic.gov.co/sipi/View.ashx?4376662","SD2022/0098400")</f>
        <v>SD2022/0098400</v>
      </c>
      <c r="B502" s="2" t="s">
        <v>1836</v>
      </c>
      <c r="C502" s="2" t="s">
        <v>35</v>
      </c>
      <c r="D502" s="2" t="s">
        <v>1824</v>
      </c>
      <c r="E502" s="2" t="s">
        <v>35</v>
      </c>
      <c r="F502" s="2" t="s">
        <v>37</v>
      </c>
      <c r="G502" s="2" t="s">
        <v>35</v>
      </c>
      <c r="H502" s="2" t="s">
        <v>1373</v>
      </c>
      <c r="I502" s="2" t="s">
        <v>12</v>
      </c>
      <c r="J502" s="2" t="s">
        <v>40</v>
      </c>
      <c r="K502" s="2" t="s">
        <v>1837</v>
      </c>
      <c r="L502" s="2" t="s">
        <v>55</v>
      </c>
      <c r="M502" s="2" t="s">
        <v>371</v>
      </c>
      <c r="N502" s="2" t="s">
        <v>35</v>
      </c>
      <c r="O502" s="2" t="s">
        <v>810</v>
      </c>
      <c r="P502" s="2" t="s">
        <v>35</v>
      </c>
      <c r="Q502" s="2" t="s">
        <v>35</v>
      </c>
    </row>
    <row r="503" spans="1:17" ht="100.8">
      <c r="A503" s="8" t="str">
        <f>HYPERLINK("http://sipi.sic.gov.co/sipi/View.ashx?4377943","SD2022/0098629")</f>
        <v>SD2022/0098629</v>
      </c>
      <c r="B503" s="2" t="s">
        <v>1838</v>
      </c>
      <c r="C503" s="2" t="s">
        <v>35</v>
      </c>
      <c r="D503" s="2" t="s">
        <v>1839</v>
      </c>
      <c r="E503" s="2" t="s">
        <v>35</v>
      </c>
      <c r="F503" s="2" t="s">
        <v>37</v>
      </c>
      <c r="G503" s="2" t="s">
        <v>35</v>
      </c>
      <c r="H503" s="2" t="s">
        <v>1811</v>
      </c>
      <c r="I503" s="2" t="s">
        <v>12</v>
      </c>
      <c r="J503" s="2" t="s">
        <v>40</v>
      </c>
      <c r="K503" s="2" t="s">
        <v>1812</v>
      </c>
      <c r="L503" s="2" t="s">
        <v>42</v>
      </c>
      <c r="M503" s="2" t="s">
        <v>290</v>
      </c>
      <c r="N503" s="2" t="s">
        <v>35</v>
      </c>
      <c r="O503" s="2" t="s">
        <v>810</v>
      </c>
      <c r="P503" s="2" t="s">
        <v>35</v>
      </c>
      <c r="Q503" s="2" t="s">
        <v>35</v>
      </c>
    </row>
    <row r="504" spans="1:17" ht="115.2">
      <c r="A504" s="8" t="str">
        <f>HYPERLINK("http://sipi.sic.gov.co/sipi/View.ashx?4378011","SD2022/0100633")</f>
        <v>SD2022/0100633</v>
      </c>
      <c r="B504" s="2" t="s">
        <v>1840</v>
      </c>
      <c r="C504" s="7" t="s">
        <v>35</v>
      </c>
      <c r="D504" s="2" t="s">
        <v>595</v>
      </c>
      <c r="E504" s="2" t="s">
        <v>35</v>
      </c>
      <c r="F504" s="2" t="s">
        <v>37</v>
      </c>
      <c r="G504" s="2" t="s">
        <v>35</v>
      </c>
      <c r="H504" s="2" t="s">
        <v>1841</v>
      </c>
      <c r="I504" s="2" t="s">
        <v>12</v>
      </c>
      <c r="J504" s="2" t="s">
        <v>40</v>
      </c>
      <c r="K504" s="2" t="s">
        <v>1842</v>
      </c>
      <c r="L504" s="2" t="s">
        <v>42</v>
      </c>
      <c r="M504" s="2" t="s">
        <v>1843</v>
      </c>
      <c r="N504" s="2" t="s">
        <v>35</v>
      </c>
      <c r="O504" s="2" t="s">
        <v>810</v>
      </c>
      <c r="P504" s="2" t="s">
        <v>35</v>
      </c>
      <c r="Q504" s="2" t="s">
        <v>35</v>
      </c>
    </row>
    <row r="505" spans="1:17" ht="331.2">
      <c r="A505" s="8" t="str">
        <f>HYPERLINK("http://sipi.sic.gov.co/sipi/View.ashx?4379103","SD2022/0098918")</f>
        <v>SD2022/0098918</v>
      </c>
      <c r="B505" s="2" t="s">
        <v>1844</v>
      </c>
      <c r="C505" s="2" t="s">
        <v>35</v>
      </c>
      <c r="D505" s="2" t="s">
        <v>1839</v>
      </c>
      <c r="E505" s="2" t="s">
        <v>35</v>
      </c>
      <c r="F505" s="2" t="s">
        <v>37</v>
      </c>
      <c r="G505" s="2" t="s">
        <v>1845</v>
      </c>
      <c r="H505" s="2" t="s">
        <v>1653</v>
      </c>
      <c r="I505" s="2" t="s">
        <v>12</v>
      </c>
      <c r="J505" s="2" t="s">
        <v>40</v>
      </c>
      <c r="K505" s="2" t="s">
        <v>1846</v>
      </c>
      <c r="L505" s="2" t="s">
        <v>42</v>
      </c>
      <c r="M505" s="2" t="s">
        <v>35</v>
      </c>
      <c r="N505" s="2" t="s">
        <v>35</v>
      </c>
      <c r="O505" s="2" t="s">
        <v>1409</v>
      </c>
      <c r="P505" s="2" t="s">
        <v>35</v>
      </c>
      <c r="Q505" s="2" t="s">
        <v>35</v>
      </c>
    </row>
    <row r="506" spans="1:17" ht="144">
      <c r="A506" s="8" t="str">
        <f>HYPERLINK("http://sipi.sic.gov.co/sipi/View.ashx?4381131","SD2022/0100640")</f>
        <v>SD2022/0100640</v>
      </c>
      <c r="B506" s="2" t="s">
        <v>1847</v>
      </c>
      <c r="C506" s="2" t="s">
        <v>35</v>
      </c>
      <c r="D506" s="2" t="s">
        <v>595</v>
      </c>
      <c r="E506" s="2" t="s">
        <v>35</v>
      </c>
      <c r="F506" s="2" t="s">
        <v>37</v>
      </c>
      <c r="G506" s="2" t="s">
        <v>1848</v>
      </c>
      <c r="H506" s="2" t="s">
        <v>1849</v>
      </c>
      <c r="I506" s="2" t="s">
        <v>12</v>
      </c>
      <c r="J506" s="2" t="s">
        <v>40</v>
      </c>
      <c r="K506" s="2" t="s">
        <v>1850</v>
      </c>
      <c r="L506" s="2" t="s">
        <v>55</v>
      </c>
      <c r="M506" s="2" t="s">
        <v>1851</v>
      </c>
      <c r="N506" s="2" t="s">
        <v>35</v>
      </c>
      <c r="O506" s="2" t="s">
        <v>704</v>
      </c>
      <c r="P506" s="2" t="s">
        <v>35</v>
      </c>
      <c r="Q506" s="2" t="s">
        <v>35</v>
      </c>
    </row>
    <row r="507" spans="1:17" ht="409.6">
      <c r="A507" s="8" t="str">
        <f>HYPERLINK("http://sipi.sic.gov.co/sipi/View.ashx?4381344","SD2022/0099419")</f>
        <v>SD2022/0099419</v>
      </c>
      <c r="B507" s="2" t="s">
        <v>1852</v>
      </c>
      <c r="C507" s="7" t="s">
        <v>35</v>
      </c>
      <c r="D507" s="2" t="s">
        <v>1818</v>
      </c>
      <c r="E507" s="2" t="s">
        <v>35</v>
      </c>
      <c r="F507" s="2" t="s">
        <v>37</v>
      </c>
      <c r="G507" s="2" t="s">
        <v>35</v>
      </c>
      <c r="H507" s="2" t="s">
        <v>1853</v>
      </c>
      <c r="I507" s="2" t="s">
        <v>12</v>
      </c>
      <c r="J507" s="2" t="s">
        <v>40</v>
      </c>
      <c r="K507" s="2" t="s">
        <v>1854</v>
      </c>
      <c r="L507" s="2" t="s">
        <v>55</v>
      </c>
      <c r="M507" s="2" t="s">
        <v>1855</v>
      </c>
      <c r="N507" s="2" t="s">
        <v>35</v>
      </c>
      <c r="O507" s="2" t="s">
        <v>359</v>
      </c>
      <c r="P507" s="2" t="s">
        <v>35</v>
      </c>
      <c r="Q507" s="2" t="s">
        <v>35</v>
      </c>
    </row>
    <row r="508" spans="1:17" ht="409.6">
      <c r="A508" s="8" t="str">
        <f>HYPERLINK("http://sipi.sic.gov.co/sipi/View.ashx?4381364","SD2022/0099424")</f>
        <v>SD2022/0099424</v>
      </c>
      <c r="B508" s="2" t="s">
        <v>1856</v>
      </c>
      <c r="C508" s="7" t="s">
        <v>35</v>
      </c>
      <c r="D508" s="2" t="s">
        <v>1818</v>
      </c>
      <c r="E508" s="2" t="s">
        <v>35</v>
      </c>
      <c r="F508" s="2" t="s">
        <v>37</v>
      </c>
      <c r="G508" s="2" t="s">
        <v>35</v>
      </c>
      <c r="H508" s="2" t="s">
        <v>1853</v>
      </c>
      <c r="I508" s="2" t="s">
        <v>12</v>
      </c>
      <c r="J508" s="2" t="s">
        <v>40</v>
      </c>
      <c r="K508" s="2" t="s">
        <v>1854</v>
      </c>
      <c r="L508" s="2" t="s">
        <v>55</v>
      </c>
      <c r="M508" s="2" t="s">
        <v>1855</v>
      </c>
      <c r="N508" s="2" t="s">
        <v>35</v>
      </c>
      <c r="O508" s="2" t="s">
        <v>359</v>
      </c>
      <c r="P508" s="2" t="s">
        <v>35</v>
      </c>
      <c r="Q508" s="2" t="s">
        <v>35</v>
      </c>
    </row>
    <row r="509" spans="1:17" ht="409.6">
      <c r="A509" s="8" t="str">
        <f>HYPERLINK("http://sipi.sic.gov.co/sipi/View.ashx?4381373","SD2022/0099426")</f>
        <v>SD2022/0099426</v>
      </c>
      <c r="B509" s="2" t="s">
        <v>1857</v>
      </c>
      <c r="C509" s="7" t="s">
        <v>35</v>
      </c>
      <c r="D509" s="2" t="s">
        <v>1818</v>
      </c>
      <c r="E509" s="2" t="s">
        <v>35</v>
      </c>
      <c r="F509" s="2" t="s">
        <v>37</v>
      </c>
      <c r="G509" s="2" t="s">
        <v>35</v>
      </c>
      <c r="H509" s="2" t="s">
        <v>1853</v>
      </c>
      <c r="I509" s="2" t="s">
        <v>12</v>
      </c>
      <c r="J509" s="2" t="s">
        <v>40</v>
      </c>
      <c r="K509" s="2" t="s">
        <v>1854</v>
      </c>
      <c r="L509" s="2" t="s">
        <v>55</v>
      </c>
      <c r="M509" s="2" t="s">
        <v>1855</v>
      </c>
      <c r="N509" s="2" t="s">
        <v>35</v>
      </c>
      <c r="O509" s="2" t="s">
        <v>1687</v>
      </c>
      <c r="P509" s="2" t="s">
        <v>35</v>
      </c>
      <c r="Q509" s="2" t="s">
        <v>35</v>
      </c>
    </row>
    <row r="510" spans="1:17" ht="409.6">
      <c r="A510" s="8" t="str">
        <f>HYPERLINK("http://sipi.sic.gov.co/sipi/View.ashx?4381383","SD2022/0099429")</f>
        <v>SD2022/0099429</v>
      </c>
      <c r="B510" s="2" t="s">
        <v>1858</v>
      </c>
      <c r="C510" s="7" t="s">
        <v>35</v>
      </c>
      <c r="D510" s="2" t="s">
        <v>1818</v>
      </c>
      <c r="E510" s="2" t="s">
        <v>35</v>
      </c>
      <c r="F510" s="2" t="s">
        <v>37</v>
      </c>
      <c r="G510" s="2" t="s">
        <v>35</v>
      </c>
      <c r="H510" s="2" t="s">
        <v>1853</v>
      </c>
      <c r="I510" s="2" t="s">
        <v>12</v>
      </c>
      <c r="J510" s="2" t="s">
        <v>40</v>
      </c>
      <c r="K510" s="2" t="s">
        <v>1854</v>
      </c>
      <c r="L510" s="2" t="s">
        <v>55</v>
      </c>
      <c r="M510" s="2" t="s">
        <v>1855</v>
      </c>
      <c r="N510" s="2" t="s">
        <v>35</v>
      </c>
      <c r="O510" s="2" t="s">
        <v>1687</v>
      </c>
      <c r="P510" s="2" t="s">
        <v>35</v>
      </c>
      <c r="Q510" s="2" t="s">
        <v>35</v>
      </c>
    </row>
    <row r="511" spans="1:17" ht="187.2">
      <c r="A511" s="8" t="str">
        <f>HYPERLINK("http://sipi.sic.gov.co/sipi/View.ashx?4382191","SD2022/0099562")</f>
        <v>SD2022/0099562</v>
      </c>
      <c r="B511" s="2" t="s">
        <v>1859</v>
      </c>
      <c r="C511" s="7" t="s">
        <v>35</v>
      </c>
      <c r="D511" s="2" t="s">
        <v>1860</v>
      </c>
      <c r="E511" s="2" t="s">
        <v>35</v>
      </c>
      <c r="F511" s="2" t="s">
        <v>37</v>
      </c>
      <c r="G511" s="2" t="s">
        <v>1861</v>
      </c>
      <c r="H511" s="2" t="s">
        <v>1862</v>
      </c>
      <c r="I511" s="2" t="s">
        <v>12</v>
      </c>
      <c r="J511" s="2" t="s">
        <v>40</v>
      </c>
      <c r="K511" s="2" t="s">
        <v>41</v>
      </c>
      <c r="L511" s="2" t="s">
        <v>55</v>
      </c>
      <c r="M511" s="2" t="s">
        <v>252</v>
      </c>
      <c r="N511" s="2" t="s">
        <v>35</v>
      </c>
      <c r="O511" s="2" t="s">
        <v>359</v>
      </c>
      <c r="P511" s="2" t="s">
        <v>35</v>
      </c>
      <c r="Q511" s="2" t="s">
        <v>35</v>
      </c>
    </row>
    <row r="512" spans="1:17" ht="76.8">
      <c r="A512" s="8" t="str">
        <f>HYPERLINK("http://sipi.sic.gov.co/sipi/View.ashx?4382969","SD2022/0099729")</f>
        <v>SD2022/0099729</v>
      </c>
      <c r="B512" s="2" t="s">
        <v>1863</v>
      </c>
      <c r="C512" s="7" t="s">
        <v>35</v>
      </c>
      <c r="D512" s="2" t="s">
        <v>595</v>
      </c>
      <c r="E512" s="2" t="s">
        <v>35</v>
      </c>
      <c r="F512" s="2" t="s">
        <v>37</v>
      </c>
      <c r="G512" s="2" t="s">
        <v>1864</v>
      </c>
      <c r="H512" s="2" t="s">
        <v>1865</v>
      </c>
      <c r="I512" s="2" t="s">
        <v>12</v>
      </c>
      <c r="J512" s="2" t="s">
        <v>40</v>
      </c>
      <c r="K512" s="2" t="s">
        <v>1866</v>
      </c>
      <c r="L512" s="2" t="s">
        <v>42</v>
      </c>
      <c r="M512" s="2" t="s">
        <v>35</v>
      </c>
      <c r="N512" s="2" t="s">
        <v>35</v>
      </c>
      <c r="O512" s="2" t="s">
        <v>704</v>
      </c>
      <c r="P512" s="2" t="s">
        <v>35</v>
      </c>
      <c r="Q512" s="2" t="s">
        <v>35</v>
      </c>
    </row>
    <row r="513" spans="1:17" ht="409.6">
      <c r="A513" s="8" t="str">
        <f>HYPERLINK("http://sipi.sic.gov.co/sipi/View.ashx?4383145","SD2022/0099774")</f>
        <v>SD2022/0099774</v>
      </c>
      <c r="B513" s="2" t="s">
        <v>1867</v>
      </c>
      <c r="C513" s="7" t="s">
        <v>35</v>
      </c>
      <c r="D513" s="2" t="s">
        <v>1860</v>
      </c>
      <c r="E513" s="2" t="s">
        <v>35</v>
      </c>
      <c r="F513" s="2" t="s">
        <v>37</v>
      </c>
      <c r="G513" s="2" t="s">
        <v>1867</v>
      </c>
      <c r="H513" s="2" t="s">
        <v>1868</v>
      </c>
      <c r="I513" s="2" t="s">
        <v>61</v>
      </c>
      <c r="J513" s="2" t="s">
        <v>40</v>
      </c>
      <c r="K513" s="2" t="s">
        <v>1869</v>
      </c>
      <c r="L513" s="2" t="s">
        <v>42</v>
      </c>
      <c r="M513" s="2" t="s">
        <v>63</v>
      </c>
      <c r="N513" s="2" t="s">
        <v>35</v>
      </c>
      <c r="O513" s="2" t="s">
        <v>359</v>
      </c>
      <c r="P513" s="2" t="s">
        <v>35</v>
      </c>
      <c r="Q513" s="2" t="s">
        <v>35</v>
      </c>
    </row>
    <row r="514" spans="1:17" ht="129.6">
      <c r="A514" s="8" t="str">
        <f>HYPERLINK("http://sipi.sic.gov.co/sipi/View.ashx?4383591","SD2022/0099978")</f>
        <v>SD2022/0099978</v>
      </c>
      <c r="B514" s="2" t="s">
        <v>1870</v>
      </c>
      <c r="C514" s="7" t="s">
        <v>35</v>
      </c>
      <c r="D514" s="2" t="s">
        <v>1860</v>
      </c>
      <c r="E514" s="2" t="s">
        <v>35</v>
      </c>
      <c r="F514" s="2" t="s">
        <v>37</v>
      </c>
      <c r="G514" s="2" t="s">
        <v>1871</v>
      </c>
      <c r="H514" s="2" t="s">
        <v>1872</v>
      </c>
      <c r="I514" s="2" t="s">
        <v>12</v>
      </c>
      <c r="J514" s="2" t="s">
        <v>40</v>
      </c>
      <c r="K514" s="2" t="s">
        <v>1873</v>
      </c>
      <c r="L514" s="2" t="s">
        <v>55</v>
      </c>
      <c r="M514" s="2" t="s">
        <v>105</v>
      </c>
      <c r="N514" s="2" t="s">
        <v>35</v>
      </c>
      <c r="O514" s="2" t="s">
        <v>493</v>
      </c>
      <c r="P514" s="2" t="s">
        <v>35</v>
      </c>
      <c r="Q514" s="2" t="s">
        <v>35</v>
      </c>
    </row>
    <row r="515" spans="1:17" ht="76.8">
      <c r="A515" s="8" t="str">
        <f>HYPERLINK("http://sipi.sic.gov.co/sipi/View.ashx?4384595","SD2022/0100177")</f>
        <v>SD2022/0100177</v>
      </c>
      <c r="B515" s="2" t="s">
        <v>1874</v>
      </c>
      <c r="C515" s="7" t="s">
        <v>35</v>
      </c>
      <c r="D515" s="2" t="s">
        <v>1875</v>
      </c>
      <c r="E515" s="2" t="s">
        <v>35</v>
      </c>
      <c r="F515" s="2" t="s">
        <v>37</v>
      </c>
      <c r="G515" s="2" t="s">
        <v>1876</v>
      </c>
      <c r="H515" s="2" t="s">
        <v>1877</v>
      </c>
      <c r="I515" s="2" t="s">
        <v>12</v>
      </c>
      <c r="J515" s="2" t="s">
        <v>40</v>
      </c>
      <c r="K515" s="2" t="s">
        <v>1878</v>
      </c>
      <c r="L515" s="2" t="s">
        <v>42</v>
      </c>
      <c r="M515" s="2" t="s">
        <v>35</v>
      </c>
      <c r="N515" s="2" t="s">
        <v>35</v>
      </c>
      <c r="O515" s="2" t="s">
        <v>1687</v>
      </c>
      <c r="P515" s="2" t="s">
        <v>35</v>
      </c>
      <c r="Q515" s="2" t="s">
        <v>35</v>
      </c>
    </row>
    <row r="516" spans="1:17" ht="144">
      <c r="A516" s="8" t="str">
        <f>HYPERLINK("http://sipi.sic.gov.co/sipi/View.ashx?4385867","SD2022/0100487")</f>
        <v>SD2022/0100487</v>
      </c>
      <c r="B516" s="2" t="s">
        <v>1879</v>
      </c>
      <c r="C516" s="2" t="s">
        <v>35</v>
      </c>
      <c r="D516" s="2" t="s">
        <v>1875</v>
      </c>
      <c r="E516" s="2" t="s">
        <v>35</v>
      </c>
      <c r="F516" s="2" t="s">
        <v>37</v>
      </c>
      <c r="G516" s="2" t="s">
        <v>35</v>
      </c>
      <c r="H516" s="2" t="s">
        <v>1880</v>
      </c>
      <c r="I516" s="2" t="s">
        <v>12</v>
      </c>
      <c r="J516" s="2" t="s">
        <v>40</v>
      </c>
      <c r="K516" s="2" t="s">
        <v>1881</v>
      </c>
      <c r="L516" s="2" t="s">
        <v>42</v>
      </c>
      <c r="M516" s="2" t="s">
        <v>1882</v>
      </c>
      <c r="N516" s="2" t="s">
        <v>35</v>
      </c>
      <c r="O516" s="2" t="s">
        <v>493</v>
      </c>
      <c r="P516" s="2" t="s">
        <v>35</v>
      </c>
      <c r="Q516" s="2" t="s">
        <v>35</v>
      </c>
    </row>
    <row r="517" spans="1:17" ht="172.8">
      <c r="A517" s="8" t="str">
        <f>HYPERLINK("http://sipi.sic.gov.co/sipi/View.ashx?4387577","SD2022/0100882")</f>
        <v>SD2022/0100882</v>
      </c>
      <c r="B517" s="2" t="s">
        <v>1883</v>
      </c>
      <c r="C517" s="7" t="s">
        <v>35</v>
      </c>
      <c r="D517" s="2" t="s">
        <v>595</v>
      </c>
      <c r="E517" s="2" t="s">
        <v>35</v>
      </c>
      <c r="F517" s="2" t="s">
        <v>37</v>
      </c>
      <c r="G517" s="2" t="s">
        <v>1883</v>
      </c>
      <c r="H517" s="2" t="s">
        <v>1884</v>
      </c>
      <c r="I517" s="2" t="s">
        <v>12</v>
      </c>
      <c r="J517" s="2" t="s">
        <v>40</v>
      </c>
      <c r="K517" s="2" t="s">
        <v>1885</v>
      </c>
      <c r="L517" s="2" t="s">
        <v>42</v>
      </c>
      <c r="M517" s="2" t="s">
        <v>35</v>
      </c>
      <c r="N517" s="2" t="s">
        <v>35</v>
      </c>
      <c r="O517" s="2" t="s">
        <v>1687</v>
      </c>
      <c r="P517" s="2" t="s">
        <v>35</v>
      </c>
      <c r="Q517" s="2" t="s">
        <v>35</v>
      </c>
    </row>
    <row r="518" spans="1:17" ht="129.6">
      <c r="A518" s="8" t="str">
        <f>HYPERLINK("http://sipi.sic.gov.co/sipi/View.ashx?4387993","SD2022/0100987")</f>
        <v>SD2022/0100987</v>
      </c>
      <c r="B518" s="2" t="s">
        <v>1886</v>
      </c>
      <c r="C518" s="2" t="s">
        <v>35</v>
      </c>
      <c r="D518" s="2" t="s">
        <v>595</v>
      </c>
      <c r="E518" s="2" t="s">
        <v>35</v>
      </c>
      <c r="F518" s="2" t="s">
        <v>37</v>
      </c>
      <c r="G518" s="2" t="s">
        <v>1887</v>
      </c>
      <c r="H518" s="2" t="s">
        <v>1888</v>
      </c>
      <c r="I518" s="2" t="s">
        <v>12</v>
      </c>
      <c r="J518" s="2" t="s">
        <v>40</v>
      </c>
      <c r="K518" s="2" t="s">
        <v>1889</v>
      </c>
      <c r="L518" s="2" t="s">
        <v>42</v>
      </c>
      <c r="M518" s="2" t="s">
        <v>1890</v>
      </c>
      <c r="N518" s="2" t="s">
        <v>35</v>
      </c>
      <c r="O518" s="2" t="s">
        <v>704</v>
      </c>
      <c r="P518" s="2" t="s">
        <v>35</v>
      </c>
      <c r="Q518" s="2" t="s">
        <v>35</v>
      </c>
    </row>
    <row r="519" spans="1:17" ht="129.6">
      <c r="A519" s="8" t="str">
        <f>HYPERLINK("http://sipi.sic.gov.co/sipi/View.ashx?4391881","SD2022/0101784")</f>
        <v>SD2022/0101784</v>
      </c>
      <c r="B519" s="2" t="s">
        <v>1891</v>
      </c>
      <c r="C519" s="2" t="s">
        <v>35</v>
      </c>
      <c r="D519" s="2" t="s">
        <v>1892</v>
      </c>
      <c r="E519" s="2" t="s">
        <v>35</v>
      </c>
      <c r="F519" s="2" t="s">
        <v>37</v>
      </c>
      <c r="G519" s="2" t="s">
        <v>1891</v>
      </c>
      <c r="H519" s="2" t="s">
        <v>1893</v>
      </c>
      <c r="I519" s="2" t="s">
        <v>12</v>
      </c>
      <c r="J519" s="2" t="s">
        <v>40</v>
      </c>
      <c r="K519" s="2" t="s">
        <v>1894</v>
      </c>
      <c r="L519" s="2" t="s">
        <v>42</v>
      </c>
      <c r="M519" s="2" t="s">
        <v>1895</v>
      </c>
      <c r="N519" s="2" t="s">
        <v>35</v>
      </c>
      <c r="O519" s="2" t="s">
        <v>580</v>
      </c>
      <c r="P519" s="2" t="s">
        <v>35</v>
      </c>
      <c r="Q519" s="2" t="s">
        <v>35</v>
      </c>
    </row>
    <row r="520" spans="1:17" ht="129.6">
      <c r="A520" s="8" t="str">
        <f>HYPERLINK("http://sipi.sic.gov.co/sipi/View.ashx?4391946","SD2022/0101790")</f>
        <v>SD2022/0101790</v>
      </c>
      <c r="B520" s="2" t="s">
        <v>1896</v>
      </c>
      <c r="C520" s="2" t="s">
        <v>35</v>
      </c>
      <c r="D520" s="2" t="s">
        <v>1892</v>
      </c>
      <c r="E520" s="2" t="s">
        <v>35</v>
      </c>
      <c r="F520" s="2" t="s">
        <v>37</v>
      </c>
      <c r="G520" s="2" t="s">
        <v>1896</v>
      </c>
      <c r="H520" s="2" t="s">
        <v>1893</v>
      </c>
      <c r="I520" s="2" t="s">
        <v>12</v>
      </c>
      <c r="J520" s="2" t="s">
        <v>40</v>
      </c>
      <c r="K520" s="2" t="s">
        <v>1894</v>
      </c>
      <c r="L520" s="2" t="s">
        <v>42</v>
      </c>
      <c r="M520" s="2" t="s">
        <v>1895</v>
      </c>
      <c r="N520" s="2" t="s">
        <v>35</v>
      </c>
      <c r="O520" s="2" t="s">
        <v>580</v>
      </c>
      <c r="P520" s="2" t="s">
        <v>35</v>
      </c>
      <c r="Q520" s="2" t="s">
        <v>35</v>
      </c>
    </row>
    <row r="521" spans="1:17" ht="129.6">
      <c r="A521" s="8" t="str">
        <f>HYPERLINK("http://sipi.sic.gov.co/sipi/View.ashx?4391993","SD2022/0101828")</f>
        <v>SD2022/0101828</v>
      </c>
      <c r="B521" s="2" t="s">
        <v>1897</v>
      </c>
      <c r="C521" s="2" t="s">
        <v>35</v>
      </c>
      <c r="D521" s="2" t="s">
        <v>1892</v>
      </c>
      <c r="E521" s="2" t="s">
        <v>35</v>
      </c>
      <c r="F521" s="2" t="s">
        <v>37</v>
      </c>
      <c r="G521" s="2" t="s">
        <v>1897</v>
      </c>
      <c r="H521" s="2" t="s">
        <v>1893</v>
      </c>
      <c r="I521" s="2" t="s">
        <v>12</v>
      </c>
      <c r="J521" s="2" t="s">
        <v>40</v>
      </c>
      <c r="K521" s="2" t="s">
        <v>1894</v>
      </c>
      <c r="L521" s="2" t="s">
        <v>55</v>
      </c>
      <c r="M521" s="2" t="s">
        <v>1895</v>
      </c>
      <c r="N521" s="2" t="s">
        <v>35</v>
      </c>
      <c r="O521" s="2" t="s">
        <v>580</v>
      </c>
      <c r="P521" s="2" t="s">
        <v>35</v>
      </c>
      <c r="Q521" s="2" t="s">
        <v>35</v>
      </c>
    </row>
    <row r="522" spans="1:17" ht="144">
      <c r="A522" s="8" t="str">
        <f>HYPERLINK("http://sipi.sic.gov.co/sipi/View.ashx?4393060","SD2022/0102175")</f>
        <v>SD2022/0102175</v>
      </c>
      <c r="B522" s="2" t="s">
        <v>1898</v>
      </c>
      <c r="C522" s="7" t="s">
        <v>35</v>
      </c>
      <c r="D522" s="2" t="s">
        <v>1899</v>
      </c>
      <c r="E522" s="2" t="s">
        <v>35</v>
      </c>
      <c r="F522" s="2" t="s">
        <v>37</v>
      </c>
      <c r="G522" s="2" t="s">
        <v>1898</v>
      </c>
      <c r="H522" s="2" t="s">
        <v>1900</v>
      </c>
      <c r="I522" s="2" t="s">
        <v>12</v>
      </c>
      <c r="J522" s="2" t="s">
        <v>40</v>
      </c>
      <c r="K522" s="2" t="s">
        <v>1901</v>
      </c>
      <c r="L522" s="2" t="s">
        <v>42</v>
      </c>
      <c r="M522" s="2" t="s">
        <v>1037</v>
      </c>
      <c r="N522" s="2" t="s">
        <v>35</v>
      </c>
      <c r="O522" s="2" t="s">
        <v>580</v>
      </c>
      <c r="P522" s="2" t="s">
        <v>35</v>
      </c>
      <c r="Q522" s="2" t="s">
        <v>35</v>
      </c>
    </row>
    <row r="523" spans="1:17" ht="115.2">
      <c r="A523" s="8" t="str">
        <f>HYPERLINK("http://sipi.sic.gov.co/sipi/View.ashx?4393466","SD2022/0102246")</f>
        <v>SD2022/0102246</v>
      </c>
      <c r="B523" s="2" t="s">
        <v>1902</v>
      </c>
      <c r="C523" s="2" t="s">
        <v>35</v>
      </c>
      <c r="D523" s="2" t="s">
        <v>1899</v>
      </c>
      <c r="E523" s="2" t="s">
        <v>35</v>
      </c>
      <c r="F523" s="2" t="s">
        <v>37</v>
      </c>
      <c r="G523" s="2" t="s">
        <v>1903</v>
      </c>
      <c r="H523" s="2" t="s">
        <v>1454</v>
      </c>
      <c r="I523" s="2" t="s">
        <v>12</v>
      </c>
      <c r="J523" s="2" t="s">
        <v>40</v>
      </c>
      <c r="K523" s="2" t="s">
        <v>1904</v>
      </c>
      <c r="L523" s="2" t="s">
        <v>42</v>
      </c>
      <c r="M523" s="2" t="s">
        <v>1456</v>
      </c>
      <c r="N523" s="2" t="s">
        <v>35</v>
      </c>
      <c r="O523" s="2" t="s">
        <v>580</v>
      </c>
      <c r="P523" s="2" t="s">
        <v>35</v>
      </c>
      <c r="Q523" s="2" t="s">
        <v>35</v>
      </c>
    </row>
    <row r="524" spans="1:17" ht="100.8">
      <c r="A524" s="8" t="str">
        <f>HYPERLINK("http://sipi.sic.gov.co/sipi/View.ashx?4393802","SD2022/0102486")</f>
        <v>SD2022/0102486</v>
      </c>
      <c r="B524" s="2" t="s">
        <v>1905</v>
      </c>
      <c r="C524" s="2" t="s">
        <v>35</v>
      </c>
      <c r="D524" s="2" t="s">
        <v>1899</v>
      </c>
      <c r="E524" s="2" t="s">
        <v>35</v>
      </c>
      <c r="F524" s="2" t="s">
        <v>37</v>
      </c>
      <c r="G524" s="2" t="s">
        <v>1905</v>
      </c>
      <c r="H524" s="2" t="s">
        <v>1743</v>
      </c>
      <c r="I524" s="2" t="s">
        <v>12</v>
      </c>
      <c r="J524" s="2" t="s">
        <v>40</v>
      </c>
      <c r="K524" s="2" t="s">
        <v>380</v>
      </c>
      <c r="L524" s="2" t="s">
        <v>42</v>
      </c>
      <c r="M524" s="2" t="s">
        <v>1744</v>
      </c>
      <c r="N524" s="2" t="s">
        <v>35</v>
      </c>
      <c r="O524" s="2" t="s">
        <v>580</v>
      </c>
      <c r="P524" s="2" t="s">
        <v>35</v>
      </c>
      <c r="Q524" s="2" t="s">
        <v>35</v>
      </c>
    </row>
    <row r="525" spans="1:17" ht="115.2">
      <c r="A525" s="8" t="str">
        <f>HYPERLINK("http://sipi.sic.gov.co/sipi/View.ashx?4394031","SD2022/0102670")</f>
        <v>SD2022/0102670</v>
      </c>
      <c r="B525" s="2" t="s">
        <v>1906</v>
      </c>
      <c r="C525" s="7" t="s">
        <v>35</v>
      </c>
      <c r="D525" s="2" t="s">
        <v>1907</v>
      </c>
      <c r="E525" s="2" t="s">
        <v>35</v>
      </c>
      <c r="F525" s="2" t="s">
        <v>37</v>
      </c>
      <c r="G525" s="2" t="s">
        <v>1906</v>
      </c>
      <c r="H525" s="2" t="s">
        <v>1908</v>
      </c>
      <c r="I525" s="2" t="s">
        <v>12</v>
      </c>
      <c r="J525" s="2" t="s">
        <v>40</v>
      </c>
      <c r="K525" s="2" t="s">
        <v>104</v>
      </c>
      <c r="L525" s="2" t="s">
        <v>42</v>
      </c>
      <c r="M525" s="2" t="s">
        <v>1909</v>
      </c>
      <c r="N525" s="2" t="s">
        <v>35</v>
      </c>
      <c r="O525" s="2" t="s">
        <v>580</v>
      </c>
      <c r="P525" s="2" t="s">
        <v>35</v>
      </c>
      <c r="Q525" s="2" t="s">
        <v>35</v>
      </c>
    </row>
    <row r="526" spans="1:17" ht="129.6">
      <c r="A526" s="8" t="str">
        <f>HYPERLINK("http://sipi.sic.gov.co/sipi/View.ashx?4394079","SD2022/0102498")</f>
        <v>SD2022/0102498</v>
      </c>
      <c r="B526" s="2" t="s">
        <v>1910</v>
      </c>
      <c r="C526" s="2" t="s">
        <v>35</v>
      </c>
      <c r="D526" s="2" t="s">
        <v>1899</v>
      </c>
      <c r="E526" s="2" t="s">
        <v>35</v>
      </c>
      <c r="F526" s="2" t="s">
        <v>37</v>
      </c>
      <c r="G526" s="2" t="s">
        <v>35</v>
      </c>
      <c r="H526" s="2" t="s">
        <v>1911</v>
      </c>
      <c r="I526" s="2" t="s">
        <v>12</v>
      </c>
      <c r="J526" s="2" t="s">
        <v>40</v>
      </c>
      <c r="K526" s="2" t="s">
        <v>1912</v>
      </c>
      <c r="L526" s="2" t="s">
        <v>42</v>
      </c>
      <c r="M526" s="2" t="s">
        <v>1913</v>
      </c>
      <c r="N526" s="2" t="s">
        <v>35</v>
      </c>
      <c r="O526" s="2" t="s">
        <v>493</v>
      </c>
      <c r="P526" s="2" t="s">
        <v>35</v>
      </c>
      <c r="Q526" s="2" t="s">
        <v>35</v>
      </c>
    </row>
    <row r="527" spans="1:17" ht="129.6">
      <c r="A527" s="8" t="str">
        <f>HYPERLINK("http://sipi.sic.gov.co/sipi/View.ashx?4394158","SD2022/0102520")</f>
        <v>SD2022/0102520</v>
      </c>
      <c r="B527" s="2" t="s">
        <v>1914</v>
      </c>
      <c r="C527" s="2" t="s">
        <v>35</v>
      </c>
      <c r="D527" s="2" t="s">
        <v>1899</v>
      </c>
      <c r="E527" s="2" t="s">
        <v>35</v>
      </c>
      <c r="F527" s="2" t="s">
        <v>37</v>
      </c>
      <c r="G527" s="2" t="s">
        <v>35</v>
      </c>
      <c r="H527" s="2" t="s">
        <v>1911</v>
      </c>
      <c r="I527" s="2" t="s">
        <v>12</v>
      </c>
      <c r="J527" s="2" t="s">
        <v>40</v>
      </c>
      <c r="K527" s="2" t="s">
        <v>1912</v>
      </c>
      <c r="L527" s="2" t="s">
        <v>42</v>
      </c>
      <c r="M527" s="2" t="s">
        <v>1913</v>
      </c>
      <c r="N527" s="2" t="s">
        <v>35</v>
      </c>
      <c r="O527" s="2" t="s">
        <v>493</v>
      </c>
      <c r="P527" s="2" t="s">
        <v>35</v>
      </c>
      <c r="Q527" s="2" t="s">
        <v>35</v>
      </c>
    </row>
    <row r="528" spans="1:17" ht="129.6">
      <c r="A528" s="8" t="str">
        <f>HYPERLINK("http://sipi.sic.gov.co/sipi/View.ashx?4394180","SD2022/0102526")</f>
        <v>SD2022/0102526</v>
      </c>
      <c r="B528" s="2" t="s">
        <v>1915</v>
      </c>
      <c r="C528" s="2" t="s">
        <v>35</v>
      </c>
      <c r="D528" s="2" t="s">
        <v>1899</v>
      </c>
      <c r="E528" s="2" t="s">
        <v>35</v>
      </c>
      <c r="F528" s="2" t="s">
        <v>37</v>
      </c>
      <c r="G528" s="2" t="s">
        <v>35</v>
      </c>
      <c r="H528" s="2" t="s">
        <v>1911</v>
      </c>
      <c r="I528" s="2" t="s">
        <v>12</v>
      </c>
      <c r="J528" s="2" t="s">
        <v>40</v>
      </c>
      <c r="K528" s="2" t="s">
        <v>1912</v>
      </c>
      <c r="L528" s="2" t="s">
        <v>42</v>
      </c>
      <c r="M528" s="2" t="s">
        <v>1913</v>
      </c>
      <c r="N528" s="2" t="s">
        <v>35</v>
      </c>
      <c r="O528" s="2" t="s">
        <v>493</v>
      </c>
      <c r="P528" s="2" t="s">
        <v>35</v>
      </c>
      <c r="Q528" s="2" t="s">
        <v>35</v>
      </c>
    </row>
    <row r="529" spans="1:17" ht="158.4">
      <c r="A529" s="8" t="str">
        <f>HYPERLINK("http://sipi.sic.gov.co/sipi/View.ashx?4394537","SD2022/0102920")</f>
        <v>SD2022/0102920</v>
      </c>
      <c r="B529" s="2" t="s">
        <v>1916</v>
      </c>
      <c r="C529" s="2" t="s">
        <v>35</v>
      </c>
      <c r="D529" s="2" t="s">
        <v>1907</v>
      </c>
      <c r="E529" s="2" t="s">
        <v>35</v>
      </c>
      <c r="F529" s="2" t="s">
        <v>37</v>
      </c>
      <c r="G529" s="2" t="s">
        <v>1917</v>
      </c>
      <c r="H529" s="2" t="s">
        <v>1918</v>
      </c>
      <c r="I529" s="2" t="s">
        <v>444</v>
      </c>
      <c r="J529" s="2" t="s">
        <v>40</v>
      </c>
      <c r="K529" s="2" t="s">
        <v>1919</v>
      </c>
      <c r="L529" s="2" t="s">
        <v>42</v>
      </c>
      <c r="M529" s="2" t="s">
        <v>1920</v>
      </c>
      <c r="N529" s="2" t="s">
        <v>35</v>
      </c>
      <c r="O529" s="2" t="s">
        <v>810</v>
      </c>
      <c r="P529" s="2" t="s">
        <v>35</v>
      </c>
      <c r="Q529" s="2" t="s">
        <v>35</v>
      </c>
    </row>
    <row r="530" spans="1:17" ht="129.6">
      <c r="A530" s="8" t="str">
        <f>HYPERLINK("http://sipi.sic.gov.co/sipi/View.ashx?4395424","SD2022/0102865")</f>
        <v>SD2022/0102865</v>
      </c>
      <c r="B530" s="2" t="s">
        <v>1921</v>
      </c>
      <c r="C530" s="2" t="s">
        <v>35</v>
      </c>
      <c r="D530" s="2" t="s">
        <v>1907</v>
      </c>
      <c r="E530" s="2" t="s">
        <v>35</v>
      </c>
      <c r="F530" s="2" t="s">
        <v>37</v>
      </c>
      <c r="G530" s="2" t="s">
        <v>1922</v>
      </c>
      <c r="H530" s="2" t="s">
        <v>1923</v>
      </c>
      <c r="I530" s="2" t="s">
        <v>444</v>
      </c>
      <c r="J530" s="2" t="s">
        <v>40</v>
      </c>
      <c r="K530" s="2" t="s">
        <v>1924</v>
      </c>
      <c r="L530" s="2" t="s">
        <v>42</v>
      </c>
      <c r="M530" s="2" t="s">
        <v>409</v>
      </c>
      <c r="N530" s="2" t="s">
        <v>35</v>
      </c>
      <c r="O530" s="2" t="s">
        <v>359</v>
      </c>
      <c r="P530" s="2" t="s">
        <v>35</v>
      </c>
      <c r="Q530" s="2" t="s">
        <v>35</v>
      </c>
    </row>
    <row r="531" spans="1:17" ht="129.6">
      <c r="A531" s="8" t="str">
        <f>HYPERLINK("http://sipi.sic.gov.co/sipi/View.ashx?4395490","SD2022/0102876")</f>
        <v>SD2022/0102876</v>
      </c>
      <c r="B531" s="2" t="s">
        <v>1925</v>
      </c>
      <c r="C531" s="2" t="s">
        <v>35</v>
      </c>
      <c r="D531" s="2" t="s">
        <v>1907</v>
      </c>
      <c r="E531" s="2" t="s">
        <v>35</v>
      </c>
      <c r="F531" s="2" t="s">
        <v>37</v>
      </c>
      <c r="G531" s="2" t="s">
        <v>1926</v>
      </c>
      <c r="H531" s="2" t="s">
        <v>1923</v>
      </c>
      <c r="I531" s="2" t="s">
        <v>444</v>
      </c>
      <c r="J531" s="2" t="s">
        <v>40</v>
      </c>
      <c r="K531" s="2" t="s">
        <v>1924</v>
      </c>
      <c r="L531" s="2" t="s">
        <v>55</v>
      </c>
      <c r="M531" s="2" t="s">
        <v>409</v>
      </c>
      <c r="N531" s="2" t="s">
        <v>35</v>
      </c>
      <c r="O531" s="2" t="s">
        <v>359</v>
      </c>
      <c r="P531" s="2" t="s">
        <v>35</v>
      </c>
      <c r="Q531" s="2" t="s">
        <v>35</v>
      </c>
    </row>
    <row r="532" spans="1:17" ht="115.2">
      <c r="A532" s="8" t="str">
        <f>HYPERLINK("http://sipi.sic.gov.co/sipi/View.ashx?4395589","SD2022/0102904")</f>
        <v>SD2022/0102904</v>
      </c>
      <c r="B532" s="2" t="s">
        <v>1927</v>
      </c>
      <c r="C532" s="2" t="s">
        <v>35</v>
      </c>
      <c r="D532" s="2" t="s">
        <v>1907</v>
      </c>
      <c r="E532" s="2" t="s">
        <v>35</v>
      </c>
      <c r="F532" s="2" t="s">
        <v>37</v>
      </c>
      <c r="G532" s="2" t="s">
        <v>35</v>
      </c>
      <c r="H532" s="2" t="s">
        <v>1928</v>
      </c>
      <c r="I532" s="2" t="s">
        <v>12</v>
      </c>
      <c r="J532" s="2" t="s">
        <v>40</v>
      </c>
      <c r="K532" s="2" t="s">
        <v>41</v>
      </c>
      <c r="L532" s="2" t="s">
        <v>42</v>
      </c>
      <c r="M532" s="2" t="s">
        <v>1929</v>
      </c>
      <c r="N532" s="2" t="s">
        <v>35</v>
      </c>
      <c r="O532" s="2" t="s">
        <v>810</v>
      </c>
      <c r="P532" s="2" t="s">
        <v>35</v>
      </c>
      <c r="Q532" s="2" t="s">
        <v>35</v>
      </c>
    </row>
    <row r="533" spans="1:17" ht="115.2">
      <c r="A533" s="8" t="str">
        <f>HYPERLINK("http://sipi.sic.gov.co/sipi/View.ashx?4395616","SD2022/0102908")</f>
        <v>SD2022/0102908</v>
      </c>
      <c r="B533" s="2" t="s">
        <v>1930</v>
      </c>
      <c r="C533" s="2" t="s">
        <v>35</v>
      </c>
      <c r="D533" s="2" t="s">
        <v>1907</v>
      </c>
      <c r="E533" s="2" t="s">
        <v>35</v>
      </c>
      <c r="F533" s="2" t="s">
        <v>37</v>
      </c>
      <c r="G533" s="2" t="s">
        <v>35</v>
      </c>
      <c r="H533" s="2" t="s">
        <v>1928</v>
      </c>
      <c r="I533" s="2" t="s">
        <v>12</v>
      </c>
      <c r="J533" s="2" t="s">
        <v>40</v>
      </c>
      <c r="K533" s="2" t="s">
        <v>41</v>
      </c>
      <c r="L533" s="2" t="s">
        <v>42</v>
      </c>
      <c r="M533" s="2" t="s">
        <v>1929</v>
      </c>
      <c r="N533" s="2" t="s">
        <v>35</v>
      </c>
      <c r="O533" s="2" t="s">
        <v>810</v>
      </c>
      <c r="P533" s="2" t="s">
        <v>35</v>
      </c>
      <c r="Q533" s="2" t="s">
        <v>35</v>
      </c>
    </row>
    <row r="534" spans="1:17" ht="115.2">
      <c r="A534" s="8" t="str">
        <f>HYPERLINK("http://sipi.sic.gov.co/sipi/View.ashx?4395638","SD2022/0102912")</f>
        <v>SD2022/0102912</v>
      </c>
      <c r="B534" s="2" t="s">
        <v>1931</v>
      </c>
      <c r="C534" s="2" t="s">
        <v>35</v>
      </c>
      <c r="D534" s="2" t="s">
        <v>1907</v>
      </c>
      <c r="E534" s="2" t="s">
        <v>35</v>
      </c>
      <c r="F534" s="2" t="s">
        <v>37</v>
      </c>
      <c r="G534" s="2" t="s">
        <v>35</v>
      </c>
      <c r="H534" s="2" t="s">
        <v>1928</v>
      </c>
      <c r="I534" s="2" t="s">
        <v>12</v>
      </c>
      <c r="J534" s="2" t="s">
        <v>40</v>
      </c>
      <c r="K534" s="2" t="s">
        <v>41</v>
      </c>
      <c r="L534" s="2" t="s">
        <v>42</v>
      </c>
      <c r="M534" s="2" t="s">
        <v>1929</v>
      </c>
      <c r="N534" s="2" t="s">
        <v>35</v>
      </c>
      <c r="O534" s="2" t="s">
        <v>1574</v>
      </c>
      <c r="P534" s="2" t="s">
        <v>35</v>
      </c>
      <c r="Q534" s="2" t="s">
        <v>35</v>
      </c>
    </row>
    <row r="535" spans="1:17" ht="115.2">
      <c r="A535" s="8" t="str">
        <f>HYPERLINK("http://sipi.sic.gov.co/sipi/View.ashx?4395652","SD2022/0102917")</f>
        <v>SD2022/0102917</v>
      </c>
      <c r="B535" s="2" t="s">
        <v>1932</v>
      </c>
      <c r="C535" s="2" t="s">
        <v>35</v>
      </c>
      <c r="D535" s="2" t="s">
        <v>1907</v>
      </c>
      <c r="E535" s="2" t="s">
        <v>35</v>
      </c>
      <c r="F535" s="2" t="s">
        <v>37</v>
      </c>
      <c r="G535" s="2" t="s">
        <v>35</v>
      </c>
      <c r="H535" s="2" t="s">
        <v>1928</v>
      </c>
      <c r="I535" s="2" t="s">
        <v>12</v>
      </c>
      <c r="J535" s="2" t="s">
        <v>40</v>
      </c>
      <c r="K535" s="2" t="s">
        <v>41</v>
      </c>
      <c r="L535" s="2" t="s">
        <v>42</v>
      </c>
      <c r="M535" s="2" t="s">
        <v>1929</v>
      </c>
      <c r="N535" s="2" t="s">
        <v>35</v>
      </c>
      <c r="O535" s="2" t="s">
        <v>1574</v>
      </c>
      <c r="P535" s="2" t="s">
        <v>35</v>
      </c>
      <c r="Q535" s="2" t="s">
        <v>35</v>
      </c>
    </row>
    <row r="536" spans="1:17" ht="115.2">
      <c r="A536" s="8" t="str">
        <f>HYPERLINK("http://sipi.sic.gov.co/sipi/View.ashx?4395673","SD2022/0102921")</f>
        <v>SD2022/0102921</v>
      </c>
      <c r="B536" s="2" t="s">
        <v>1933</v>
      </c>
      <c r="C536" s="2" t="s">
        <v>35</v>
      </c>
      <c r="D536" s="2" t="s">
        <v>1907</v>
      </c>
      <c r="E536" s="2" t="s">
        <v>35</v>
      </c>
      <c r="F536" s="2" t="s">
        <v>37</v>
      </c>
      <c r="G536" s="2" t="s">
        <v>35</v>
      </c>
      <c r="H536" s="2" t="s">
        <v>1928</v>
      </c>
      <c r="I536" s="2" t="s">
        <v>12</v>
      </c>
      <c r="J536" s="2" t="s">
        <v>40</v>
      </c>
      <c r="K536" s="2" t="s">
        <v>41</v>
      </c>
      <c r="L536" s="2" t="s">
        <v>42</v>
      </c>
      <c r="M536" s="2" t="s">
        <v>1929</v>
      </c>
      <c r="N536" s="2" t="s">
        <v>35</v>
      </c>
      <c r="O536" s="2" t="s">
        <v>1574</v>
      </c>
      <c r="P536" s="2" t="s">
        <v>35</v>
      </c>
      <c r="Q536" s="2" t="s">
        <v>35</v>
      </c>
    </row>
    <row r="537" spans="1:17" ht="115.2">
      <c r="A537" s="8" t="str">
        <f>HYPERLINK("http://sipi.sic.gov.co/sipi/View.ashx?4395778","SD2022/0102947")</f>
        <v>SD2022/0102947</v>
      </c>
      <c r="B537" s="2" t="s">
        <v>1934</v>
      </c>
      <c r="C537" s="2" t="s">
        <v>35</v>
      </c>
      <c r="D537" s="2" t="s">
        <v>1907</v>
      </c>
      <c r="E537" s="2" t="s">
        <v>35</v>
      </c>
      <c r="F537" s="2" t="s">
        <v>37</v>
      </c>
      <c r="G537" s="2" t="s">
        <v>35</v>
      </c>
      <c r="H537" s="2" t="s">
        <v>1928</v>
      </c>
      <c r="I537" s="2" t="s">
        <v>12</v>
      </c>
      <c r="J537" s="2" t="s">
        <v>40</v>
      </c>
      <c r="K537" s="2" t="s">
        <v>41</v>
      </c>
      <c r="L537" s="2" t="s">
        <v>42</v>
      </c>
      <c r="M537" s="2" t="s">
        <v>1929</v>
      </c>
      <c r="N537" s="2" t="s">
        <v>35</v>
      </c>
      <c r="O537" s="2" t="s">
        <v>493</v>
      </c>
      <c r="P537" s="2" t="s">
        <v>35</v>
      </c>
      <c r="Q537" s="2" t="s">
        <v>35</v>
      </c>
    </row>
    <row r="538" spans="1:17" ht="115.2">
      <c r="A538" s="8" t="str">
        <f>HYPERLINK("http://sipi.sic.gov.co/sipi/View.ashx?4396313","SD2022/0103094")</f>
        <v>SD2022/0103094</v>
      </c>
      <c r="B538" s="2" t="s">
        <v>1935</v>
      </c>
      <c r="C538" s="2" t="s">
        <v>35</v>
      </c>
      <c r="D538" s="2" t="s">
        <v>1907</v>
      </c>
      <c r="E538" s="2" t="s">
        <v>35</v>
      </c>
      <c r="F538" s="2" t="s">
        <v>37</v>
      </c>
      <c r="G538" s="2" t="s">
        <v>1936</v>
      </c>
      <c r="H538" s="2" t="s">
        <v>1937</v>
      </c>
      <c r="I538" s="2" t="s">
        <v>12</v>
      </c>
      <c r="J538" s="2" t="s">
        <v>40</v>
      </c>
      <c r="K538" s="2" t="s">
        <v>41</v>
      </c>
      <c r="L538" s="2" t="s">
        <v>55</v>
      </c>
      <c r="M538" s="2" t="s">
        <v>1089</v>
      </c>
      <c r="N538" s="2" t="s">
        <v>35</v>
      </c>
      <c r="O538" s="2" t="s">
        <v>1476</v>
      </c>
      <c r="P538" s="2" t="s">
        <v>35</v>
      </c>
      <c r="Q538" s="2" t="s">
        <v>35</v>
      </c>
    </row>
    <row r="539" spans="1:17" ht="201.6">
      <c r="A539" s="8" t="str">
        <f>HYPERLINK("http://sipi.sic.gov.co/sipi/View.ashx?4396478","SD2022/0103239")</f>
        <v>SD2022/0103239</v>
      </c>
      <c r="B539" s="2" t="s">
        <v>1938</v>
      </c>
      <c r="C539" s="2" t="s">
        <v>35</v>
      </c>
      <c r="D539" s="2" t="s">
        <v>1939</v>
      </c>
      <c r="E539" s="2" t="s">
        <v>35</v>
      </c>
      <c r="F539" s="2" t="s">
        <v>37</v>
      </c>
      <c r="G539" s="2" t="s">
        <v>35</v>
      </c>
      <c r="H539" s="2" t="s">
        <v>1940</v>
      </c>
      <c r="I539" s="2" t="s">
        <v>61</v>
      </c>
      <c r="J539" s="2" t="s">
        <v>40</v>
      </c>
      <c r="K539" s="2" t="s">
        <v>686</v>
      </c>
      <c r="L539" s="2" t="s">
        <v>42</v>
      </c>
      <c r="M539" s="2" t="s">
        <v>1941</v>
      </c>
      <c r="N539" s="2" t="s">
        <v>35</v>
      </c>
      <c r="O539" s="2" t="s">
        <v>1476</v>
      </c>
      <c r="P539" s="2" t="s">
        <v>35</v>
      </c>
      <c r="Q539" s="2" t="s">
        <v>35</v>
      </c>
    </row>
    <row r="540" spans="1:17" ht="187.2">
      <c r="A540" s="8" t="str">
        <f>HYPERLINK("http://sipi.sic.gov.co/sipi/View.ashx?4396485","SD2022/0107820")</f>
        <v>SD2022/0107820</v>
      </c>
      <c r="B540" s="2" t="s">
        <v>1942</v>
      </c>
      <c r="C540" s="7" t="s">
        <v>35</v>
      </c>
      <c r="D540" s="2" t="s">
        <v>1943</v>
      </c>
      <c r="E540" s="2" t="s">
        <v>35</v>
      </c>
      <c r="F540" s="2" t="s">
        <v>37</v>
      </c>
      <c r="G540" s="2" t="s">
        <v>1944</v>
      </c>
      <c r="H540" s="2" t="s">
        <v>1945</v>
      </c>
      <c r="I540" s="2" t="s">
        <v>12</v>
      </c>
      <c r="J540" s="2" t="s">
        <v>40</v>
      </c>
      <c r="K540" s="2" t="s">
        <v>1946</v>
      </c>
      <c r="L540" s="2" t="s">
        <v>55</v>
      </c>
      <c r="M540" s="2" t="s">
        <v>35</v>
      </c>
      <c r="N540" s="2" t="s">
        <v>35</v>
      </c>
      <c r="O540" s="2" t="s">
        <v>1947</v>
      </c>
      <c r="P540" s="2" t="s">
        <v>35</v>
      </c>
      <c r="Q540" s="2" t="s">
        <v>35</v>
      </c>
    </row>
    <row r="541" spans="1:17" ht="259.2">
      <c r="A541" s="8" t="str">
        <f>HYPERLINK("http://sipi.sic.gov.co/sipi/View.ashx?4398953","SD2022/0103682")</f>
        <v>SD2022/0103682</v>
      </c>
      <c r="B541" s="2" t="s">
        <v>1948</v>
      </c>
      <c r="C541" s="7" t="s">
        <v>35</v>
      </c>
      <c r="D541" s="2" t="s">
        <v>1949</v>
      </c>
      <c r="E541" s="2" t="s">
        <v>35</v>
      </c>
      <c r="F541" s="2" t="s">
        <v>37</v>
      </c>
      <c r="G541" s="2" t="s">
        <v>1950</v>
      </c>
      <c r="H541" s="2" t="s">
        <v>1951</v>
      </c>
      <c r="I541" s="2" t="s">
        <v>12</v>
      </c>
      <c r="J541" s="2" t="s">
        <v>40</v>
      </c>
      <c r="K541" s="2" t="s">
        <v>1952</v>
      </c>
      <c r="L541" s="2" t="s">
        <v>42</v>
      </c>
      <c r="M541" s="2" t="s">
        <v>35</v>
      </c>
      <c r="N541" s="2" t="s">
        <v>35</v>
      </c>
      <c r="O541" s="2" t="s">
        <v>704</v>
      </c>
      <c r="P541" s="2" t="s">
        <v>35</v>
      </c>
      <c r="Q541" s="2" t="s">
        <v>35</v>
      </c>
    </row>
    <row r="542" spans="1:17" ht="201.6">
      <c r="A542" s="8" t="str">
        <f>HYPERLINK("http://sipi.sic.gov.co/sipi/View.ashx?4402059","SD2022/0104431")</f>
        <v>SD2022/0104431</v>
      </c>
      <c r="B542" s="2" t="s">
        <v>1953</v>
      </c>
      <c r="C542" s="7" t="s">
        <v>35</v>
      </c>
      <c r="D542" s="2" t="s">
        <v>580</v>
      </c>
      <c r="E542" s="2" t="s">
        <v>35</v>
      </c>
      <c r="F542" s="2" t="s">
        <v>37</v>
      </c>
      <c r="G542" s="2" t="s">
        <v>1953</v>
      </c>
      <c r="H542" s="2" t="s">
        <v>1954</v>
      </c>
      <c r="I542" s="2" t="s">
        <v>61</v>
      </c>
      <c r="J542" s="2" t="s">
        <v>40</v>
      </c>
      <c r="K542" s="2" t="s">
        <v>686</v>
      </c>
      <c r="L542" s="2" t="s">
        <v>55</v>
      </c>
      <c r="M542" s="2" t="s">
        <v>1037</v>
      </c>
      <c r="N542" s="2" t="s">
        <v>35</v>
      </c>
      <c r="O542" s="2" t="s">
        <v>1955</v>
      </c>
      <c r="P542" s="2" t="s">
        <v>35</v>
      </c>
      <c r="Q542" s="2" t="s">
        <v>35</v>
      </c>
    </row>
    <row r="543" spans="1:17" ht="115.2">
      <c r="A543" s="8" t="str">
        <f>HYPERLINK("http://sipi.sic.gov.co/sipi/View.ashx?4402339","SD2022/0104500")</f>
        <v>SD2022/0104500</v>
      </c>
      <c r="B543" s="2" t="s">
        <v>1956</v>
      </c>
      <c r="C543" s="2" t="s">
        <v>35</v>
      </c>
      <c r="D543" s="2" t="s">
        <v>580</v>
      </c>
      <c r="E543" s="2" t="s">
        <v>35</v>
      </c>
      <c r="F543" s="2" t="s">
        <v>37</v>
      </c>
      <c r="G543" s="2" t="s">
        <v>35</v>
      </c>
      <c r="H543" s="2" t="s">
        <v>1957</v>
      </c>
      <c r="I543" s="2" t="s">
        <v>12</v>
      </c>
      <c r="J543" s="2" t="s">
        <v>40</v>
      </c>
      <c r="K543" s="2" t="s">
        <v>1958</v>
      </c>
      <c r="L543" s="2" t="s">
        <v>42</v>
      </c>
      <c r="M543" s="2" t="s">
        <v>880</v>
      </c>
      <c r="N543" s="2" t="s">
        <v>35</v>
      </c>
      <c r="O543" s="2" t="s">
        <v>1574</v>
      </c>
      <c r="P543" s="2" t="s">
        <v>35</v>
      </c>
      <c r="Q543" s="2" t="s">
        <v>35</v>
      </c>
    </row>
    <row r="544" spans="1:17" ht="172.8">
      <c r="A544" s="8" t="str">
        <f>HYPERLINK("http://sipi.sic.gov.co/sipi/View.ashx?4405763","SD2022/0105929")</f>
        <v>SD2022/0105929</v>
      </c>
      <c r="B544" s="2" t="s">
        <v>1959</v>
      </c>
      <c r="C544" s="2" t="s">
        <v>35</v>
      </c>
      <c r="D544" s="2" t="s">
        <v>1960</v>
      </c>
      <c r="E544" s="2" t="s">
        <v>35</v>
      </c>
      <c r="F544" s="2" t="s">
        <v>37</v>
      </c>
      <c r="G544" s="2" t="s">
        <v>35</v>
      </c>
      <c r="H544" s="2" t="s">
        <v>1961</v>
      </c>
      <c r="I544" s="2" t="s">
        <v>12</v>
      </c>
      <c r="J544" s="2" t="s">
        <v>40</v>
      </c>
      <c r="K544" s="2" t="s">
        <v>1962</v>
      </c>
      <c r="L544" s="2" t="s">
        <v>42</v>
      </c>
      <c r="M544" s="2" t="s">
        <v>1963</v>
      </c>
      <c r="N544" s="2" t="s">
        <v>35</v>
      </c>
      <c r="O544" s="2" t="s">
        <v>1687</v>
      </c>
      <c r="P544" s="2" t="s">
        <v>35</v>
      </c>
      <c r="Q544" s="2" t="s">
        <v>35</v>
      </c>
    </row>
    <row r="545" spans="1:17" ht="230.4">
      <c r="A545" s="8" t="str">
        <f>HYPERLINK("http://sipi.sic.gov.co/sipi/View.ashx?4406351","SD2022/0105906")</f>
        <v>SD2022/0105906</v>
      </c>
      <c r="B545" s="2" t="s">
        <v>1964</v>
      </c>
      <c r="C545" s="2" t="s">
        <v>35</v>
      </c>
      <c r="D545" s="2" t="s">
        <v>1960</v>
      </c>
      <c r="E545" s="2" t="s">
        <v>35</v>
      </c>
      <c r="F545" s="2" t="s">
        <v>37</v>
      </c>
      <c r="G545" s="2" t="s">
        <v>1964</v>
      </c>
      <c r="H545" s="2" t="s">
        <v>1965</v>
      </c>
      <c r="I545" s="2" t="s">
        <v>12</v>
      </c>
      <c r="J545" s="2" t="s">
        <v>40</v>
      </c>
      <c r="K545" s="2" t="s">
        <v>1966</v>
      </c>
      <c r="L545" s="2" t="s">
        <v>55</v>
      </c>
      <c r="M545" s="2" t="s">
        <v>1967</v>
      </c>
      <c r="N545" s="2" t="s">
        <v>35</v>
      </c>
      <c r="O545" s="2" t="s">
        <v>704</v>
      </c>
      <c r="P545" s="2" t="s">
        <v>35</v>
      </c>
      <c r="Q545" s="2" t="s">
        <v>35</v>
      </c>
    </row>
    <row r="546" spans="1:17" ht="187.2">
      <c r="A546" s="8" t="str">
        <f>HYPERLINK("http://sipi.sic.gov.co/sipi/View.ashx?4406363","SD2022/0105895")</f>
        <v>SD2022/0105895</v>
      </c>
      <c r="B546" s="2" t="s">
        <v>1968</v>
      </c>
      <c r="C546" s="2" t="s">
        <v>35</v>
      </c>
      <c r="D546" s="2" t="s">
        <v>1960</v>
      </c>
      <c r="E546" s="2" t="s">
        <v>35</v>
      </c>
      <c r="F546" s="2" t="s">
        <v>37</v>
      </c>
      <c r="G546" s="2" t="s">
        <v>1968</v>
      </c>
      <c r="H546" s="2" t="s">
        <v>1965</v>
      </c>
      <c r="I546" s="2" t="s">
        <v>12</v>
      </c>
      <c r="J546" s="2" t="s">
        <v>40</v>
      </c>
      <c r="K546" s="2" t="s">
        <v>1969</v>
      </c>
      <c r="L546" s="2" t="s">
        <v>42</v>
      </c>
      <c r="M546" s="2" t="s">
        <v>1967</v>
      </c>
      <c r="N546" s="2" t="s">
        <v>35</v>
      </c>
      <c r="O546" s="2" t="s">
        <v>704</v>
      </c>
      <c r="P546" s="2" t="s">
        <v>35</v>
      </c>
      <c r="Q546" s="2" t="s">
        <v>35</v>
      </c>
    </row>
    <row r="547" spans="1:17" ht="201.6">
      <c r="A547" s="8" t="str">
        <f>HYPERLINK("http://sipi.sic.gov.co/sipi/View.ashx?4406380","SD2022/0105890")</f>
        <v>SD2022/0105890</v>
      </c>
      <c r="B547" s="2" t="s">
        <v>1970</v>
      </c>
      <c r="C547" s="2" t="s">
        <v>35</v>
      </c>
      <c r="D547" s="2" t="s">
        <v>1960</v>
      </c>
      <c r="E547" s="2" t="s">
        <v>35</v>
      </c>
      <c r="F547" s="2" t="s">
        <v>37</v>
      </c>
      <c r="G547" s="2" t="s">
        <v>1970</v>
      </c>
      <c r="H547" s="2" t="s">
        <v>1965</v>
      </c>
      <c r="I547" s="2" t="s">
        <v>12</v>
      </c>
      <c r="J547" s="2" t="s">
        <v>40</v>
      </c>
      <c r="K547" s="2" t="s">
        <v>1971</v>
      </c>
      <c r="L547" s="2" t="s">
        <v>42</v>
      </c>
      <c r="M547" s="2" t="s">
        <v>1967</v>
      </c>
      <c r="N547" s="2" t="s">
        <v>35</v>
      </c>
      <c r="O547" s="2" t="s">
        <v>704</v>
      </c>
      <c r="P547" s="2" t="s">
        <v>35</v>
      </c>
      <c r="Q547" s="2" t="s">
        <v>35</v>
      </c>
    </row>
    <row r="548" spans="1:17" ht="409.6">
      <c r="A548" s="8" t="str">
        <f>HYPERLINK("http://sipi.sic.gov.co/sipi/View.ashx?4408862","SD2022/0106249")</f>
        <v>SD2022/0106249</v>
      </c>
      <c r="B548" s="2" t="s">
        <v>1972</v>
      </c>
      <c r="C548" s="7" t="s">
        <v>35</v>
      </c>
      <c r="D548" s="2" t="s">
        <v>1973</v>
      </c>
      <c r="E548" s="2" t="s">
        <v>35</v>
      </c>
      <c r="F548" s="2" t="s">
        <v>37</v>
      </c>
      <c r="G548" s="2" t="s">
        <v>35</v>
      </c>
      <c r="H548" s="2" t="s">
        <v>1853</v>
      </c>
      <c r="I548" s="2" t="s">
        <v>12</v>
      </c>
      <c r="J548" s="2" t="s">
        <v>40</v>
      </c>
      <c r="K548" s="2" t="s">
        <v>1854</v>
      </c>
      <c r="L548" s="2" t="s">
        <v>55</v>
      </c>
      <c r="M548" s="2" t="s">
        <v>1855</v>
      </c>
      <c r="N548" s="2" t="s">
        <v>35</v>
      </c>
      <c r="O548" s="2" t="s">
        <v>359</v>
      </c>
      <c r="P548" s="2" t="s">
        <v>35</v>
      </c>
      <c r="Q548" s="2" t="s">
        <v>35</v>
      </c>
    </row>
    <row r="549" spans="1:17" ht="409.6">
      <c r="A549" s="8" t="str">
        <f>HYPERLINK("http://sipi.sic.gov.co/sipi/View.ashx?4408864","SD2022/0106251")</f>
        <v>SD2022/0106251</v>
      </c>
      <c r="B549" s="2" t="s">
        <v>1974</v>
      </c>
      <c r="C549" s="7" t="s">
        <v>35</v>
      </c>
      <c r="D549" s="2" t="s">
        <v>1973</v>
      </c>
      <c r="E549" s="2" t="s">
        <v>35</v>
      </c>
      <c r="F549" s="2" t="s">
        <v>37</v>
      </c>
      <c r="G549" s="2" t="s">
        <v>35</v>
      </c>
      <c r="H549" s="2" t="s">
        <v>1853</v>
      </c>
      <c r="I549" s="2" t="s">
        <v>12</v>
      </c>
      <c r="J549" s="2" t="s">
        <v>40</v>
      </c>
      <c r="K549" s="2" t="s">
        <v>1854</v>
      </c>
      <c r="L549" s="2" t="s">
        <v>55</v>
      </c>
      <c r="M549" s="2" t="s">
        <v>1855</v>
      </c>
      <c r="N549" s="2" t="s">
        <v>35</v>
      </c>
      <c r="O549" s="2" t="s">
        <v>359</v>
      </c>
      <c r="P549" s="2" t="s">
        <v>35</v>
      </c>
      <c r="Q549" s="2" t="s">
        <v>35</v>
      </c>
    </row>
    <row r="550" spans="1:17" ht="409.6">
      <c r="A550" s="8" t="str">
        <f>HYPERLINK("http://sipi.sic.gov.co/sipi/View.ashx?4408886","SD2022/0106256")</f>
        <v>SD2022/0106256</v>
      </c>
      <c r="B550" s="2" t="s">
        <v>1975</v>
      </c>
      <c r="C550" s="7" t="s">
        <v>35</v>
      </c>
      <c r="D550" s="2" t="s">
        <v>1973</v>
      </c>
      <c r="E550" s="2" t="s">
        <v>35</v>
      </c>
      <c r="F550" s="2" t="s">
        <v>37</v>
      </c>
      <c r="G550" s="2" t="s">
        <v>35</v>
      </c>
      <c r="H550" s="2" t="s">
        <v>1853</v>
      </c>
      <c r="I550" s="2" t="s">
        <v>12</v>
      </c>
      <c r="J550" s="2" t="s">
        <v>40</v>
      </c>
      <c r="K550" s="2" t="s">
        <v>1854</v>
      </c>
      <c r="L550" s="2" t="s">
        <v>55</v>
      </c>
      <c r="M550" s="2" t="s">
        <v>1855</v>
      </c>
      <c r="N550" s="2" t="s">
        <v>35</v>
      </c>
      <c r="O550" s="2" t="s">
        <v>359</v>
      </c>
      <c r="P550" s="2" t="s">
        <v>35</v>
      </c>
      <c r="Q550" s="2" t="s">
        <v>35</v>
      </c>
    </row>
    <row r="551" spans="1:17" ht="115.2">
      <c r="A551" s="8" t="str">
        <f>HYPERLINK("http://sipi.sic.gov.co/sipi/View.ashx?4410142","SD2022/0106455")</f>
        <v>SD2022/0106455</v>
      </c>
      <c r="B551" s="2" t="s">
        <v>1976</v>
      </c>
      <c r="C551" s="2" t="s">
        <v>35</v>
      </c>
      <c r="D551" s="2" t="s">
        <v>1977</v>
      </c>
      <c r="E551" s="2" t="s">
        <v>35</v>
      </c>
      <c r="F551" s="2" t="s">
        <v>37</v>
      </c>
      <c r="G551" s="2" t="s">
        <v>1978</v>
      </c>
      <c r="H551" s="2" t="s">
        <v>1979</v>
      </c>
      <c r="I551" s="2" t="s">
        <v>12</v>
      </c>
      <c r="J551" s="2" t="s">
        <v>40</v>
      </c>
      <c r="K551" s="2" t="s">
        <v>41</v>
      </c>
      <c r="L551" s="2" t="s">
        <v>42</v>
      </c>
      <c r="M551" s="2" t="s">
        <v>35</v>
      </c>
      <c r="N551" s="2" t="s">
        <v>35</v>
      </c>
      <c r="O551" s="2" t="s">
        <v>493</v>
      </c>
      <c r="P551" s="2" t="s">
        <v>35</v>
      </c>
      <c r="Q551" s="2" t="s">
        <v>35</v>
      </c>
    </row>
    <row r="552" spans="1:17" ht="115.2">
      <c r="A552" s="8" t="str">
        <f>HYPERLINK("http://sipi.sic.gov.co/sipi/View.ashx?4410408","SD2022/0106505")</f>
        <v>SD2022/0106505</v>
      </c>
      <c r="B552" s="2" t="s">
        <v>1980</v>
      </c>
      <c r="C552" s="2" t="s">
        <v>35</v>
      </c>
      <c r="D552" s="2" t="s">
        <v>1977</v>
      </c>
      <c r="E552" s="2" t="s">
        <v>35</v>
      </c>
      <c r="F552" s="2" t="s">
        <v>37</v>
      </c>
      <c r="G552" s="2" t="s">
        <v>1981</v>
      </c>
      <c r="H552" s="2" t="s">
        <v>1979</v>
      </c>
      <c r="I552" s="2" t="s">
        <v>12</v>
      </c>
      <c r="J552" s="2" t="s">
        <v>40</v>
      </c>
      <c r="K552" s="2" t="s">
        <v>41</v>
      </c>
      <c r="L552" s="2" t="s">
        <v>42</v>
      </c>
      <c r="M552" s="2" t="s">
        <v>35</v>
      </c>
      <c r="N552" s="2" t="s">
        <v>35</v>
      </c>
      <c r="O552" s="2" t="s">
        <v>493</v>
      </c>
      <c r="P552" s="2" t="s">
        <v>35</v>
      </c>
      <c r="Q552" s="2" t="s">
        <v>35</v>
      </c>
    </row>
    <row r="553" spans="1:17" ht="115.2">
      <c r="A553" s="8" t="str">
        <f>HYPERLINK("http://sipi.sic.gov.co/sipi/View.ashx?4412181","SD2022/0106940")</f>
        <v>SD2022/0106940</v>
      </c>
      <c r="B553" s="2" t="s">
        <v>1982</v>
      </c>
      <c r="C553" s="2" t="s">
        <v>35</v>
      </c>
      <c r="D553" s="2" t="s">
        <v>1983</v>
      </c>
      <c r="E553" s="2" t="s">
        <v>35</v>
      </c>
      <c r="F553" s="2" t="s">
        <v>37</v>
      </c>
      <c r="G553" s="2" t="s">
        <v>1984</v>
      </c>
      <c r="H553" s="2" t="s">
        <v>1979</v>
      </c>
      <c r="I553" s="2" t="s">
        <v>12</v>
      </c>
      <c r="J553" s="2" t="s">
        <v>40</v>
      </c>
      <c r="K553" s="2" t="s">
        <v>41</v>
      </c>
      <c r="L553" s="2" t="s">
        <v>42</v>
      </c>
      <c r="M553" s="2" t="s">
        <v>35</v>
      </c>
      <c r="N553" s="2" t="s">
        <v>35</v>
      </c>
      <c r="O553" s="2" t="s">
        <v>1655</v>
      </c>
      <c r="P553" s="2" t="s">
        <v>35</v>
      </c>
      <c r="Q553" s="2" t="s">
        <v>35</v>
      </c>
    </row>
    <row r="554" spans="1:17" ht="115.2">
      <c r="A554" s="8" t="str">
        <f>HYPERLINK("http://sipi.sic.gov.co/sipi/View.ashx?4412280","SD2022/0106947")</f>
        <v>SD2022/0106947</v>
      </c>
      <c r="B554" s="2" t="s">
        <v>1985</v>
      </c>
      <c r="C554" s="2" t="s">
        <v>35</v>
      </c>
      <c r="D554" s="2" t="s">
        <v>1983</v>
      </c>
      <c r="E554" s="2" t="s">
        <v>35</v>
      </c>
      <c r="F554" s="2" t="s">
        <v>37</v>
      </c>
      <c r="G554" s="2" t="s">
        <v>1985</v>
      </c>
      <c r="H554" s="2" t="s">
        <v>1979</v>
      </c>
      <c r="I554" s="2" t="s">
        <v>12</v>
      </c>
      <c r="J554" s="2" t="s">
        <v>40</v>
      </c>
      <c r="K554" s="2" t="s">
        <v>41</v>
      </c>
      <c r="L554" s="2" t="s">
        <v>42</v>
      </c>
      <c r="M554" s="2" t="s">
        <v>35</v>
      </c>
      <c r="N554" s="2" t="s">
        <v>35</v>
      </c>
      <c r="O554" s="2" t="s">
        <v>1655</v>
      </c>
      <c r="P554" s="2" t="s">
        <v>35</v>
      </c>
      <c r="Q554" s="2" t="s">
        <v>35</v>
      </c>
    </row>
    <row r="555" spans="1:17" ht="115.2">
      <c r="A555" s="8" t="str">
        <f>HYPERLINK("http://sipi.sic.gov.co/sipi/View.ashx?4412370","SD2022/0106999")</f>
        <v>SD2022/0106999</v>
      </c>
      <c r="B555" s="2" t="s">
        <v>1986</v>
      </c>
      <c r="C555" s="2" t="s">
        <v>35</v>
      </c>
      <c r="D555" s="2" t="s">
        <v>1983</v>
      </c>
      <c r="E555" s="2" t="s">
        <v>35</v>
      </c>
      <c r="F555" s="2" t="s">
        <v>37</v>
      </c>
      <c r="G555" s="2" t="s">
        <v>1986</v>
      </c>
      <c r="H555" s="2" t="s">
        <v>1979</v>
      </c>
      <c r="I555" s="2" t="s">
        <v>12</v>
      </c>
      <c r="J555" s="2" t="s">
        <v>40</v>
      </c>
      <c r="K555" s="2" t="s">
        <v>41</v>
      </c>
      <c r="L555" s="2" t="s">
        <v>42</v>
      </c>
      <c r="M555" s="2" t="s">
        <v>35</v>
      </c>
      <c r="N555" s="2" t="s">
        <v>35</v>
      </c>
      <c r="O555" s="2" t="s">
        <v>1655</v>
      </c>
      <c r="P555" s="2" t="s">
        <v>35</v>
      </c>
      <c r="Q555" s="2" t="s">
        <v>35</v>
      </c>
    </row>
    <row r="556" spans="1:17" ht="409.6">
      <c r="A556" s="8" t="str">
        <f>HYPERLINK("http://sipi.sic.gov.co/sipi/View.ashx?4412433","SD2022/0115021")</f>
        <v>SD2022/0115021</v>
      </c>
      <c r="B556" s="2" t="s">
        <v>1987</v>
      </c>
      <c r="C556" s="7" t="s">
        <v>35</v>
      </c>
      <c r="D556" s="2" t="s">
        <v>359</v>
      </c>
      <c r="E556" s="2" t="s">
        <v>35</v>
      </c>
      <c r="F556" s="2" t="s">
        <v>37</v>
      </c>
      <c r="G556" s="2" t="s">
        <v>1988</v>
      </c>
      <c r="H556" s="2" t="s">
        <v>1989</v>
      </c>
      <c r="I556" s="2" t="s">
        <v>1990</v>
      </c>
      <c r="J556" s="2" t="s">
        <v>40</v>
      </c>
      <c r="K556" s="2" t="s">
        <v>1991</v>
      </c>
      <c r="L556" s="2" t="s">
        <v>42</v>
      </c>
      <c r="M556" s="2" t="s">
        <v>1992</v>
      </c>
      <c r="N556" s="2" t="s">
        <v>35</v>
      </c>
      <c r="O556" s="2" t="s">
        <v>1424</v>
      </c>
      <c r="P556" s="2" t="s">
        <v>35</v>
      </c>
      <c r="Q556" s="2" t="s">
        <v>35</v>
      </c>
    </row>
    <row r="557" spans="1:17" ht="187.2">
      <c r="A557" s="8" t="str">
        <f>HYPERLINK("http://sipi.sic.gov.co/sipi/View.ashx?4412692","SD2022/0107160")</f>
        <v>SD2022/0107160</v>
      </c>
      <c r="B557" s="2" t="s">
        <v>1993</v>
      </c>
      <c r="C557" s="7" t="s">
        <v>35</v>
      </c>
      <c r="D557" s="2" t="s">
        <v>1983</v>
      </c>
      <c r="E557" s="2" t="s">
        <v>35</v>
      </c>
      <c r="F557" s="2" t="s">
        <v>37</v>
      </c>
      <c r="G557" s="2" t="s">
        <v>35</v>
      </c>
      <c r="H557" s="2" t="s">
        <v>1994</v>
      </c>
      <c r="I557" s="2" t="s">
        <v>61</v>
      </c>
      <c r="J557" s="2" t="s">
        <v>40</v>
      </c>
      <c r="K557" s="2" t="s">
        <v>1995</v>
      </c>
      <c r="L557" s="2" t="s">
        <v>42</v>
      </c>
      <c r="M557" s="2" t="s">
        <v>48</v>
      </c>
      <c r="N557" s="2" t="s">
        <v>35</v>
      </c>
      <c r="O557" s="2" t="s">
        <v>1476</v>
      </c>
      <c r="P557" s="2" t="s">
        <v>35</v>
      </c>
      <c r="Q557" s="2" t="s">
        <v>35</v>
      </c>
    </row>
    <row r="558" spans="1:17" ht="187.2">
      <c r="A558" s="8" t="str">
        <f>HYPERLINK("http://sipi.sic.gov.co/sipi/View.ashx?4412884","SD2022/0109340")</f>
        <v>SD2022/0109340</v>
      </c>
      <c r="B558" s="2" t="s">
        <v>1996</v>
      </c>
      <c r="C558" s="7" t="s">
        <v>35</v>
      </c>
      <c r="D558" s="2" t="s">
        <v>1997</v>
      </c>
      <c r="E558" s="2" t="s">
        <v>35</v>
      </c>
      <c r="F558" s="2" t="s">
        <v>37</v>
      </c>
      <c r="G558" s="2" t="s">
        <v>1998</v>
      </c>
      <c r="H558" s="2" t="s">
        <v>1999</v>
      </c>
      <c r="I558" s="2" t="s">
        <v>61</v>
      </c>
      <c r="J558" s="2" t="s">
        <v>40</v>
      </c>
      <c r="K558" s="2" t="s">
        <v>2000</v>
      </c>
      <c r="L558" s="2" t="s">
        <v>42</v>
      </c>
      <c r="M558" s="2" t="s">
        <v>2001</v>
      </c>
      <c r="N558" s="2" t="s">
        <v>35</v>
      </c>
      <c r="O558" s="2" t="s">
        <v>493</v>
      </c>
      <c r="P558" s="2" t="s">
        <v>35</v>
      </c>
      <c r="Q558" s="2" t="s">
        <v>35</v>
      </c>
    </row>
    <row r="559" spans="1:17" ht="244.8">
      <c r="A559" s="8" t="str">
        <f>HYPERLINK("http://sipi.sic.gov.co/sipi/View.ashx?4413040","SD2022/0107281")</f>
        <v>SD2022/0107281</v>
      </c>
      <c r="B559" s="2" t="s">
        <v>2002</v>
      </c>
      <c r="C559" s="7" t="s">
        <v>35</v>
      </c>
      <c r="D559" s="2" t="s">
        <v>1983</v>
      </c>
      <c r="E559" s="2" t="s">
        <v>35</v>
      </c>
      <c r="F559" s="2" t="s">
        <v>37</v>
      </c>
      <c r="G559" s="2" t="s">
        <v>2003</v>
      </c>
      <c r="H559" s="2" t="s">
        <v>2004</v>
      </c>
      <c r="I559" s="2" t="s">
        <v>12</v>
      </c>
      <c r="J559" s="2" t="s">
        <v>40</v>
      </c>
      <c r="K559" s="2" t="s">
        <v>2005</v>
      </c>
      <c r="L559" s="2" t="s">
        <v>42</v>
      </c>
      <c r="M559" s="2" t="s">
        <v>35</v>
      </c>
      <c r="N559" s="2" t="s">
        <v>35</v>
      </c>
      <c r="O559" s="2" t="s">
        <v>2006</v>
      </c>
      <c r="P559" s="2" t="s">
        <v>35</v>
      </c>
      <c r="Q559" s="2" t="s">
        <v>35</v>
      </c>
    </row>
    <row r="560" spans="1:17" ht="129.6">
      <c r="A560" s="8" t="str">
        <f>HYPERLINK("http://sipi.sic.gov.co/sipi/View.ashx?4416305","SD2022/0108251")</f>
        <v>SD2022/0108251</v>
      </c>
      <c r="B560" s="2" t="s">
        <v>2007</v>
      </c>
      <c r="C560" s="7" t="s">
        <v>35</v>
      </c>
      <c r="D560" s="2" t="s">
        <v>1943</v>
      </c>
      <c r="E560" s="2" t="s">
        <v>35</v>
      </c>
      <c r="F560" s="2" t="s">
        <v>37</v>
      </c>
      <c r="G560" s="2" t="s">
        <v>2008</v>
      </c>
      <c r="H560" s="2" t="s">
        <v>2009</v>
      </c>
      <c r="I560" s="2" t="s">
        <v>12</v>
      </c>
      <c r="J560" s="2" t="s">
        <v>40</v>
      </c>
      <c r="K560" s="2" t="s">
        <v>2010</v>
      </c>
      <c r="L560" s="2" t="s">
        <v>42</v>
      </c>
      <c r="M560" s="2" t="s">
        <v>2011</v>
      </c>
      <c r="N560" s="2" t="s">
        <v>35</v>
      </c>
      <c r="O560" s="2" t="s">
        <v>1077</v>
      </c>
      <c r="P560" s="2" t="s">
        <v>35</v>
      </c>
      <c r="Q560" s="2" t="s">
        <v>35</v>
      </c>
    </row>
    <row r="561" spans="1:17" ht="100.8">
      <c r="A561" s="8" t="str">
        <f>HYPERLINK("http://sipi.sic.gov.co/sipi/View.ashx?4416712","SD2022/0108387")</f>
        <v>SD2022/0108387</v>
      </c>
      <c r="B561" s="2" t="s">
        <v>2012</v>
      </c>
      <c r="C561" s="2" t="s">
        <v>35</v>
      </c>
      <c r="D561" s="2" t="s">
        <v>704</v>
      </c>
      <c r="E561" s="2" t="s">
        <v>35</v>
      </c>
      <c r="F561" s="2" t="s">
        <v>37</v>
      </c>
      <c r="G561" s="2" t="s">
        <v>35</v>
      </c>
      <c r="H561" s="2" t="s">
        <v>1811</v>
      </c>
      <c r="I561" s="2" t="s">
        <v>12</v>
      </c>
      <c r="J561" s="2" t="s">
        <v>40</v>
      </c>
      <c r="K561" s="2" t="s">
        <v>1812</v>
      </c>
      <c r="L561" s="2" t="s">
        <v>42</v>
      </c>
      <c r="M561" s="2" t="s">
        <v>290</v>
      </c>
      <c r="N561" s="2" t="s">
        <v>35</v>
      </c>
      <c r="O561" s="2" t="s">
        <v>493</v>
      </c>
      <c r="P561" s="2" t="s">
        <v>35</v>
      </c>
      <c r="Q561" s="2" t="s">
        <v>35</v>
      </c>
    </row>
    <row r="562" spans="1:17" ht="100.8">
      <c r="A562" s="8" t="str">
        <f>HYPERLINK("http://sipi.sic.gov.co/sipi/View.ashx?4416770","SD2022/0108406")</f>
        <v>SD2022/0108406</v>
      </c>
      <c r="B562" s="2" t="s">
        <v>2013</v>
      </c>
      <c r="C562" s="2" t="s">
        <v>35</v>
      </c>
      <c r="D562" s="2" t="s">
        <v>704</v>
      </c>
      <c r="E562" s="2" t="s">
        <v>35</v>
      </c>
      <c r="F562" s="2" t="s">
        <v>37</v>
      </c>
      <c r="G562" s="2" t="s">
        <v>35</v>
      </c>
      <c r="H562" s="2" t="s">
        <v>1811</v>
      </c>
      <c r="I562" s="2" t="s">
        <v>12</v>
      </c>
      <c r="J562" s="2" t="s">
        <v>40</v>
      </c>
      <c r="K562" s="2" t="s">
        <v>1812</v>
      </c>
      <c r="L562" s="2" t="s">
        <v>55</v>
      </c>
      <c r="M562" s="2" t="s">
        <v>290</v>
      </c>
      <c r="N562" s="2" t="s">
        <v>35</v>
      </c>
      <c r="O562" s="2" t="s">
        <v>493</v>
      </c>
      <c r="P562" s="2" t="s">
        <v>35</v>
      </c>
      <c r="Q562" s="2" t="s">
        <v>35</v>
      </c>
    </row>
    <row r="563" spans="1:17" ht="100.8">
      <c r="A563" s="8" t="str">
        <f>HYPERLINK("http://sipi.sic.gov.co/sipi/View.ashx?4417211","SD2022/0108497")</f>
        <v>SD2022/0108497</v>
      </c>
      <c r="B563" s="2" t="s">
        <v>2014</v>
      </c>
      <c r="C563" s="7" t="s">
        <v>35</v>
      </c>
      <c r="D563" s="2" t="s">
        <v>704</v>
      </c>
      <c r="E563" s="2" t="s">
        <v>35</v>
      </c>
      <c r="F563" s="2" t="s">
        <v>37</v>
      </c>
      <c r="G563" s="2" t="s">
        <v>35</v>
      </c>
      <c r="H563" s="2" t="s">
        <v>1811</v>
      </c>
      <c r="I563" s="2" t="s">
        <v>12</v>
      </c>
      <c r="J563" s="2" t="s">
        <v>40</v>
      </c>
      <c r="K563" s="2" t="s">
        <v>1812</v>
      </c>
      <c r="L563" s="2" t="s">
        <v>55</v>
      </c>
      <c r="M563" s="2" t="s">
        <v>290</v>
      </c>
      <c r="N563" s="2" t="s">
        <v>35</v>
      </c>
      <c r="O563" s="2" t="s">
        <v>493</v>
      </c>
      <c r="P563" s="2" t="s">
        <v>35</v>
      </c>
      <c r="Q563" s="2" t="s">
        <v>35</v>
      </c>
    </row>
    <row r="564" spans="1:17" ht="115.2">
      <c r="A564" s="8" t="str">
        <f>HYPERLINK("http://sipi.sic.gov.co/sipi/View.ashx?4417511","SD2022/0108575")</f>
        <v>SD2022/0108575</v>
      </c>
      <c r="B564" s="2" t="s">
        <v>2015</v>
      </c>
      <c r="C564" s="2" t="s">
        <v>35</v>
      </c>
      <c r="D564" s="2" t="s">
        <v>704</v>
      </c>
      <c r="E564" s="2" t="s">
        <v>35</v>
      </c>
      <c r="F564" s="2" t="s">
        <v>37</v>
      </c>
      <c r="G564" s="2" t="s">
        <v>2016</v>
      </c>
      <c r="H564" s="2" t="s">
        <v>2017</v>
      </c>
      <c r="I564" s="2" t="s">
        <v>12</v>
      </c>
      <c r="J564" s="2" t="s">
        <v>40</v>
      </c>
      <c r="K564" s="2" t="s">
        <v>2018</v>
      </c>
      <c r="L564" s="2" t="s">
        <v>42</v>
      </c>
      <c r="M564" s="2" t="s">
        <v>197</v>
      </c>
      <c r="N564" s="2" t="s">
        <v>35</v>
      </c>
      <c r="O564" s="2" t="s">
        <v>1687</v>
      </c>
      <c r="P564" s="2" t="s">
        <v>35</v>
      </c>
      <c r="Q564" s="2" t="s">
        <v>35</v>
      </c>
    </row>
    <row r="565" spans="1:17" ht="144">
      <c r="A565" s="8" t="str">
        <f>HYPERLINK("http://sipi.sic.gov.co/sipi/View.ashx?4419710","SD2022/0109070")</f>
        <v>SD2022/0109070</v>
      </c>
      <c r="B565" s="2" t="s">
        <v>2019</v>
      </c>
      <c r="C565" s="2" t="s">
        <v>35</v>
      </c>
      <c r="D565" s="2" t="s">
        <v>1997</v>
      </c>
      <c r="E565" s="2" t="s">
        <v>35</v>
      </c>
      <c r="F565" s="2" t="s">
        <v>37</v>
      </c>
      <c r="G565" s="2" t="s">
        <v>2019</v>
      </c>
      <c r="H565" s="2" t="s">
        <v>379</v>
      </c>
      <c r="I565" s="2" t="s">
        <v>12</v>
      </c>
      <c r="J565" s="2" t="s">
        <v>40</v>
      </c>
      <c r="K565" s="2" t="s">
        <v>380</v>
      </c>
      <c r="L565" s="2" t="s">
        <v>42</v>
      </c>
      <c r="M565" s="2" t="s">
        <v>381</v>
      </c>
      <c r="N565" s="2" t="s">
        <v>35</v>
      </c>
      <c r="O565" s="2" t="s">
        <v>1476</v>
      </c>
      <c r="P565" s="2" t="s">
        <v>35</v>
      </c>
      <c r="Q565" s="2" t="s">
        <v>35</v>
      </c>
    </row>
    <row r="566" spans="1:17" ht="115.2">
      <c r="A566" s="8" t="str">
        <f>HYPERLINK("http://sipi.sic.gov.co/sipi/View.ashx?4420526","SD2022/0109757")</f>
        <v>SD2022/0109757</v>
      </c>
      <c r="B566" s="2" t="s">
        <v>2020</v>
      </c>
      <c r="C566" s="2" t="s">
        <v>35</v>
      </c>
      <c r="D566" s="2" t="s">
        <v>2021</v>
      </c>
      <c r="E566" s="2" t="s">
        <v>35</v>
      </c>
      <c r="F566" s="2" t="s">
        <v>37</v>
      </c>
      <c r="G566" s="2" t="s">
        <v>35</v>
      </c>
      <c r="H566" s="2" t="s">
        <v>2022</v>
      </c>
      <c r="I566" s="2" t="s">
        <v>12</v>
      </c>
      <c r="J566" s="2" t="s">
        <v>40</v>
      </c>
      <c r="K566" s="2" t="s">
        <v>2023</v>
      </c>
      <c r="L566" s="2" t="s">
        <v>55</v>
      </c>
      <c r="M566" s="2" t="s">
        <v>2024</v>
      </c>
      <c r="N566" s="2" t="s">
        <v>35</v>
      </c>
      <c r="O566" s="2" t="s">
        <v>493</v>
      </c>
      <c r="P566" s="2" t="s">
        <v>35</v>
      </c>
      <c r="Q566" s="2" t="s">
        <v>35</v>
      </c>
    </row>
    <row r="567" spans="1:17" ht="115.2">
      <c r="A567" s="8" t="str">
        <f>HYPERLINK("http://sipi.sic.gov.co/sipi/View.ashx?4422058","SD2022/0109795")</f>
        <v>SD2022/0109795</v>
      </c>
      <c r="B567" s="2" t="s">
        <v>2025</v>
      </c>
      <c r="C567" s="7" t="s">
        <v>35</v>
      </c>
      <c r="D567" s="2" t="s">
        <v>2026</v>
      </c>
      <c r="E567" s="2" t="s">
        <v>35</v>
      </c>
      <c r="F567" s="2" t="s">
        <v>37</v>
      </c>
      <c r="G567" s="2" t="s">
        <v>2027</v>
      </c>
      <c r="H567" s="2" t="s">
        <v>2028</v>
      </c>
      <c r="I567" s="2" t="s">
        <v>12</v>
      </c>
      <c r="J567" s="2" t="s">
        <v>40</v>
      </c>
      <c r="K567" s="2" t="s">
        <v>2029</v>
      </c>
      <c r="L567" s="2" t="s">
        <v>42</v>
      </c>
      <c r="M567" s="2" t="s">
        <v>534</v>
      </c>
      <c r="N567" s="2" t="s">
        <v>35</v>
      </c>
      <c r="O567" s="2" t="s">
        <v>1574</v>
      </c>
      <c r="P567" s="2" t="s">
        <v>35</v>
      </c>
      <c r="Q567" s="2" t="s">
        <v>35</v>
      </c>
    </row>
    <row r="568" spans="1:17" ht="115.2">
      <c r="A568" s="8" t="str">
        <f>HYPERLINK("http://sipi.sic.gov.co/sipi/View.ashx?4422149","SD2022/0109684")</f>
        <v>SD2022/0109684</v>
      </c>
      <c r="B568" s="2" t="s">
        <v>2030</v>
      </c>
      <c r="C568" s="2" t="s">
        <v>35</v>
      </c>
      <c r="D568" s="2" t="s">
        <v>2021</v>
      </c>
      <c r="E568" s="2" t="s">
        <v>35</v>
      </c>
      <c r="F568" s="2" t="s">
        <v>37</v>
      </c>
      <c r="G568" s="2" t="s">
        <v>35</v>
      </c>
      <c r="H568" s="2" t="s">
        <v>632</v>
      </c>
      <c r="I568" s="2" t="s">
        <v>12</v>
      </c>
      <c r="J568" s="2" t="s">
        <v>40</v>
      </c>
      <c r="K568" s="2" t="s">
        <v>380</v>
      </c>
      <c r="L568" s="2" t="s">
        <v>42</v>
      </c>
      <c r="M568" s="2" t="s">
        <v>633</v>
      </c>
      <c r="N568" s="2" t="s">
        <v>35</v>
      </c>
      <c r="O568" s="2" t="s">
        <v>1077</v>
      </c>
      <c r="P568" s="2" t="s">
        <v>35</v>
      </c>
      <c r="Q568" s="2" t="s">
        <v>35</v>
      </c>
    </row>
    <row r="569" spans="1:17" ht="187.2">
      <c r="A569" s="8" t="str">
        <f>HYPERLINK("http://sipi.sic.gov.co/sipi/View.ashx?4422281","SD2022/0114152")</f>
        <v>SD2022/0114152</v>
      </c>
      <c r="B569" s="2" t="s">
        <v>2031</v>
      </c>
      <c r="C569" s="7" t="s">
        <v>35</v>
      </c>
      <c r="D569" s="2" t="s">
        <v>2032</v>
      </c>
      <c r="E569" s="2" t="s">
        <v>35</v>
      </c>
      <c r="F569" s="2" t="s">
        <v>37</v>
      </c>
      <c r="G569" s="2" t="s">
        <v>35</v>
      </c>
      <c r="H569" s="2" t="s">
        <v>279</v>
      </c>
      <c r="I569" s="2" t="s">
        <v>12</v>
      </c>
      <c r="J569" s="2" t="s">
        <v>40</v>
      </c>
      <c r="K569" s="2" t="s">
        <v>2033</v>
      </c>
      <c r="L569" s="2" t="s">
        <v>55</v>
      </c>
      <c r="M569" s="2" t="s">
        <v>281</v>
      </c>
      <c r="N569" s="2" t="s">
        <v>35</v>
      </c>
      <c r="O569" s="2" t="s">
        <v>810</v>
      </c>
      <c r="P569" s="2" t="s">
        <v>35</v>
      </c>
      <c r="Q569" s="2" t="s">
        <v>35</v>
      </c>
    </row>
    <row r="570" spans="1:17" ht="129.6">
      <c r="A570" s="8" t="str">
        <f>HYPERLINK("http://sipi.sic.gov.co/sipi/View.ashx?4422682","SD2022/0109825")</f>
        <v>SD2022/0109825</v>
      </c>
      <c r="B570" s="2" t="s">
        <v>2034</v>
      </c>
      <c r="C570" s="2" t="s">
        <v>35</v>
      </c>
      <c r="D570" s="2" t="s">
        <v>2021</v>
      </c>
      <c r="E570" s="2" t="s">
        <v>35</v>
      </c>
      <c r="F570" s="2" t="s">
        <v>37</v>
      </c>
      <c r="G570" s="2" t="s">
        <v>2035</v>
      </c>
      <c r="H570" s="2" t="s">
        <v>1485</v>
      </c>
      <c r="I570" s="2" t="s">
        <v>12</v>
      </c>
      <c r="J570" s="2" t="s">
        <v>40</v>
      </c>
      <c r="K570" s="2" t="s">
        <v>1486</v>
      </c>
      <c r="L570" s="2" t="s">
        <v>42</v>
      </c>
      <c r="M570" s="2" t="s">
        <v>1487</v>
      </c>
      <c r="N570" s="2" t="s">
        <v>35</v>
      </c>
      <c r="O570" s="2" t="s">
        <v>1476</v>
      </c>
      <c r="P570" s="2" t="s">
        <v>35</v>
      </c>
      <c r="Q570" s="2" t="s">
        <v>35</v>
      </c>
    </row>
    <row r="571" spans="1:17" ht="129.6">
      <c r="A571" s="8" t="str">
        <f>HYPERLINK("http://sipi.sic.gov.co/sipi/View.ashx?4422837","SD2022/0109860")</f>
        <v>SD2022/0109860</v>
      </c>
      <c r="B571" s="2" t="s">
        <v>2036</v>
      </c>
      <c r="C571" s="2" t="s">
        <v>35</v>
      </c>
      <c r="D571" s="2" t="s">
        <v>2021</v>
      </c>
      <c r="E571" s="2" t="s">
        <v>35</v>
      </c>
      <c r="F571" s="2" t="s">
        <v>37</v>
      </c>
      <c r="G571" s="2" t="s">
        <v>35</v>
      </c>
      <c r="H571" s="2" t="s">
        <v>1485</v>
      </c>
      <c r="I571" s="2" t="s">
        <v>12</v>
      </c>
      <c r="J571" s="2" t="s">
        <v>40</v>
      </c>
      <c r="K571" s="2" t="s">
        <v>1486</v>
      </c>
      <c r="L571" s="2" t="s">
        <v>42</v>
      </c>
      <c r="M571" s="2" t="s">
        <v>1487</v>
      </c>
      <c r="N571" s="2" t="s">
        <v>35</v>
      </c>
      <c r="O571" s="2" t="s">
        <v>1476</v>
      </c>
      <c r="P571" s="2" t="s">
        <v>35</v>
      </c>
      <c r="Q571" s="2" t="s">
        <v>35</v>
      </c>
    </row>
    <row r="572" spans="1:17" ht="115.2">
      <c r="A572" s="8" t="str">
        <f>HYPERLINK("http://sipi.sic.gov.co/sipi/View.ashx?4422847","SD2022/0129500")</f>
        <v>SD2022/0129500</v>
      </c>
      <c r="B572" s="2" t="s">
        <v>2037</v>
      </c>
      <c r="C572" s="2" t="s">
        <v>35</v>
      </c>
      <c r="D572" s="2" t="s">
        <v>2038</v>
      </c>
      <c r="E572" s="2" t="s">
        <v>35</v>
      </c>
      <c r="F572" s="2" t="s">
        <v>37</v>
      </c>
      <c r="G572" s="2" t="s">
        <v>2039</v>
      </c>
      <c r="H572" s="2" t="s">
        <v>1579</v>
      </c>
      <c r="I572" s="2" t="s">
        <v>12</v>
      </c>
      <c r="J572" s="2" t="s">
        <v>40</v>
      </c>
      <c r="K572" s="2" t="s">
        <v>2040</v>
      </c>
      <c r="L572" s="2" t="s">
        <v>55</v>
      </c>
      <c r="M572" s="2" t="s">
        <v>1581</v>
      </c>
      <c r="N572" s="2" t="s">
        <v>35</v>
      </c>
      <c r="O572" s="2" t="s">
        <v>2041</v>
      </c>
      <c r="P572" s="2" t="s">
        <v>35</v>
      </c>
      <c r="Q572" s="2" t="s">
        <v>35</v>
      </c>
    </row>
    <row r="573" spans="1:17" ht="115.2">
      <c r="A573" s="8" t="str">
        <f>HYPERLINK("http://sipi.sic.gov.co/sipi/View.ashx?4422857","SD2022/0129498")</f>
        <v>SD2022/0129498</v>
      </c>
      <c r="B573" s="2" t="s">
        <v>2042</v>
      </c>
      <c r="C573" s="2" t="s">
        <v>35</v>
      </c>
      <c r="D573" s="2" t="s">
        <v>2038</v>
      </c>
      <c r="E573" s="2" t="s">
        <v>35</v>
      </c>
      <c r="F573" s="2" t="s">
        <v>37</v>
      </c>
      <c r="G573" s="2" t="s">
        <v>2043</v>
      </c>
      <c r="H573" s="2" t="s">
        <v>1579</v>
      </c>
      <c r="I573" s="2" t="s">
        <v>12</v>
      </c>
      <c r="J573" s="2" t="s">
        <v>40</v>
      </c>
      <c r="K573" s="2" t="s">
        <v>2044</v>
      </c>
      <c r="L573" s="2" t="s">
        <v>55</v>
      </c>
      <c r="M573" s="2" t="s">
        <v>1581</v>
      </c>
      <c r="N573" s="2" t="s">
        <v>35</v>
      </c>
      <c r="O573" s="2" t="s">
        <v>2045</v>
      </c>
      <c r="P573" s="2" t="s">
        <v>35</v>
      </c>
      <c r="Q573" s="2" t="s">
        <v>35</v>
      </c>
    </row>
    <row r="574" spans="1:17" ht="129.6">
      <c r="A574" s="8" t="str">
        <f>HYPERLINK("http://sipi.sic.gov.co/sipi/View.ashx?4423077","SD2022/0109965")</f>
        <v>SD2022/0109965</v>
      </c>
      <c r="B574" s="2" t="s">
        <v>2046</v>
      </c>
      <c r="C574" s="2" t="s">
        <v>35</v>
      </c>
      <c r="D574" s="2" t="s">
        <v>2021</v>
      </c>
      <c r="E574" s="2" t="s">
        <v>35</v>
      </c>
      <c r="F574" s="2" t="s">
        <v>37</v>
      </c>
      <c r="G574" s="2" t="s">
        <v>2047</v>
      </c>
      <c r="H574" s="2" t="s">
        <v>2048</v>
      </c>
      <c r="I574" s="2" t="s">
        <v>12</v>
      </c>
      <c r="J574" s="2" t="s">
        <v>40</v>
      </c>
      <c r="K574" s="2" t="s">
        <v>2049</v>
      </c>
      <c r="L574" s="2" t="s">
        <v>55</v>
      </c>
      <c r="M574" s="2" t="s">
        <v>128</v>
      </c>
      <c r="N574" s="2" t="s">
        <v>35</v>
      </c>
      <c r="O574" s="2" t="s">
        <v>1424</v>
      </c>
      <c r="P574" s="2" t="s">
        <v>35</v>
      </c>
      <c r="Q574" s="2" t="s">
        <v>35</v>
      </c>
    </row>
    <row r="575" spans="1:17" ht="115.2">
      <c r="A575" s="8" t="str">
        <f>HYPERLINK("http://sipi.sic.gov.co/sipi/View.ashx?4424928","SD2022/0110326")</f>
        <v>SD2022/0110326</v>
      </c>
      <c r="B575" s="2" t="s">
        <v>2050</v>
      </c>
      <c r="C575" s="7" t="s">
        <v>35</v>
      </c>
      <c r="D575" s="2" t="s">
        <v>2026</v>
      </c>
      <c r="E575" s="2" t="s">
        <v>35</v>
      </c>
      <c r="F575" s="2" t="s">
        <v>37</v>
      </c>
      <c r="G575" s="2" t="s">
        <v>2051</v>
      </c>
      <c r="H575" s="2" t="s">
        <v>2052</v>
      </c>
      <c r="I575" s="2" t="s">
        <v>12</v>
      </c>
      <c r="J575" s="2" t="s">
        <v>40</v>
      </c>
      <c r="K575" s="2" t="s">
        <v>41</v>
      </c>
      <c r="L575" s="2" t="s">
        <v>42</v>
      </c>
      <c r="M575" s="2" t="s">
        <v>2053</v>
      </c>
      <c r="N575" s="2" t="s">
        <v>35</v>
      </c>
      <c r="O575" s="2" t="s">
        <v>1476</v>
      </c>
      <c r="P575" s="2" t="s">
        <v>35</v>
      </c>
      <c r="Q575" s="2" t="s">
        <v>35</v>
      </c>
    </row>
    <row r="576" spans="1:17" ht="115.2">
      <c r="A576" s="8" t="str">
        <f>HYPERLINK("http://sipi.sic.gov.co/sipi/View.ashx?4424958","SD2022/0110338")</f>
        <v>SD2022/0110338</v>
      </c>
      <c r="B576" s="2" t="s">
        <v>2054</v>
      </c>
      <c r="C576" s="2" t="s">
        <v>35</v>
      </c>
      <c r="D576" s="2" t="s">
        <v>2026</v>
      </c>
      <c r="E576" s="2" t="s">
        <v>35</v>
      </c>
      <c r="F576" s="2" t="s">
        <v>37</v>
      </c>
      <c r="G576" s="2" t="s">
        <v>2054</v>
      </c>
      <c r="H576" s="2" t="s">
        <v>2055</v>
      </c>
      <c r="I576" s="2" t="s">
        <v>250</v>
      </c>
      <c r="J576" s="2" t="s">
        <v>40</v>
      </c>
      <c r="K576" s="2" t="s">
        <v>2056</v>
      </c>
      <c r="L576" s="2" t="s">
        <v>55</v>
      </c>
      <c r="M576" s="2" t="s">
        <v>2057</v>
      </c>
      <c r="N576" s="2" t="s">
        <v>35</v>
      </c>
      <c r="O576" s="2" t="s">
        <v>1574</v>
      </c>
      <c r="P576" s="2" t="s">
        <v>35</v>
      </c>
      <c r="Q576" s="2" t="s">
        <v>35</v>
      </c>
    </row>
    <row r="577" spans="1:17" ht="201.6">
      <c r="A577" s="8" t="str">
        <f>HYPERLINK("http://sipi.sic.gov.co/sipi/View.ashx?4425965","SD2022/0110658")</f>
        <v>SD2022/0110658</v>
      </c>
      <c r="B577" s="2" t="s">
        <v>2058</v>
      </c>
      <c r="C577" s="7" t="s">
        <v>35</v>
      </c>
      <c r="D577" s="2" t="s">
        <v>2059</v>
      </c>
      <c r="E577" s="2" t="s">
        <v>35</v>
      </c>
      <c r="F577" s="2" t="s">
        <v>37</v>
      </c>
      <c r="G577" s="2" t="s">
        <v>2058</v>
      </c>
      <c r="H577" s="2" t="s">
        <v>2060</v>
      </c>
      <c r="I577" s="2" t="s">
        <v>12</v>
      </c>
      <c r="J577" s="2" t="s">
        <v>40</v>
      </c>
      <c r="K577" s="2" t="s">
        <v>2061</v>
      </c>
      <c r="L577" s="2" t="s">
        <v>42</v>
      </c>
      <c r="M577" s="2" t="s">
        <v>2062</v>
      </c>
      <c r="N577" s="2" t="s">
        <v>35</v>
      </c>
      <c r="O577" s="2" t="s">
        <v>1476</v>
      </c>
      <c r="P577" s="2" t="s">
        <v>35</v>
      </c>
      <c r="Q577" s="2" t="s">
        <v>35</v>
      </c>
    </row>
    <row r="578" spans="1:17" ht="144">
      <c r="A578" s="8" t="str">
        <f>HYPERLINK("http://sipi.sic.gov.co/sipi/View.ashx?4427886","SD2022/0111154")</f>
        <v>SD2022/0111154</v>
      </c>
      <c r="B578" s="2" t="s">
        <v>2063</v>
      </c>
      <c r="C578" s="7" t="s">
        <v>35</v>
      </c>
      <c r="D578" s="2" t="s">
        <v>2064</v>
      </c>
      <c r="E578" s="2" t="s">
        <v>35</v>
      </c>
      <c r="F578" s="2" t="s">
        <v>37</v>
      </c>
      <c r="G578" s="2" t="s">
        <v>35</v>
      </c>
      <c r="H578" s="2" t="s">
        <v>2065</v>
      </c>
      <c r="I578" s="2" t="s">
        <v>12</v>
      </c>
      <c r="J578" s="2" t="s">
        <v>40</v>
      </c>
      <c r="K578" s="2" t="s">
        <v>2066</v>
      </c>
      <c r="L578" s="2" t="s">
        <v>42</v>
      </c>
      <c r="M578" s="2" t="s">
        <v>871</v>
      </c>
      <c r="N578" s="2" t="s">
        <v>35</v>
      </c>
      <c r="O578" s="2" t="s">
        <v>1574</v>
      </c>
      <c r="P578" s="2" t="s">
        <v>35</v>
      </c>
      <c r="Q578" s="2" t="s">
        <v>35</v>
      </c>
    </row>
    <row r="579" spans="1:17" ht="129.6">
      <c r="A579" s="8" t="str">
        <f>HYPERLINK("http://sipi.sic.gov.co/sipi/View.ashx?4428548","SD2022/0111305")</f>
        <v>SD2022/0111305</v>
      </c>
      <c r="B579" s="2" t="s">
        <v>2067</v>
      </c>
      <c r="C579" s="2" t="s">
        <v>35</v>
      </c>
      <c r="D579" s="2" t="s">
        <v>2064</v>
      </c>
      <c r="E579" s="2" t="s">
        <v>35</v>
      </c>
      <c r="F579" s="2" t="s">
        <v>37</v>
      </c>
      <c r="G579" s="2" t="s">
        <v>2068</v>
      </c>
      <c r="H579" s="2" t="s">
        <v>407</v>
      </c>
      <c r="I579" s="2" t="s">
        <v>12</v>
      </c>
      <c r="J579" s="2" t="s">
        <v>40</v>
      </c>
      <c r="K579" s="2" t="s">
        <v>2069</v>
      </c>
      <c r="L579" s="2" t="s">
        <v>42</v>
      </c>
      <c r="M579" s="2" t="s">
        <v>409</v>
      </c>
      <c r="N579" s="2" t="s">
        <v>35</v>
      </c>
      <c r="O579" s="2" t="s">
        <v>1828</v>
      </c>
      <c r="P579" s="2" t="s">
        <v>35</v>
      </c>
      <c r="Q579" s="2" t="s">
        <v>35</v>
      </c>
    </row>
    <row r="580" spans="1:17" ht="409.6">
      <c r="A580" s="8" t="str">
        <f>HYPERLINK("http://sipi.sic.gov.co/sipi/View.ashx?4428560","SD2022/0111353")</f>
        <v>SD2022/0111353</v>
      </c>
      <c r="B580" s="2" t="s">
        <v>2070</v>
      </c>
      <c r="C580" s="7" t="s">
        <v>35</v>
      </c>
      <c r="D580" s="2" t="s">
        <v>2064</v>
      </c>
      <c r="E580" s="2" t="s">
        <v>35</v>
      </c>
      <c r="F580" s="2" t="s">
        <v>37</v>
      </c>
      <c r="G580" s="2" t="s">
        <v>464</v>
      </c>
      <c r="H580" s="2" t="s">
        <v>2071</v>
      </c>
      <c r="I580" s="2" t="s">
        <v>444</v>
      </c>
      <c r="J580" s="2" t="s">
        <v>40</v>
      </c>
      <c r="K580" s="2" t="s">
        <v>2072</v>
      </c>
      <c r="L580" s="2" t="s">
        <v>42</v>
      </c>
      <c r="M580" s="2" t="s">
        <v>110</v>
      </c>
      <c r="N580" s="2" t="s">
        <v>35</v>
      </c>
      <c r="O580" s="2" t="s">
        <v>1424</v>
      </c>
      <c r="P580" s="2" t="s">
        <v>35</v>
      </c>
      <c r="Q580" s="2" t="s">
        <v>35</v>
      </c>
    </row>
    <row r="581" spans="1:17" ht="409.6">
      <c r="A581" s="8" t="str">
        <f>HYPERLINK("http://sipi.sic.gov.co/sipi/View.ashx?4428599","SD2022/0111345")</f>
        <v>SD2022/0111345</v>
      </c>
      <c r="B581" s="2" t="s">
        <v>2073</v>
      </c>
      <c r="C581" s="7" t="s">
        <v>35</v>
      </c>
      <c r="D581" s="2" t="s">
        <v>2064</v>
      </c>
      <c r="E581" s="2" t="s">
        <v>35</v>
      </c>
      <c r="F581" s="2" t="s">
        <v>37</v>
      </c>
      <c r="G581" s="2" t="s">
        <v>464</v>
      </c>
      <c r="H581" s="2" t="s">
        <v>2071</v>
      </c>
      <c r="I581" s="2" t="s">
        <v>444</v>
      </c>
      <c r="J581" s="2" t="s">
        <v>40</v>
      </c>
      <c r="K581" s="2" t="s">
        <v>2074</v>
      </c>
      <c r="L581" s="2" t="s">
        <v>55</v>
      </c>
      <c r="M581" s="2" t="s">
        <v>110</v>
      </c>
      <c r="N581" s="2" t="s">
        <v>35</v>
      </c>
      <c r="O581" s="2" t="s">
        <v>1424</v>
      </c>
      <c r="P581" s="2" t="s">
        <v>35</v>
      </c>
      <c r="Q581" s="2" t="s">
        <v>35</v>
      </c>
    </row>
    <row r="582" spans="1:17" ht="409.6">
      <c r="A582" s="8" t="str">
        <f>HYPERLINK("http://sipi.sic.gov.co/sipi/View.ashx?4431848","SD2022/0112020")</f>
        <v>SD2022/0112020</v>
      </c>
      <c r="B582" s="2" t="s">
        <v>2075</v>
      </c>
      <c r="C582" s="7" t="s">
        <v>35</v>
      </c>
      <c r="D582" s="2" t="s">
        <v>1077</v>
      </c>
      <c r="E582" s="2" t="s">
        <v>35</v>
      </c>
      <c r="F582" s="2" t="s">
        <v>37</v>
      </c>
      <c r="G582" s="2" t="s">
        <v>2076</v>
      </c>
      <c r="H582" s="2" t="s">
        <v>2077</v>
      </c>
      <c r="I582" s="2" t="s">
        <v>61</v>
      </c>
      <c r="J582" s="2" t="s">
        <v>40</v>
      </c>
      <c r="K582" s="2" t="s">
        <v>2078</v>
      </c>
      <c r="L582" s="2" t="s">
        <v>42</v>
      </c>
      <c r="M582" s="2" t="s">
        <v>48</v>
      </c>
      <c r="N582" s="2" t="s">
        <v>35</v>
      </c>
      <c r="O582" s="2" t="s">
        <v>1476</v>
      </c>
      <c r="P582" s="2" t="s">
        <v>205</v>
      </c>
      <c r="Q582" s="2" t="s">
        <v>35</v>
      </c>
    </row>
    <row r="583" spans="1:17" ht="360">
      <c r="A583" s="8" t="str">
        <f>HYPERLINK("http://sipi.sic.gov.co/sipi/View.ashx?4432826","SD2022/0112305")</f>
        <v>SD2022/0112305</v>
      </c>
      <c r="B583" s="2" t="s">
        <v>2079</v>
      </c>
      <c r="C583" s="7" t="s">
        <v>35</v>
      </c>
      <c r="D583" s="2" t="s">
        <v>2080</v>
      </c>
      <c r="E583" s="2" t="s">
        <v>35</v>
      </c>
      <c r="F583" s="2" t="s">
        <v>37</v>
      </c>
      <c r="G583" s="2" t="s">
        <v>35</v>
      </c>
      <c r="H583" s="2" t="s">
        <v>2081</v>
      </c>
      <c r="I583" s="2" t="s">
        <v>12</v>
      </c>
      <c r="J583" s="2" t="s">
        <v>40</v>
      </c>
      <c r="K583" s="2" t="s">
        <v>2082</v>
      </c>
      <c r="L583" s="2" t="s">
        <v>42</v>
      </c>
      <c r="M583" s="2" t="s">
        <v>2083</v>
      </c>
      <c r="N583" s="2" t="s">
        <v>35</v>
      </c>
      <c r="O583" s="2" t="s">
        <v>359</v>
      </c>
      <c r="P583" s="2" t="s">
        <v>35</v>
      </c>
      <c r="Q583" s="2" t="s">
        <v>35</v>
      </c>
    </row>
    <row r="584" spans="1:17" ht="144">
      <c r="A584" s="8" t="str">
        <f>HYPERLINK("http://sipi.sic.gov.co/sipi/View.ashx?4434529","SD2022/0112861")</f>
        <v>SD2022/0112861</v>
      </c>
      <c r="B584" s="2" t="s">
        <v>2084</v>
      </c>
      <c r="C584" s="7" t="s">
        <v>35</v>
      </c>
      <c r="D584" s="2" t="s">
        <v>2085</v>
      </c>
      <c r="E584" s="2" t="s">
        <v>35</v>
      </c>
      <c r="F584" s="2" t="s">
        <v>37</v>
      </c>
      <c r="G584" s="2" t="s">
        <v>2086</v>
      </c>
      <c r="H584" s="2" t="s">
        <v>1400</v>
      </c>
      <c r="I584" s="2" t="s">
        <v>444</v>
      </c>
      <c r="J584" s="2" t="s">
        <v>40</v>
      </c>
      <c r="K584" s="2" t="s">
        <v>2087</v>
      </c>
      <c r="L584" s="2" t="s">
        <v>55</v>
      </c>
      <c r="M584" s="2" t="s">
        <v>1402</v>
      </c>
      <c r="N584" s="2" t="s">
        <v>35</v>
      </c>
      <c r="O584" s="2" t="s">
        <v>2041</v>
      </c>
      <c r="P584" s="2" t="s">
        <v>35</v>
      </c>
      <c r="Q584" s="2" t="s">
        <v>35</v>
      </c>
    </row>
    <row r="585" spans="1:17" ht="144">
      <c r="A585" s="8" t="str">
        <f>HYPERLINK("http://sipi.sic.gov.co/sipi/View.ashx?4434581","SD2022/0112843")</f>
        <v>SD2022/0112843</v>
      </c>
      <c r="B585" s="2" t="s">
        <v>2088</v>
      </c>
      <c r="C585" s="7" t="s">
        <v>35</v>
      </c>
      <c r="D585" s="2" t="s">
        <v>2085</v>
      </c>
      <c r="E585" s="2" t="s">
        <v>35</v>
      </c>
      <c r="F585" s="2" t="s">
        <v>37</v>
      </c>
      <c r="G585" s="2" t="s">
        <v>2088</v>
      </c>
      <c r="H585" s="2" t="s">
        <v>1400</v>
      </c>
      <c r="I585" s="2" t="s">
        <v>444</v>
      </c>
      <c r="J585" s="2" t="s">
        <v>40</v>
      </c>
      <c r="K585" s="2" t="s">
        <v>2087</v>
      </c>
      <c r="L585" s="2" t="s">
        <v>42</v>
      </c>
      <c r="M585" s="2" t="s">
        <v>1402</v>
      </c>
      <c r="N585" s="2" t="s">
        <v>35</v>
      </c>
      <c r="O585" s="2" t="s">
        <v>2089</v>
      </c>
      <c r="P585" s="2" t="s">
        <v>35</v>
      </c>
      <c r="Q585" s="2" t="s">
        <v>35</v>
      </c>
    </row>
    <row r="586" spans="1:17" ht="115.2">
      <c r="A586" s="8" t="str">
        <f>HYPERLINK("http://sipi.sic.gov.co/sipi/View.ashx?4434865","SD2022/0112996")</f>
        <v>SD2022/0112996</v>
      </c>
      <c r="B586" s="2" t="s">
        <v>2090</v>
      </c>
      <c r="C586" s="7" t="s">
        <v>35</v>
      </c>
      <c r="D586" s="2" t="s">
        <v>2085</v>
      </c>
      <c r="E586" s="2" t="s">
        <v>35</v>
      </c>
      <c r="F586" s="2" t="s">
        <v>37</v>
      </c>
      <c r="G586" s="2" t="s">
        <v>2091</v>
      </c>
      <c r="H586" s="2" t="s">
        <v>2092</v>
      </c>
      <c r="I586" s="2" t="s">
        <v>12</v>
      </c>
      <c r="J586" s="2" t="s">
        <v>40</v>
      </c>
      <c r="K586" s="2" t="s">
        <v>41</v>
      </c>
      <c r="L586" s="2" t="s">
        <v>55</v>
      </c>
      <c r="M586" s="2" t="s">
        <v>2093</v>
      </c>
      <c r="N586" s="2" t="s">
        <v>35</v>
      </c>
      <c r="O586" s="2" t="s">
        <v>1733</v>
      </c>
      <c r="P586" s="2" t="s">
        <v>35</v>
      </c>
      <c r="Q586" s="2" t="s">
        <v>35</v>
      </c>
    </row>
    <row r="587" spans="1:17" ht="409.6">
      <c r="A587" s="8" t="str">
        <f>HYPERLINK("http://sipi.sic.gov.co/sipi/View.ashx?4437331","SD2022/0114154")</f>
        <v>SD2022/0114154</v>
      </c>
      <c r="B587" s="2" t="s">
        <v>2094</v>
      </c>
      <c r="C587" s="7" t="s">
        <v>35</v>
      </c>
      <c r="D587" s="2" t="s">
        <v>2032</v>
      </c>
      <c r="E587" s="2" t="s">
        <v>35</v>
      </c>
      <c r="F587" s="2" t="s">
        <v>37</v>
      </c>
      <c r="G587" s="2" t="s">
        <v>2095</v>
      </c>
      <c r="H587" s="2" t="s">
        <v>2096</v>
      </c>
      <c r="I587" s="2" t="s">
        <v>61</v>
      </c>
      <c r="J587" s="2" t="s">
        <v>40</v>
      </c>
      <c r="K587" s="2" t="s">
        <v>2097</v>
      </c>
      <c r="L587" s="2" t="s">
        <v>55</v>
      </c>
      <c r="M587" s="2" t="s">
        <v>35</v>
      </c>
      <c r="N587" s="2" t="s">
        <v>35</v>
      </c>
      <c r="O587" s="2" t="s">
        <v>810</v>
      </c>
      <c r="P587" s="2" t="s">
        <v>35</v>
      </c>
      <c r="Q587" s="2" t="s">
        <v>35</v>
      </c>
    </row>
    <row r="588" spans="1:17" ht="129.6">
      <c r="A588" s="8" t="str">
        <f>HYPERLINK("http://sipi.sic.gov.co/sipi/View.ashx?4437528","SD2022/0113766")</f>
        <v>SD2022/0113766</v>
      </c>
      <c r="B588" s="2" t="s">
        <v>2098</v>
      </c>
      <c r="C588" s="2" t="s">
        <v>35</v>
      </c>
      <c r="D588" s="2" t="s">
        <v>2099</v>
      </c>
      <c r="E588" s="2" t="s">
        <v>35</v>
      </c>
      <c r="F588" s="2" t="s">
        <v>37</v>
      </c>
      <c r="G588" s="2" t="s">
        <v>35</v>
      </c>
      <c r="H588" s="2" t="s">
        <v>2100</v>
      </c>
      <c r="I588" s="2" t="s">
        <v>12</v>
      </c>
      <c r="J588" s="2" t="s">
        <v>40</v>
      </c>
      <c r="K588" s="2" t="s">
        <v>1912</v>
      </c>
      <c r="L588" s="2" t="s">
        <v>42</v>
      </c>
      <c r="M588" s="2" t="s">
        <v>1913</v>
      </c>
      <c r="N588" s="2" t="s">
        <v>35</v>
      </c>
      <c r="O588" s="2" t="s">
        <v>1574</v>
      </c>
      <c r="P588" s="2" t="s">
        <v>35</v>
      </c>
      <c r="Q588" s="2" t="s">
        <v>35</v>
      </c>
    </row>
    <row r="589" spans="1:17" ht="86.4">
      <c r="A589" s="8" t="str">
        <f>HYPERLINK("http://sipi.sic.gov.co/sipi/View.ashx?4438396","SD2022/0113997")</f>
        <v>SD2022/0113997</v>
      </c>
      <c r="B589" s="2" t="s">
        <v>2101</v>
      </c>
      <c r="C589" s="2" t="s">
        <v>35</v>
      </c>
      <c r="D589" s="2" t="s">
        <v>2099</v>
      </c>
      <c r="E589" s="2" t="s">
        <v>35</v>
      </c>
      <c r="F589" s="2" t="s">
        <v>37</v>
      </c>
      <c r="G589" s="2" t="s">
        <v>35</v>
      </c>
      <c r="H589" s="2" t="s">
        <v>2102</v>
      </c>
      <c r="I589" s="2" t="s">
        <v>991</v>
      </c>
      <c r="J589" s="2" t="s">
        <v>40</v>
      </c>
      <c r="K589" s="2" t="s">
        <v>2103</v>
      </c>
      <c r="L589" s="2" t="s">
        <v>42</v>
      </c>
      <c r="M589" s="2" t="s">
        <v>35</v>
      </c>
      <c r="N589" s="2" t="s">
        <v>35</v>
      </c>
      <c r="O589" s="2" t="s">
        <v>1409</v>
      </c>
      <c r="P589" s="2" t="s">
        <v>35</v>
      </c>
      <c r="Q589" s="2" t="s">
        <v>35</v>
      </c>
    </row>
    <row r="590" spans="1:17" ht="129.6">
      <c r="A590" s="8" t="str">
        <f>HYPERLINK("http://sipi.sic.gov.co/sipi/View.ashx?4439282","SD2022/0114350")</f>
        <v>SD2022/0114350</v>
      </c>
      <c r="B590" s="2" t="s">
        <v>2104</v>
      </c>
      <c r="C590" s="2" t="s">
        <v>35</v>
      </c>
      <c r="D590" s="2" t="s">
        <v>2032</v>
      </c>
      <c r="E590" s="2" t="s">
        <v>35</v>
      </c>
      <c r="F590" s="2" t="s">
        <v>37</v>
      </c>
      <c r="G590" s="2" t="s">
        <v>2105</v>
      </c>
      <c r="H590" s="2" t="s">
        <v>2106</v>
      </c>
      <c r="I590" s="2" t="s">
        <v>12</v>
      </c>
      <c r="J590" s="2" t="s">
        <v>40</v>
      </c>
      <c r="K590" s="2" t="s">
        <v>2107</v>
      </c>
      <c r="L590" s="2" t="s">
        <v>42</v>
      </c>
      <c r="M590" s="2" t="s">
        <v>515</v>
      </c>
      <c r="N590" s="2" t="s">
        <v>35</v>
      </c>
      <c r="O590" s="2" t="s">
        <v>1655</v>
      </c>
      <c r="P590" s="2" t="s">
        <v>35</v>
      </c>
      <c r="Q590" s="2" t="s">
        <v>35</v>
      </c>
    </row>
    <row r="591" spans="1:17" ht="144">
      <c r="A591" s="8" t="str">
        <f>HYPERLINK("http://sipi.sic.gov.co/sipi/View.ashx?4439689","SD2022/0114341")</f>
        <v>SD2022/0114341</v>
      </c>
      <c r="B591" s="2" t="s">
        <v>2108</v>
      </c>
      <c r="C591" s="7" t="s">
        <v>35</v>
      </c>
      <c r="D591" s="2" t="s">
        <v>2032</v>
      </c>
      <c r="E591" s="2" t="s">
        <v>35</v>
      </c>
      <c r="F591" s="2" t="s">
        <v>37</v>
      </c>
      <c r="G591" s="2" t="s">
        <v>2108</v>
      </c>
      <c r="H591" s="2" t="s">
        <v>2109</v>
      </c>
      <c r="I591" s="2" t="s">
        <v>12</v>
      </c>
      <c r="J591" s="2" t="s">
        <v>40</v>
      </c>
      <c r="K591" s="2" t="s">
        <v>2110</v>
      </c>
      <c r="L591" s="2" t="s">
        <v>42</v>
      </c>
      <c r="M591" s="2" t="s">
        <v>2111</v>
      </c>
      <c r="N591" s="2" t="s">
        <v>35</v>
      </c>
      <c r="O591" s="2" t="s">
        <v>1409</v>
      </c>
      <c r="P591" s="2" t="s">
        <v>35</v>
      </c>
      <c r="Q591" s="2" t="s">
        <v>35</v>
      </c>
    </row>
    <row r="592" spans="1:17" ht="409.6">
      <c r="A592" s="8" t="str">
        <f>HYPERLINK("http://sipi.sic.gov.co/sipi/View.ashx?4441976","SD2022/0114764")</f>
        <v>SD2022/0114764</v>
      </c>
      <c r="B592" s="2" t="s">
        <v>2112</v>
      </c>
      <c r="C592" s="7" t="s">
        <v>35</v>
      </c>
      <c r="D592" s="2" t="s">
        <v>359</v>
      </c>
      <c r="E592" s="2" t="s">
        <v>35</v>
      </c>
      <c r="F592" s="2" t="s">
        <v>37</v>
      </c>
      <c r="G592" s="2" t="s">
        <v>2112</v>
      </c>
      <c r="H592" s="2" t="s">
        <v>2113</v>
      </c>
      <c r="I592" s="2" t="s">
        <v>61</v>
      </c>
      <c r="J592" s="2" t="s">
        <v>40</v>
      </c>
      <c r="K592" s="2" t="s">
        <v>2114</v>
      </c>
      <c r="L592" s="2" t="s">
        <v>55</v>
      </c>
      <c r="M592" s="2" t="s">
        <v>2115</v>
      </c>
      <c r="N592" s="2" t="s">
        <v>35</v>
      </c>
      <c r="O592" s="2" t="s">
        <v>810</v>
      </c>
      <c r="P592" s="2" t="s">
        <v>35</v>
      </c>
      <c r="Q592" s="2" t="s">
        <v>35</v>
      </c>
    </row>
    <row r="593" spans="1:17" ht="144">
      <c r="A593" s="8" t="str">
        <f>HYPERLINK("http://sipi.sic.gov.co/sipi/View.ashx?4442510","SD2022/0114831")</f>
        <v>SD2022/0114831</v>
      </c>
      <c r="B593" s="2" t="s">
        <v>2116</v>
      </c>
      <c r="C593" s="2" t="s">
        <v>35</v>
      </c>
      <c r="D593" s="2" t="s">
        <v>359</v>
      </c>
      <c r="E593" s="2" t="s">
        <v>35</v>
      </c>
      <c r="F593" s="2" t="s">
        <v>37</v>
      </c>
      <c r="G593" s="2" t="s">
        <v>2117</v>
      </c>
      <c r="H593" s="2" t="s">
        <v>2118</v>
      </c>
      <c r="I593" s="2" t="s">
        <v>12</v>
      </c>
      <c r="J593" s="2" t="s">
        <v>40</v>
      </c>
      <c r="K593" s="2" t="s">
        <v>2119</v>
      </c>
      <c r="L593" s="2" t="s">
        <v>55</v>
      </c>
      <c r="M593" s="2" t="s">
        <v>332</v>
      </c>
      <c r="N593" s="2" t="s">
        <v>35</v>
      </c>
      <c r="O593" s="2" t="s">
        <v>1574</v>
      </c>
      <c r="P593" s="2" t="s">
        <v>35</v>
      </c>
      <c r="Q593" s="2" t="s">
        <v>35</v>
      </c>
    </row>
    <row r="594" spans="1:17" ht="158.4">
      <c r="A594" s="8" t="str">
        <f>HYPERLINK("http://sipi.sic.gov.co/sipi/View.ashx?4442601","SD2022/0114843")</f>
        <v>SD2022/0114843</v>
      </c>
      <c r="B594" s="2" t="s">
        <v>2120</v>
      </c>
      <c r="C594" s="2" t="s">
        <v>35</v>
      </c>
      <c r="D594" s="2" t="s">
        <v>359</v>
      </c>
      <c r="E594" s="2" t="s">
        <v>35</v>
      </c>
      <c r="F594" s="2" t="s">
        <v>37</v>
      </c>
      <c r="G594" s="2" t="s">
        <v>464</v>
      </c>
      <c r="H594" s="2" t="s">
        <v>2121</v>
      </c>
      <c r="I594" s="2" t="s">
        <v>12</v>
      </c>
      <c r="J594" s="2" t="s">
        <v>40</v>
      </c>
      <c r="K594" s="2" t="s">
        <v>2122</v>
      </c>
      <c r="L594" s="2" t="s">
        <v>55</v>
      </c>
      <c r="M594" s="2" t="s">
        <v>110</v>
      </c>
      <c r="N594" s="2" t="s">
        <v>35</v>
      </c>
      <c r="O594" s="2" t="s">
        <v>1574</v>
      </c>
      <c r="P594" s="2" t="s">
        <v>35</v>
      </c>
      <c r="Q594" s="2" t="s">
        <v>35</v>
      </c>
    </row>
    <row r="595" spans="1:17" ht="158.4">
      <c r="A595" s="8" t="str">
        <f>HYPERLINK("http://sipi.sic.gov.co/sipi/View.ashx?4445135","SD2022/0115370")</f>
        <v>SD2022/0115370</v>
      </c>
      <c r="B595" s="2" t="s">
        <v>2123</v>
      </c>
      <c r="C595" s="2" t="s">
        <v>35</v>
      </c>
      <c r="D595" s="2" t="s">
        <v>2124</v>
      </c>
      <c r="E595" s="2" t="s">
        <v>35</v>
      </c>
      <c r="F595" s="2" t="s">
        <v>37</v>
      </c>
      <c r="G595" s="2" t="s">
        <v>35</v>
      </c>
      <c r="H595" s="2" t="s">
        <v>2125</v>
      </c>
      <c r="I595" s="2" t="s">
        <v>12</v>
      </c>
      <c r="J595" s="2" t="s">
        <v>40</v>
      </c>
      <c r="K595" s="2" t="s">
        <v>2126</v>
      </c>
      <c r="L595" s="2" t="s">
        <v>42</v>
      </c>
      <c r="M595" s="2" t="s">
        <v>1741</v>
      </c>
      <c r="N595" s="2" t="s">
        <v>35</v>
      </c>
      <c r="O595" s="2" t="s">
        <v>1424</v>
      </c>
      <c r="P595" s="2" t="s">
        <v>35</v>
      </c>
      <c r="Q595" s="2" t="s">
        <v>35</v>
      </c>
    </row>
    <row r="596" spans="1:17" ht="187.2">
      <c r="A596" s="8" t="str">
        <f>HYPERLINK("http://sipi.sic.gov.co/sipi/View.ashx?4446684","SD2022/0131725")</f>
        <v>SD2022/0131725</v>
      </c>
      <c r="B596" s="2" t="s">
        <v>2127</v>
      </c>
      <c r="C596" s="7" t="s">
        <v>35</v>
      </c>
      <c r="D596" s="2" t="s">
        <v>2128</v>
      </c>
      <c r="E596" s="2" t="s">
        <v>35</v>
      </c>
      <c r="F596" s="2" t="s">
        <v>37</v>
      </c>
      <c r="G596" s="2" t="s">
        <v>2127</v>
      </c>
      <c r="H596" s="2" t="s">
        <v>2129</v>
      </c>
      <c r="I596" s="2" t="s">
        <v>12</v>
      </c>
      <c r="J596" s="2" t="s">
        <v>40</v>
      </c>
      <c r="K596" s="2" t="s">
        <v>2130</v>
      </c>
      <c r="L596" s="2" t="s">
        <v>42</v>
      </c>
      <c r="M596" s="2" t="s">
        <v>612</v>
      </c>
      <c r="N596" s="2" t="s">
        <v>35</v>
      </c>
      <c r="O596" s="2" t="s">
        <v>1409</v>
      </c>
      <c r="P596" s="2" t="s">
        <v>35</v>
      </c>
      <c r="Q596" s="2" t="s">
        <v>35</v>
      </c>
    </row>
    <row r="597" spans="1:17" ht="129.6">
      <c r="A597" s="8" t="str">
        <f>HYPERLINK("http://sipi.sic.gov.co/sipi/View.ashx?4447076","SD2022/0115921")</f>
        <v>SD2022/0115921</v>
      </c>
      <c r="B597" s="2" t="s">
        <v>2131</v>
      </c>
      <c r="C597" s="7" t="s">
        <v>35</v>
      </c>
      <c r="D597" s="2" t="s">
        <v>2132</v>
      </c>
      <c r="E597" s="2" t="s">
        <v>35</v>
      </c>
      <c r="F597" s="2" t="s">
        <v>37</v>
      </c>
      <c r="G597" s="2" t="s">
        <v>2133</v>
      </c>
      <c r="H597" s="2" t="s">
        <v>2134</v>
      </c>
      <c r="I597" s="2" t="s">
        <v>61</v>
      </c>
      <c r="J597" s="2" t="s">
        <v>40</v>
      </c>
      <c r="K597" s="2" t="s">
        <v>2135</v>
      </c>
      <c r="L597" s="2" t="s">
        <v>55</v>
      </c>
      <c r="M597" s="2" t="s">
        <v>2136</v>
      </c>
      <c r="N597" s="2" t="s">
        <v>35</v>
      </c>
      <c r="O597" s="2" t="s">
        <v>1424</v>
      </c>
      <c r="P597" s="2" t="s">
        <v>35</v>
      </c>
      <c r="Q597" s="2" t="s">
        <v>35</v>
      </c>
    </row>
    <row r="598" spans="1:17" ht="129.6">
      <c r="A598" s="8" t="str">
        <f>HYPERLINK("http://sipi.sic.gov.co/sipi/View.ashx?4447262","SD2022/0115983")</f>
        <v>SD2022/0115983</v>
      </c>
      <c r="B598" s="2" t="s">
        <v>2137</v>
      </c>
      <c r="C598" s="2" t="s">
        <v>35</v>
      </c>
      <c r="D598" s="2" t="s">
        <v>2132</v>
      </c>
      <c r="E598" s="2" t="s">
        <v>35</v>
      </c>
      <c r="F598" s="2" t="s">
        <v>37</v>
      </c>
      <c r="G598" s="2" t="s">
        <v>35</v>
      </c>
      <c r="H598" s="2" t="s">
        <v>2100</v>
      </c>
      <c r="I598" s="2" t="s">
        <v>12</v>
      </c>
      <c r="J598" s="2" t="s">
        <v>40</v>
      </c>
      <c r="K598" s="2" t="s">
        <v>2138</v>
      </c>
      <c r="L598" s="2" t="s">
        <v>42</v>
      </c>
      <c r="M598" s="2" t="s">
        <v>1913</v>
      </c>
      <c r="N598" s="2" t="s">
        <v>35</v>
      </c>
      <c r="O598" s="2" t="s">
        <v>493</v>
      </c>
      <c r="P598" s="2" t="s">
        <v>35</v>
      </c>
      <c r="Q598" s="2" t="s">
        <v>35</v>
      </c>
    </row>
    <row r="599" spans="1:17" ht="144">
      <c r="A599" s="8" t="str">
        <f>HYPERLINK("http://sipi.sic.gov.co/sipi/View.ashx?4447321","SD2022/0115995")</f>
        <v>SD2022/0115995</v>
      </c>
      <c r="B599" s="2" t="s">
        <v>2139</v>
      </c>
      <c r="C599" s="7" t="s">
        <v>35</v>
      </c>
      <c r="D599" s="2" t="s">
        <v>2132</v>
      </c>
      <c r="E599" s="2" t="s">
        <v>35</v>
      </c>
      <c r="F599" s="2" t="s">
        <v>37</v>
      </c>
      <c r="G599" s="2" t="s">
        <v>2139</v>
      </c>
      <c r="H599" s="2" t="s">
        <v>2140</v>
      </c>
      <c r="I599" s="2" t="s">
        <v>12</v>
      </c>
      <c r="J599" s="2" t="s">
        <v>40</v>
      </c>
      <c r="K599" s="2" t="s">
        <v>2141</v>
      </c>
      <c r="L599" s="2" t="s">
        <v>55</v>
      </c>
      <c r="M599" s="2" t="s">
        <v>1037</v>
      </c>
      <c r="N599" s="2" t="s">
        <v>35</v>
      </c>
      <c r="O599" s="2" t="s">
        <v>810</v>
      </c>
      <c r="P599" s="2" t="s">
        <v>35</v>
      </c>
      <c r="Q599" s="2" t="s">
        <v>35</v>
      </c>
    </row>
    <row r="600" spans="1:17" ht="86.4">
      <c r="A600" s="8" t="str">
        <f>HYPERLINK("http://sipi.sic.gov.co/sipi/View.ashx?4447457","SD2022/0116034")</f>
        <v>SD2022/0116034</v>
      </c>
      <c r="B600" s="2" t="s">
        <v>2142</v>
      </c>
      <c r="C600" s="7" t="s">
        <v>35</v>
      </c>
      <c r="D600" s="2" t="s">
        <v>2132</v>
      </c>
      <c r="E600" s="2" t="s">
        <v>35</v>
      </c>
      <c r="F600" s="2" t="s">
        <v>37</v>
      </c>
      <c r="G600" s="2" t="s">
        <v>2142</v>
      </c>
      <c r="H600" s="2" t="s">
        <v>2109</v>
      </c>
      <c r="I600" s="2" t="s">
        <v>12</v>
      </c>
      <c r="J600" s="2" t="s">
        <v>40</v>
      </c>
      <c r="K600" s="2" t="s">
        <v>2143</v>
      </c>
      <c r="L600" s="2" t="s">
        <v>42</v>
      </c>
      <c r="M600" s="2" t="s">
        <v>35</v>
      </c>
      <c r="N600" s="2" t="s">
        <v>35</v>
      </c>
      <c r="O600" s="2" t="s">
        <v>1424</v>
      </c>
      <c r="P600" s="2" t="s">
        <v>35</v>
      </c>
      <c r="Q600" s="2" t="s">
        <v>35</v>
      </c>
    </row>
    <row r="601" spans="1:17" ht="129.6">
      <c r="A601" s="8" t="str">
        <f>HYPERLINK("http://sipi.sic.gov.co/sipi/View.ashx?4448180","SD2022/0121153")</f>
        <v>SD2022/0121153</v>
      </c>
      <c r="B601" s="2" t="s">
        <v>2144</v>
      </c>
      <c r="C601" s="2" t="s">
        <v>35</v>
      </c>
      <c r="D601" s="2" t="s">
        <v>2145</v>
      </c>
      <c r="E601" s="2" t="s">
        <v>35</v>
      </c>
      <c r="F601" s="2" t="s">
        <v>37</v>
      </c>
      <c r="G601" s="2" t="s">
        <v>2146</v>
      </c>
      <c r="H601" s="2" t="s">
        <v>2147</v>
      </c>
      <c r="I601" s="2" t="s">
        <v>12</v>
      </c>
      <c r="J601" s="2" t="s">
        <v>40</v>
      </c>
      <c r="K601" s="2" t="s">
        <v>41</v>
      </c>
      <c r="L601" s="2" t="s">
        <v>55</v>
      </c>
      <c r="M601" s="2" t="s">
        <v>2148</v>
      </c>
      <c r="N601" s="2" t="s">
        <v>35</v>
      </c>
      <c r="O601" s="2" t="s">
        <v>2149</v>
      </c>
      <c r="P601" s="2" t="s">
        <v>35</v>
      </c>
      <c r="Q601" s="2" t="s">
        <v>35</v>
      </c>
    </row>
    <row r="602" spans="1:17" ht="76.8">
      <c r="A602" s="8" t="str">
        <f>HYPERLINK("http://sipi.sic.gov.co/sipi/View.ashx?4448368","SD2022/0119945")</f>
        <v>SD2022/0119945</v>
      </c>
      <c r="B602" s="2" t="s">
        <v>2150</v>
      </c>
      <c r="C602" s="7" t="s">
        <v>35</v>
      </c>
      <c r="D602" s="2" t="s">
        <v>2151</v>
      </c>
      <c r="E602" s="2" t="s">
        <v>35</v>
      </c>
      <c r="F602" s="2" t="s">
        <v>37</v>
      </c>
      <c r="G602" s="2" t="s">
        <v>2152</v>
      </c>
      <c r="H602" s="2" t="s">
        <v>2153</v>
      </c>
      <c r="I602" s="2" t="s">
        <v>61</v>
      </c>
      <c r="J602" s="2" t="s">
        <v>40</v>
      </c>
      <c r="K602" s="2" t="s">
        <v>2154</v>
      </c>
      <c r="L602" s="2" t="s">
        <v>55</v>
      </c>
      <c r="M602" s="2" t="s">
        <v>35</v>
      </c>
      <c r="N602" s="2" t="s">
        <v>35</v>
      </c>
      <c r="O602" s="2" t="s">
        <v>1687</v>
      </c>
      <c r="P602" s="2" t="s">
        <v>35</v>
      </c>
      <c r="Q602" s="2" t="s">
        <v>35</v>
      </c>
    </row>
    <row r="603" spans="1:17" ht="409.6">
      <c r="A603" s="8" t="str">
        <f>HYPERLINK("http://sipi.sic.gov.co/sipi/View.ashx?4450536","SD2022/0116912")</f>
        <v>SD2022/0116912</v>
      </c>
      <c r="B603" s="2" t="s">
        <v>2155</v>
      </c>
      <c r="C603" s="7" t="s">
        <v>35</v>
      </c>
      <c r="D603" s="2" t="s">
        <v>2156</v>
      </c>
      <c r="E603" s="2" t="s">
        <v>35</v>
      </c>
      <c r="F603" s="2" t="s">
        <v>37</v>
      </c>
      <c r="G603" s="2" t="s">
        <v>2157</v>
      </c>
      <c r="H603" s="2" t="s">
        <v>2158</v>
      </c>
      <c r="I603" s="2" t="s">
        <v>2159</v>
      </c>
      <c r="J603" s="2" t="s">
        <v>40</v>
      </c>
      <c r="K603" s="2" t="s">
        <v>2160</v>
      </c>
      <c r="L603" s="2" t="s">
        <v>42</v>
      </c>
      <c r="M603" s="2" t="s">
        <v>35</v>
      </c>
      <c r="N603" s="2" t="s">
        <v>35</v>
      </c>
      <c r="O603" s="2" t="s">
        <v>1476</v>
      </c>
      <c r="P603" s="2" t="s">
        <v>35</v>
      </c>
      <c r="Q603" s="2" t="s">
        <v>35</v>
      </c>
    </row>
    <row r="604" spans="1:17" ht="115.2">
      <c r="A604" s="8" t="str">
        <f>HYPERLINK("http://sipi.sic.gov.co/sipi/View.ashx?4452763","SD2022/0117395")</f>
        <v>SD2022/0117395</v>
      </c>
      <c r="B604" s="2" t="s">
        <v>2161</v>
      </c>
      <c r="C604" s="2" t="s">
        <v>35</v>
      </c>
      <c r="D604" s="2" t="s">
        <v>2162</v>
      </c>
      <c r="E604" s="2" t="s">
        <v>35</v>
      </c>
      <c r="F604" s="2" t="s">
        <v>37</v>
      </c>
      <c r="G604" s="2" t="s">
        <v>35</v>
      </c>
      <c r="H604" s="2" t="s">
        <v>1151</v>
      </c>
      <c r="I604" s="2" t="s">
        <v>12</v>
      </c>
      <c r="J604" s="2" t="s">
        <v>40</v>
      </c>
      <c r="K604" s="2" t="s">
        <v>2163</v>
      </c>
      <c r="L604" s="2" t="s">
        <v>42</v>
      </c>
      <c r="M604" s="2" t="s">
        <v>1153</v>
      </c>
      <c r="N604" s="2" t="s">
        <v>35</v>
      </c>
      <c r="O604" s="2" t="s">
        <v>810</v>
      </c>
      <c r="P604" s="2" t="s">
        <v>35</v>
      </c>
      <c r="Q604" s="2" t="s">
        <v>35</v>
      </c>
    </row>
    <row r="605" spans="1:17" ht="86.4">
      <c r="A605" s="8" t="str">
        <f>HYPERLINK("http://sipi.sic.gov.co/sipi/View.ashx?4454670","SD2022/0117828")</f>
        <v>SD2022/0117828</v>
      </c>
      <c r="B605" s="2" t="s">
        <v>2164</v>
      </c>
      <c r="C605" s="7" t="s">
        <v>35</v>
      </c>
      <c r="D605" s="2" t="s">
        <v>2165</v>
      </c>
      <c r="E605" s="2" t="s">
        <v>35</v>
      </c>
      <c r="F605" s="2" t="s">
        <v>37</v>
      </c>
      <c r="G605" s="2" t="s">
        <v>35</v>
      </c>
      <c r="H605" s="2" t="s">
        <v>713</v>
      </c>
      <c r="I605" s="2" t="s">
        <v>12</v>
      </c>
      <c r="J605" s="2" t="s">
        <v>40</v>
      </c>
      <c r="K605" s="2" t="s">
        <v>2166</v>
      </c>
      <c r="L605" s="2" t="s">
        <v>55</v>
      </c>
      <c r="M605" s="2" t="s">
        <v>35</v>
      </c>
      <c r="N605" s="2" t="s">
        <v>35</v>
      </c>
      <c r="O605" s="2" t="s">
        <v>1286</v>
      </c>
      <c r="P605" s="2" t="s">
        <v>35</v>
      </c>
      <c r="Q605" s="2" t="s">
        <v>35</v>
      </c>
    </row>
    <row r="606" spans="1:17" ht="129.6">
      <c r="A606" s="8" t="str">
        <f>HYPERLINK("http://sipi.sic.gov.co/sipi/View.ashx?4454871","SD2022/0123727")</f>
        <v>SD2022/0123727</v>
      </c>
      <c r="B606" s="2" t="s">
        <v>2167</v>
      </c>
      <c r="C606" s="7" t="s">
        <v>35</v>
      </c>
      <c r="D606" s="2" t="s">
        <v>2168</v>
      </c>
      <c r="E606" s="2" t="s">
        <v>35</v>
      </c>
      <c r="F606" s="2" t="s">
        <v>37</v>
      </c>
      <c r="G606" s="2" t="s">
        <v>2169</v>
      </c>
      <c r="H606" s="2" t="s">
        <v>2170</v>
      </c>
      <c r="I606" s="2" t="s">
        <v>2171</v>
      </c>
      <c r="J606" s="2" t="s">
        <v>40</v>
      </c>
      <c r="K606" s="2" t="s">
        <v>2172</v>
      </c>
      <c r="L606" s="2" t="s">
        <v>55</v>
      </c>
      <c r="M606" s="2" t="s">
        <v>2173</v>
      </c>
      <c r="N606" s="2" t="s">
        <v>35</v>
      </c>
      <c r="O606" s="2" t="s">
        <v>1476</v>
      </c>
      <c r="P606" s="2" t="s">
        <v>35</v>
      </c>
      <c r="Q606" s="2" t="s">
        <v>35</v>
      </c>
    </row>
    <row r="607" spans="1:17" ht="86.4">
      <c r="A607" s="8" t="str">
        <f>HYPERLINK("http://sipi.sic.gov.co/sipi/View.ashx?4455354","SD2022/0117991")</f>
        <v>SD2022/0117991</v>
      </c>
      <c r="B607" s="2" t="s">
        <v>2174</v>
      </c>
      <c r="C607" s="7" t="s">
        <v>35</v>
      </c>
      <c r="D607" s="2" t="s">
        <v>2165</v>
      </c>
      <c r="E607" s="2" t="s">
        <v>35</v>
      </c>
      <c r="F607" s="2" t="s">
        <v>37</v>
      </c>
      <c r="G607" s="2" t="s">
        <v>35</v>
      </c>
      <c r="H607" s="2" t="s">
        <v>713</v>
      </c>
      <c r="I607" s="2" t="s">
        <v>12</v>
      </c>
      <c r="J607" s="2" t="s">
        <v>40</v>
      </c>
      <c r="K607" s="2" t="s">
        <v>2166</v>
      </c>
      <c r="L607" s="2" t="s">
        <v>42</v>
      </c>
      <c r="M607" s="2" t="s">
        <v>35</v>
      </c>
      <c r="N607" s="2" t="s">
        <v>35</v>
      </c>
      <c r="O607" s="2" t="s">
        <v>2175</v>
      </c>
      <c r="P607" s="2" t="s">
        <v>35</v>
      </c>
      <c r="Q607" s="2" t="s">
        <v>35</v>
      </c>
    </row>
    <row r="608" spans="1:17" ht="86.4">
      <c r="A608" s="8" t="str">
        <f>HYPERLINK("http://sipi.sic.gov.co/sipi/View.ashx?4455483","SD2022/0118027")</f>
        <v>SD2022/0118027</v>
      </c>
      <c r="B608" s="2" t="s">
        <v>2176</v>
      </c>
      <c r="C608" s="7" t="s">
        <v>35</v>
      </c>
      <c r="D608" s="2" t="s">
        <v>2165</v>
      </c>
      <c r="E608" s="2" t="s">
        <v>35</v>
      </c>
      <c r="F608" s="2" t="s">
        <v>37</v>
      </c>
      <c r="G608" s="2" t="s">
        <v>35</v>
      </c>
      <c r="H608" s="2" t="s">
        <v>713</v>
      </c>
      <c r="I608" s="2" t="s">
        <v>12</v>
      </c>
      <c r="J608" s="2" t="s">
        <v>40</v>
      </c>
      <c r="K608" s="2" t="s">
        <v>2166</v>
      </c>
      <c r="L608" s="2" t="s">
        <v>42</v>
      </c>
      <c r="M608" s="2" t="s">
        <v>35</v>
      </c>
      <c r="N608" s="2" t="s">
        <v>35</v>
      </c>
      <c r="O608" s="2" t="s">
        <v>2149</v>
      </c>
      <c r="P608" s="2" t="s">
        <v>35</v>
      </c>
      <c r="Q608" s="2" t="s">
        <v>35</v>
      </c>
    </row>
    <row r="609" spans="1:17" ht="86.4">
      <c r="A609" s="8" t="str">
        <f>HYPERLINK("http://sipi.sic.gov.co/sipi/View.ashx?4455562","SD2022/0118045")</f>
        <v>SD2022/0118045</v>
      </c>
      <c r="B609" s="2" t="s">
        <v>2177</v>
      </c>
      <c r="C609" s="7" t="s">
        <v>35</v>
      </c>
      <c r="D609" s="2" t="s">
        <v>2165</v>
      </c>
      <c r="E609" s="2" t="s">
        <v>35</v>
      </c>
      <c r="F609" s="2" t="s">
        <v>37</v>
      </c>
      <c r="G609" s="2" t="s">
        <v>35</v>
      </c>
      <c r="H609" s="2" t="s">
        <v>713</v>
      </c>
      <c r="I609" s="2" t="s">
        <v>12</v>
      </c>
      <c r="J609" s="2" t="s">
        <v>40</v>
      </c>
      <c r="K609" s="2" t="s">
        <v>2166</v>
      </c>
      <c r="L609" s="2" t="s">
        <v>55</v>
      </c>
      <c r="M609" s="2" t="s">
        <v>35</v>
      </c>
      <c r="N609" s="2" t="s">
        <v>35</v>
      </c>
      <c r="O609" s="2" t="s">
        <v>2149</v>
      </c>
      <c r="P609" s="2" t="s">
        <v>35</v>
      </c>
      <c r="Q609" s="2" t="s">
        <v>35</v>
      </c>
    </row>
    <row r="610" spans="1:17" ht="86.4">
      <c r="A610" s="8" t="str">
        <f>HYPERLINK("http://sipi.sic.gov.co/sipi/View.ashx?4455935","SD2022/0118115")</f>
        <v>SD2022/0118115</v>
      </c>
      <c r="B610" s="2" t="s">
        <v>2178</v>
      </c>
      <c r="C610" s="7" t="s">
        <v>35</v>
      </c>
      <c r="D610" s="2" t="s">
        <v>2165</v>
      </c>
      <c r="E610" s="2" t="s">
        <v>35</v>
      </c>
      <c r="F610" s="2" t="s">
        <v>37</v>
      </c>
      <c r="G610" s="2" t="s">
        <v>35</v>
      </c>
      <c r="H610" s="2" t="s">
        <v>713</v>
      </c>
      <c r="I610" s="2" t="s">
        <v>12</v>
      </c>
      <c r="J610" s="2" t="s">
        <v>40</v>
      </c>
      <c r="K610" s="2" t="s">
        <v>2166</v>
      </c>
      <c r="L610" s="2" t="s">
        <v>42</v>
      </c>
      <c r="M610" s="2" t="s">
        <v>35</v>
      </c>
      <c r="N610" s="2" t="s">
        <v>35</v>
      </c>
      <c r="O610" s="2" t="s">
        <v>2179</v>
      </c>
      <c r="P610" s="2" t="s">
        <v>35</v>
      </c>
      <c r="Q610" s="2" t="s">
        <v>35</v>
      </c>
    </row>
    <row r="611" spans="1:17" ht="201.6">
      <c r="A611" s="8" t="str">
        <f>HYPERLINK("http://sipi.sic.gov.co/sipi/View.ashx?4457128","SD2022/0119022")</f>
        <v>SD2022/0119022</v>
      </c>
      <c r="B611" s="2" t="s">
        <v>2180</v>
      </c>
      <c r="C611" s="2" t="s">
        <v>35</v>
      </c>
      <c r="D611" s="2" t="s">
        <v>810</v>
      </c>
      <c r="E611" s="2" t="s">
        <v>35</v>
      </c>
      <c r="F611" s="2" t="s">
        <v>37</v>
      </c>
      <c r="G611" s="2" t="s">
        <v>2180</v>
      </c>
      <c r="H611" s="2" t="s">
        <v>347</v>
      </c>
      <c r="I611" s="2" t="s">
        <v>61</v>
      </c>
      <c r="J611" s="2" t="s">
        <v>40</v>
      </c>
      <c r="K611" s="2" t="s">
        <v>686</v>
      </c>
      <c r="L611" s="2" t="s">
        <v>55</v>
      </c>
      <c r="M611" s="2" t="s">
        <v>63</v>
      </c>
      <c r="N611" s="2" t="s">
        <v>35</v>
      </c>
      <c r="O611" s="2" t="s">
        <v>1409</v>
      </c>
      <c r="P611" s="2" t="s">
        <v>35</v>
      </c>
      <c r="Q611" s="2" t="s">
        <v>35</v>
      </c>
    </row>
    <row r="612" spans="1:17" ht="129.6">
      <c r="A612" s="8" t="str">
        <f>HYPERLINK("http://sipi.sic.gov.co/sipi/View.ashx?4457405","SD2022/0118555")</f>
        <v>SD2022/0118555</v>
      </c>
      <c r="B612" s="2" t="s">
        <v>2181</v>
      </c>
      <c r="C612" s="7" t="s">
        <v>35</v>
      </c>
      <c r="D612" s="2" t="s">
        <v>2182</v>
      </c>
      <c r="E612" s="2" t="s">
        <v>35</v>
      </c>
      <c r="F612" s="2" t="s">
        <v>37</v>
      </c>
      <c r="G612" s="2" t="s">
        <v>2183</v>
      </c>
      <c r="H612" s="2" t="s">
        <v>2184</v>
      </c>
      <c r="I612" s="2" t="s">
        <v>12</v>
      </c>
      <c r="J612" s="2" t="s">
        <v>40</v>
      </c>
      <c r="K612" s="2" t="s">
        <v>2185</v>
      </c>
      <c r="L612" s="2" t="s">
        <v>42</v>
      </c>
      <c r="M612" s="2" t="s">
        <v>417</v>
      </c>
      <c r="N612" s="2" t="s">
        <v>35</v>
      </c>
      <c r="O612" s="2" t="s">
        <v>1409</v>
      </c>
      <c r="P612" s="2" t="s">
        <v>35</v>
      </c>
      <c r="Q612" s="2" t="s">
        <v>35</v>
      </c>
    </row>
    <row r="613" spans="1:17" ht="115.2">
      <c r="A613" s="8" t="str">
        <f>HYPERLINK("http://sipi.sic.gov.co/sipi/View.ashx?4459292","SD2022/0118977")</f>
        <v>SD2022/0118977</v>
      </c>
      <c r="B613" s="2" t="s">
        <v>2186</v>
      </c>
      <c r="C613" s="2" t="s">
        <v>35</v>
      </c>
      <c r="D613" s="2" t="s">
        <v>810</v>
      </c>
      <c r="E613" s="2" t="s">
        <v>35</v>
      </c>
      <c r="F613" s="2" t="s">
        <v>37</v>
      </c>
      <c r="G613" s="2" t="s">
        <v>2187</v>
      </c>
      <c r="H613" s="2" t="s">
        <v>2188</v>
      </c>
      <c r="I613" s="2" t="s">
        <v>444</v>
      </c>
      <c r="J613" s="2" t="s">
        <v>40</v>
      </c>
      <c r="K613" s="2" t="s">
        <v>2189</v>
      </c>
      <c r="L613" s="2" t="s">
        <v>42</v>
      </c>
      <c r="M613" s="2" t="s">
        <v>197</v>
      </c>
      <c r="N613" s="2" t="s">
        <v>35</v>
      </c>
      <c r="O613" s="2" t="s">
        <v>1409</v>
      </c>
      <c r="P613" s="2" t="s">
        <v>35</v>
      </c>
      <c r="Q613" s="2" t="s">
        <v>35</v>
      </c>
    </row>
    <row r="614" spans="1:17" ht="129.6">
      <c r="A614" s="8" t="str">
        <f>HYPERLINK("http://sipi.sic.gov.co/sipi/View.ashx?4459813","SD2022/0119125")</f>
        <v>SD2022/0119125</v>
      </c>
      <c r="B614" s="2" t="s">
        <v>2190</v>
      </c>
      <c r="C614" s="2" t="s">
        <v>35</v>
      </c>
      <c r="D614" s="2" t="s">
        <v>810</v>
      </c>
      <c r="E614" s="2" t="s">
        <v>35</v>
      </c>
      <c r="F614" s="2" t="s">
        <v>37</v>
      </c>
      <c r="G614" s="2" t="s">
        <v>2191</v>
      </c>
      <c r="H614" s="2" t="s">
        <v>2192</v>
      </c>
      <c r="I614" s="2" t="s">
        <v>12</v>
      </c>
      <c r="J614" s="2" t="s">
        <v>40</v>
      </c>
      <c r="K614" s="2" t="s">
        <v>2193</v>
      </c>
      <c r="L614" s="2" t="s">
        <v>42</v>
      </c>
      <c r="M614" s="2" t="s">
        <v>409</v>
      </c>
      <c r="N614" s="2" t="s">
        <v>35</v>
      </c>
      <c r="O614" s="2" t="s">
        <v>1476</v>
      </c>
      <c r="P614" s="2" t="s">
        <v>35</v>
      </c>
      <c r="Q614" s="2" t="s">
        <v>35</v>
      </c>
    </row>
    <row r="615" spans="1:17" ht="158.4">
      <c r="A615" s="8" t="str">
        <f>HYPERLINK("http://sipi.sic.gov.co/sipi/View.ashx?4460309","SD2022/0119297")</f>
        <v>SD2022/0119297</v>
      </c>
      <c r="B615" s="2" t="s">
        <v>2194</v>
      </c>
      <c r="C615" s="7" t="s">
        <v>35</v>
      </c>
      <c r="D615" s="2" t="s">
        <v>810</v>
      </c>
      <c r="E615" s="2" t="s">
        <v>35</v>
      </c>
      <c r="F615" s="2" t="s">
        <v>37</v>
      </c>
      <c r="G615" s="2" t="s">
        <v>2195</v>
      </c>
      <c r="H615" s="2" t="s">
        <v>2196</v>
      </c>
      <c r="I615" s="2" t="s">
        <v>113</v>
      </c>
      <c r="J615" s="2" t="s">
        <v>40</v>
      </c>
      <c r="K615" s="2" t="s">
        <v>2197</v>
      </c>
      <c r="L615" s="2" t="s">
        <v>42</v>
      </c>
      <c r="M615" s="2" t="s">
        <v>35</v>
      </c>
      <c r="N615" s="2" t="s">
        <v>35</v>
      </c>
      <c r="O615" s="2" t="s">
        <v>2149</v>
      </c>
      <c r="P615" s="2" t="s">
        <v>35</v>
      </c>
      <c r="Q615" s="2" t="s">
        <v>35</v>
      </c>
    </row>
    <row r="616" spans="1:17" ht="172.8">
      <c r="A616" s="8" t="str">
        <f>HYPERLINK("http://sipi.sic.gov.co/sipi/View.ashx?4460364","SD2022/0119289")</f>
        <v>SD2022/0119289</v>
      </c>
      <c r="B616" s="2" t="s">
        <v>2198</v>
      </c>
      <c r="C616" s="2" t="s">
        <v>35</v>
      </c>
      <c r="D616" s="2" t="s">
        <v>810</v>
      </c>
      <c r="E616" s="2" t="s">
        <v>35</v>
      </c>
      <c r="F616" s="2" t="s">
        <v>37</v>
      </c>
      <c r="G616" s="2" t="s">
        <v>35</v>
      </c>
      <c r="H616" s="2" t="s">
        <v>2199</v>
      </c>
      <c r="I616" s="2" t="s">
        <v>61</v>
      </c>
      <c r="J616" s="2" t="s">
        <v>40</v>
      </c>
      <c r="K616" s="2" t="s">
        <v>2200</v>
      </c>
      <c r="L616" s="2" t="s">
        <v>42</v>
      </c>
      <c r="M616" s="2" t="s">
        <v>1076</v>
      </c>
      <c r="N616" s="2" t="s">
        <v>35</v>
      </c>
      <c r="O616" s="2" t="s">
        <v>2089</v>
      </c>
      <c r="P616" s="2" t="s">
        <v>35</v>
      </c>
      <c r="Q616" s="2" t="s">
        <v>35</v>
      </c>
    </row>
    <row r="617" spans="1:17" ht="129.6">
      <c r="A617" s="8" t="str">
        <f>HYPERLINK("http://sipi.sic.gov.co/sipi/View.ashx?4460539","SD2022/0119322")</f>
        <v>SD2022/0119322</v>
      </c>
      <c r="B617" s="2" t="s">
        <v>2201</v>
      </c>
      <c r="C617" s="2" t="s">
        <v>35</v>
      </c>
      <c r="D617" s="2" t="s">
        <v>810</v>
      </c>
      <c r="E617" s="2" t="s">
        <v>35</v>
      </c>
      <c r="F617" s="2" t="s">
        <v>37</v>
      </c>
      <c r="G617" s="2" t="s">
        <v>35</v>
      </c>
      <c r="H617" s="2" t="s">
        <v>2202</v>
      </c>
      <c r="I617" s="2" t="s">
        <v>12</v>
      </c>
      <c r="J617" s="2" t="s">
        <v>40</v>
      </c>
      <c r="K617" s="2" t="s">
        <v>2203</v>
      </c>
      <c r="L617" s="2" t="s">
        <v>42</v>
      </c>
      <c r="M617" s="2" t="s">
        <v>371</v>
      </c>
      <c r="N617" s="2" t="s">
        <v>35</v>
      </c>
      <c r="O617" s="2" t="s">
        <v>1409</v>
      </c>
      <c r="P617" s="2" t="s">
        <v>35</v>
      </c>
      <c r="Q617" s="2" t="s">
        <v>35</v>
      </c>
    </row>
    <row r="618" spans="1:17" ht="187.2">
      <c r="A618" s="8" t="str">
        <f>HYPERLINK("http://sipi.sic.gov.co/sipi/View.ashx?4460994","SD2022/0119465")</f>
        <v>SD2022/0119465</v>
      </c>
      <c r="B618" s="2" t="s">
        <v>2204</v>
      </c>
      <c r="C618" s="2" t="s">
        <v>35</v>
      </c>
      <c r="D618" s="2" t="s">
        <v>810</v>
      </c>
      <c r="E618" s="2" t="s">
        <v>35</v>
      </c>
      <c r="F618" s="2" t="s">
        <v>37</v>
      </c>
      <c r="G618" s="2" t="s">
        <v>2204</v>
      </c>
      <c r="H618" s="2" t="s">
        <v>2205</v>
      </c>
      <c r="I618" s="2" t="s">
        <v>12</v>
      </c>
      <c r="J618" s="2" t="s">
        <v>40</v>
      </c>
      <c r="K618" s="2" t="s">
        <v>2206</v>
      </c>
      <c r="L618" s="2" t="s">
        <v>42</v>
      </c>
      <c r="M618" s="2" t="s">
        <v>2207</v>
      </c>
      <c r="N618" s="2" t="s">
        <v>35</v>
      </c>
      <c r="O618" s="2" t="s">
        <v>1687</v>
      </c>
      <c r="P618" s="2" t="s">
        <v>35</v>
      </c>
      <c r="Q618" s="2" t="s">
        <v>35</v>
      </c>
    </row>
    <row r="619" spans="1:17" ht="158.4">
      <c r="A619" s="8" t="str">
        <f>HYPERLINK("http://sipi.sic.gov.co/sipi/View.ashx?4461243","SD2022/0119526")</f>
        <v>SD2022/0119526</v>
      </c>
      <c r="B619" s="2" t="s">
        <v>2208</v>
      </c>
      <c r="C619" s="7" t="s">
        <v>35</v>
      </c>
      <c r="D619" s="2" t="s">
        <v>810</v>
      </c>
      <c r="E619" s="2" t="s">
        <v>35</v>
      </c>
      <c r="F619" s="2" t="s">
        <v>37</v>
      </c>
      <c r="G619" s="2" t="s">
        <v>2208</v>
      </c>
      <c r="H619" s="2" t="s">
        <v>2196</v>
      </c>
      <c r="I619" s="2" t="s">
        <v>113</v>
      </c>
      <c r="J619" s="2" t="s">
        <v>40</v>
      </c>
      <c r="K619" s="2" t="s">
        <v>2209</v>
      </c>
      <c r="L619" s="2" t="s">
        <v>42</v>
      </c>
      <c r="M619" s="2" t="s">
        <v>35</v>
      </c>
      <c r="N619" s="2" t="s">
        <v>35</v>
      </c>
      <c r="O619" s="2" t="s">
        <v>1424</v>
      </c>
      <c r="P619" s="2" t="s">
        <v>35</v>
      </c>
      <c r="Q619" s="2" t="s">
        <v>35</v>
      </c>
    </row>
    <row r="620" spans="1:17" ht="158.4">
      <c r="A620" s="8" t="str">
        <f>HYPERLINK("http://sipi.sic.gov.co/sipi/View.ashx?4461247","SD2022/0119527")</f>
        <v>SD2022/0119527</v>
      </c>
      <c r="B620" s="2" t="s">
        <v>2210</v>
      </c>
      <c r="C620" s="7" t="s">
        <v>35</v>
      </c>
      <c r="D620" s="2" t="s">
        <v>810</v>
      </c>
      <c r="E620" s="2" t="s">
        <v>35</v>
      </c>
      <c r="F620" s="2" t="s">
        <v>37</v>
      </c>
      <c r="G620" s="2" t="s">
        <v>2210</v>
      </c>
      <c r="H620" s="2" t="s">
        <v>2196</v>
      </c>
      <c r="I620" s="2" t="s">
        <v>113</v>
      </c>
      <c r="J620" s="2" t="s">
        <v>40</v>
      </c>
      <c r="K620" s="2" t="s">
        <v>2209</v>
      </c>
      <c r="L620" s="2" t="s">
        <v>42</v>
      </c>
      <c r="M620" s="2" t="s">
        <v>35</v>
      </c>
      <c r="N620" s="2" t="s">
        <v>35</v>
      </c>
      <c r="O620" s="2" t="s">
        <v>1424</v>
      </c>
      <c r="P620" s="2" t="s">
        <v>35</v>
      </c>
      <c r="Q620" s="2" t="s">
        <v>35</v>
      </c>
    </row>
    <row r="621" spans="1:17" ht="259.2">
      <c r="A621" s="8" t="str">
        <f>HYPERLINK("http://sipi.sic.gov.co/sipi/View.ashx?4461363","SD2022/0122051")</f>
        <v>SD2022/0122051</v>
      </c>
      <c r="B621" s="2" t="s">
        <v>2211</v>
      </c>
      <c r="C621" s="7" t="s">
        <v>35</v>
      </c>
      <c r="D621" s="2" t="s">
        <v>2212</v>
      </c>
      <c r="E621" s="2" t="s">
        <v>35</v>
      </c>
      <c r="F621" s="2" t="s">
        <v>37</v>
      </c>
      <c r="G621" s="2" t="s">
        <v>2211</v>
      </c>
      <c r="H621" s="2" t="s">
        <v>2213</v>
      </c>
      <c r="I621" s="2" t="s">
        <v>2214</v>
      </c>
      <c r="J621" s="2" t="s">
        <v>40</v>
      </c>
      <c r="K621" s="2" t="s">
        <v>2215</v>
      </c>
      <c r="L621" s="2" t="s">
        <v>42</v>
      </c>
      <c r="M621" s="2" t="s">
        <v>35</v>
      </c>
      <c r="N621" s="2" t="s">
        <v>35</v>
      </c>
      <c r="O621" s="2" t="s">
        <v>1574</v>
      </c>
      <c r="P621" s="2" t="s">
        <v>35</v>
      </c>
      <c r="Q621" s="2" t="s">
        <v>35</v>
      </c>
    </row>
    <row r="622" spans="1:17" ht="115.2">
      <c r="A622" s="8" t="str">
        <f>HYPERLINK("http://sipi.sic.gov.co/sipi/View.ashx?4462578","SD2022/0119891")</f>
        <v>SD2022/0119891</v>
      </c>
      <c r="B622" s="2" t="s">
        <v>2216</v>
      </c>
      <c r="C622" s="2" t="s">
        <v>35</v>
      </c>
      <c r="D622" s="2" t="s">
        <v>2151</v>
      </c>
      <c r="E622" s="2" t="s">
        <v>35</v>
      </c>
      <c r="F622" s="2" t="s">
        <v>37</v>
      </c>
      <c r="G622" s="2" t="s">
        <v>2217</v>
      </c>
      <c r="H622" s="2" t="s">
        <v>2218</v>
      </c>
      <c r="I622" s="2" t="s">
        <v>12</v>
      </c>
      <c r="J622" s="2" t="s">
        <v>40</v>
      </c>
      <c r="K622" s="2" t="s">
        <v>2219</v>
      </c>
      <c r="L622" s="2" t="s">
        <v>42</v>
      </c>
      <c r="M622" s="2" t="s">
        <v>2220</v>
      </c>
      <c r="N622" s="2" t="s">
        <v>35</v>
      </c>
      <c r="O622" s="2" t="s">
        <v>1733</v>
      </c>
      <c r="P622" s="2" t="s">
        <v>35</v>
      </c>
      <c r="Q622" s="2" t="s">
        <v>35</v>
      </c>
    </row>
    <row r="623" spans="1:17" ht="144">
      <c r="A623" s="8" t="str">
        <f>HYPERLINK("http://sipi.sic.gov.co/sipi/View.ashx?4463609","SD2022/0120270")</f>
        <v>SD2022/0120270</v>
      </c>
      <c r="B623" s="2" t="s">
        <v>2221</v>
      </c>
      <c r="C623" s="2" t="s">
        <v>35</v>
      </c>
      <c r="D623" s="2" t="s">
        <v>2222</v>
      </c>
      <c r="E623" s="2" t="s">
        <v>35</v>
      </c>
      <c r="F623" s="2" t="s">
        <v>37</v>
      </c>
      <c r="G623" s="2" t="s">
        <v>35</v>
      </c>
      <c r="H623" s="2" t="s">
        <v>2223</v>
      </c>
      <c r="I623" s="2" t="s">
        <v>12</v>
      </c>
      <c r="J623" s="2" t="s">
        <v>40</v>
      </c>
      <c r="K623" s="2" t="s">
        <v>2224</v>
      </c>
      <c r="L623" s="2" t="s">
        <v>42</v>
      </c>
      <c r="M623" s="2" t="s">
        <v>871</v>
      </c>
      <c r="N623" s="2" t="s">
        <v>35</v>
      </c>
      <c r="O623" s="2" t="s">
        <v>1409</v>
      </c>
      <c r="P623" s="2" t="s">
        <v>35</v>
      </c>
      <c r="Q623" s="2" t="s">
        <v>35</v>
      </c>
    </row>
    <row r="624" spans="1:17" ht="144">
      <c r="A624" s="8" t="str">
        <f>HYPERLINK("http://sipi.sic.gov.co/sipi/View.ashx?4465160","SD2022/0120301")</f>
        <v>SD2022/0120301</v>
      </c>
      <c r="B624" s="2" t="s">
        <v>2225</v>
      </c>
      <c r="C624" s="2" t="s">
        <v>35</v>
      </c>
      <c r="D624" s="2" t="s">
        <v>2222</v>
      </c>
      <c r="E624" s="2" t="s">
        <v>35</v>
      </c>
      <c r="F624" s="2" t="s">
        <v>37</v>
      </c>
      <c r="G624" s="2" t="s">
        <v>35</v>
      </c>
      <c r="H624" s="2" t="s">
        <v>2223</v>
      </c>
      <c r="I624" s="2" t="s">
        <v>12</v>
      </c>
      <c r="J624" s="2" t="s">
        <v>40</v>
      </c>
      <c r="K624" s="2" t="s">
        <v>2224</v>
      </c>
      <c r="L624" s="2" t="s">
        <v>55</v>
      </c>
      <c r="M624" s="2" t="s">
        <v>871</v>
      </c>
      <c r="N624" s="2" t="s">
        <v>35</v>
      </c>
      <c r="O624" s="2" t="s">
        <v>1303</v>
      </c>
      <c r="P624" s="2" t="s">
        <v>35</v>
      </c>
      <c r="Q624" s="2" t="s">
        <v>35</v>
      </c>
    </row>
    <row r="625" spans="1:17" ht="72">
      <c r="A625" s="8" t="str">
        <f>HYPERLINK("http://sipi.sic.gov.co/sipi/View.ashx?4467041","SD2022/0120749")</f>
        <v>SD2022/0120749</v>
      </c>
      <c r="B625" s="2" t="s">
        <v>2226</v>
      </c>
      <c r="C625" s="2" t="s">
        <v>35</v>
      </c>
      <c r="D625" s="2" t="s">
        <v>2145</v>
      </c>
      <c r="E625" s="2" t="s">
        <v>35</v>
      </c>
      <c r="F625" s="2" t="s">
        <v>37</v>
      </c>
      <c r="G625" s="2" t="s">
        <v>35</v>
      </c>
      <c r="H625" s="2" t="s">
        <v>1620</v>
      </c>
      <c r="I625" s="2" t="s">
        <v>12</v>
      </c>
      <c r="J625" s="2" t="s">
        <v>40</v>
      </c>
      <c r="K625" s="2" t="s">
        <v>2227</v>
      </c>
      <c r="L625" s="2" t="s">
        <v>42</v>
      </c>
      <c r="M625" s="2" t="s">
        <v>35</v>
      </c>
      <c r="N625" s="2" t="s">
        <v>35</v>
      </c>
      <c r="O625" s="2" t="s">
        <v>1828</v>
      </c>
      <c r="P625" s="2" t="s">
        <v>35</v>
      </c>
      <c r="Q625" s="2" t="s">
        <v>35</v>
      </c>
    </row>
    <row r="626" spans="1:17" ht="72">
      <c r="A626" s="8" t="str">
        <f>HYPERLINK("http://sipi.sic.gov.co/sipi/View.ashx?4467065","SD2022/0120752")</f>
        <v>SD2022/0120752</v>
      </c>
      <c r="B626" s="2" t="s">
        <v>2228</v>
      </c>
      <c r="C626" s="2" t="s">
        <v>35</v>
      </c>
      <c r="D626" s="2" t="s">
        <v>2145</v>
      </c>
      <c r="E626" s="2" t="s">
        <v>35</v>
      </c>
      <c r="F626" s="2" t="s">
        <v>37</v>
      </c>
      <c r="G626" s="2" t="s">
        <v>35</v>
      </c>
      <c r="H626" s="2" t="s">
        <v>1620</v>
      </c>
      <c r="I626" s="2" t="s">
        <v>12</v>
      </c>
      <c r="J626" s="2" t="s">
        <v>40</v>
      </c>
      <c r="K626" s="2" t="s">
        <v>2227</v>
      </c>
      <c r="L626" s="2" t="s">
        <v>42</v>
      </c>
      <c r="M626" s="2" t="s">
        <v>35</v>
      </c>
      <c r="N626" s="2" t="s">
        <v>35</v>
      </c>
      <c r="O626" s="2" t="s">
        <v>1828</v>
      </c>
      <c r="P626" s="2" t="s">
        <v>35</v>
      </c>
      <c r="Q626" s="2" t="s">
        <v>35</v>
      </c>
    </row>
    <row r="627" spans="1:17" ht="144">
      <c r="A627" s="8" t="str">
        <f>HYPERLINK("http://sipi.sic.gov.co/sipi/View.ashx?4467741","SD2022/0120900")</f>
        <v>SD2022/0120900</v>
      </c>
      <c r="B627" s="2" t="s">
        <v>2229</v>
      </c>
      <c r="C627" s="7" t="s">
        <v>35</v>
      </c>
      <c r="D627" s="2" t="s">
        <v>2145</v>
      </c>
      <c r="E627" s="2" t="s">
        <v>35</v>
      </c>
      <c r="F627" s="2" t="s">
        <v>37</v>
      </c>
      <c r="G627" s="2" t="s">
        <v>35</v>
      </c>
      <c r="H627" s="2" t="s">
        <v>2230</v>
      </c>
      <c r="I627" s="2" t="s">
        <v>12</v>
      </c>
      <c r="J627" s="2" t="s">
        <v>40</v>
      </c>
      <c r="K627" s="2" t="s">
        <v>41</v>
      </c>
      <c r="L627" s="2" t="s">
        <v>42</v>
      </c>
      <c r="M627" s="2" t="s">
        <v>2231</v>
      </c>
      <c r="N627" s="2" t="s">
        <v>35</v>
      </c>
      <c r="O627" s="2" t="s">
        <v>1303</v>
      </c>
      <c r="P627" s="2" t="s">
        <v>35</v>
      </c>
      <c r="Q627" s="2" t="s">
        <v>35</v>
      </c>
    </row>
    <row r="628" spans="1:17" ht="144">
      <c r="A628" s="8" t="str">
        <f>HYPERLINK("http://sipi.sic.gov.co/sipi/View.ashx?4467888","SD2022/0120935")</f>
        <v>SD2022/0120935</v>
      </c>
      <c r="B628" s="2" t="s">
        <v>2232</v>
      </c>
      <c r="C628" s="7" t="s">
        <v>35</v>
      </c>
      <c r="D628" s="2" t="s">
        <v>2145</v>
      </c>
      <c r="E628" s="2" t="s">
        <v>35</v>
      </c>
      <c r="F628" s="2" t="s">
        <v>37</v>
      </c>
      <c r="G628" s="2" t="s">
        <v>35</v>
      </c>
      <c r="H628" s="2" t="s">
        <v>2230</v>
      </c>
      <c r="I628" s="2" t="s">
        <v>12</v>
      </c>
      <c r="J628" s="2" t="s">
        <v>40</v>
      </c>
      <c r="K628" s="2" t="s">
        <v>41</v>
      </c>
      <c r="L628" s="2" t="s">
        <v>55</v>
      </c>
      <c r="M628" s="2" t="s">
        <v>2231</v>
      </c>
      <c r="N628" s="2" t="s">
        <v>35</v>
      </c>
      <c r="O628" s="2" t="s">
        <v>1303</v>
      </c>
      <c r="P628" s="2" t="s">
        <v>35</v>
      </c>
      <c r="Q628" s="2" t="s">
        <v>35</v>
      </c>
    </row>
    <row r="629" spans="1:17" ht="144">
      <c r="A629" s="8" t="str">
        <f>HYPERLINK("http://sipi.sic.gov.co/sipi/View.ashx?4467948","SD2022/0120943")</f>
        <v>SD2022/0120943</v>
      </c>
      <c r="B629" s="2" t="s">
        <v>2233</v>
      </c>
      <c r="C629" s="7" t="s">
        <v>35</v>
      </c>
      <c r="D629" s="2" t="s">
        <v>2145</v>
      </c>
      <c r="E629" s="2" t="s">
        <v>35</v>
      </c>
      <c r="F629" s="2" t="s">
        <v>37</v>
      </c>
      <c r="G629" s="2" t="s">
        <v>35</v>
      </c>
      <c r="H629" s="2" t="s">
        <v>2230</v>
      </c>
      <c r="I629" s="2" t="s">
        <v>12</v>
      </c>
      <c r="J629" s="2" t="s">
        <v>40</v>
      </c>
      <c r="K629" s="2" t="s">
        <v>41</v>
      </c>
      <c r="L629" s="2" t="s">
        <v>55</v>
      </c>
      <c r="M629" s="2" t="s">
        <v>2231</v>
      </c>
      <c r="N629" s="2" t="s">
        <v>35</v>
      </c>
      <c r="O629" s="2" t="s">
        <v>1303</v>
      </c>
      <c r="P629" s="2" t="s">
        <v>35</v>
      </c>
      <c r="Q629" s="2" t="s">
        <v>35</v>
      </c>
    </row>
    <row r="630" spans="1:17" ht="144">
      <c r="A630" s="8" t="str">
        <f>HYPERLINK("http://sipi.sic.gov.co/sipi/View.ashx?4468001","SD2022/0120955")</f>
        <v>SD2022/0120955</v>
      </c>
      <c r="B630" s="2" t="s">
        <v>2234</v>
      </c>
      <c r="C630" s="7" t="s">
        <v>35</v>
      </c>
      <c r="D630" s="2" t="s">
        <v>2145</v>
      </c>
      <c r="E630" s="2" t="s">
        <v>35</v>
      </c>
      <c r="F630" s="2" t="s">
        <v>37</v>
      </c>
      <c r="G630" s="2" t="s">
        <v>35</v>
      </c>
      <c r="H630" s="2" t="s">
        <v>2230</v>
      </c>
      <c r="I630" s="2" t="s">
        <v>12</v>
      </c>
      <c r="J630" s="2" t="s">
        <v>40</v>
      </c>
      <c r="K630" s="2" t="s">
        <v>41</v>
      </c>
      <c r="L630" s="2" t="s">
        <v>42</v>
      </c>
      <c r="M630" s="2" t="s">
        <v>2231</v>
      </c>
      <c r="N630" s="2" t="s">
        <v>35</v>
      </c>
      <c r="O630" s="2" t="s">
        <v>1303</v>
      </c>
      <c r="P630" s="2" t="s">
        <v>35</v>
      </c>
      <c r="Q630" s="2" t="s">
        <v>35</v>
      </c>
    </row>
    <row r="631" spans="1:17" ht="144">
      <c r="A631" s="8" t="str">
        <f>HYPERLINK("http://sipi.sic.gov.co/sipi/View.ashx?4468022","SD2022/0120958")</f>
        <v>SD2022/0120958</v>
      </c>
      <c r="B631" s="2" t="s">
        <v>2235</v>
      </c>
      <c r="C631" s="7" t="s">
        <v>35</v>
      </c>
      <c r="D631" s="2" t="s">
        <v>2145</v>
      </c>
      <c r="E631" s="2" t="s">
        <v>35</v>
      </c>
      <c r="F631" s="2" t="s">
        <v>37</v>
      </c>
      <c r="G631" s="2" t="s">
        <v>35</v>
      </c>
      <c r="H631" s="2" t="s">
        <v>2230</v>
      </c>
      <c r="I631" s="2" t="s">
        <v>12</v>
      </c>
      <c r="J631" s="2" t="s">
        <v>40</v>
      </c>
      <c r="K631" s="2" t="s">
        <v>41</v>
      </c>
      <c r="L631" s="2" t="s">
        <v>42</v>
      </c>
      <c r="M631" s="2" t="s">
        <v>2231</v>
      </c>
      <c r="N631" s="2" t="s">
        <v>35</v>
      </c>
      <c r="O631" s="2" t="s">
        <v>1303</v>
      </c>
      <c r="P631" s="2" t="s">
        <v>35</v>
      </c>
      <c r="Q631" s="2" t="s">
        <v>35</v>
      </c>
    </row>
    <row r="632" spans="1:17" ht="144">
      <c r="A632" s="8" t="str">
        <f>HYPERLINK("http://sipi.sic.gov.co/sipi/View.ashx?4469079","SD2022/0121344")</f>
        <v>SD2022/0121344</v>
      </c>
      <c r="B632" s="2" t="s">
        <v>2236</v>
      </c>
      <c r="C632" s="2" t="s">
        <v>35</v>
      </c>
      <c r="D632" s="2" t="s">
        <v>2145</v>
      </c>
      <c r="E632" s="2" t="s">
        <v>35</v>
      </c>
      <c r="F632" s="2" t="s">
        <v>37</v>
      </c>
      <c r="G632" s="2" t="s">
        <v>35</v>
      </c>
      <c r="H632" s="2" t="s">
        <v>2237</v>
      </c>
      <c r="I632" s="2" t="s">
        <v>12</v>
      </c>
      <c r="J632" s="2" t="s">
        <v>40</v>
      </c>
      <c r="K632" s="2" t="s">
        <v>2238</v>
      </c>
      <c r="L632" s="2" t="s">
        <v>42</v>
      </c>
      <c r="M632" s="2" t="s">
        <v>1230</v>
      </c>
      <c r="N632" s="2" t="s">
        <v>35</v>
      </c>
      <c r="O632" s="2" t="s">
        <v>493</v>
      </c>
      <c r="P632" s="2" t="s">
        <v>35</v>
      </c>
      <c r="Q632" s="2" t="s">
        <v>35</v>
      </c>
    </row>
    <row r="633" spans="1:17" ht="144">
      <c r="A633" s="8" t="str">
        <f>HYPERLINK("http://sipi.sic.gov.co/sipi/View.ashx?4469084","SD2022/0121345")</f>
        <v>SD2022/0121345</v>
      </c>
      <c r="B633" s="2" t="s">
        <v>2239</v>
      </c>
      <c r="C633" s="2" t="s">
        <v>35</v>
      </c>
      <c r="D633" s="2" t="s">
        <v>2145</v>
      </c>
      <c r="E633" s="2" t="s">
        <v>35</v>
      </c>
      <c r="F633" s="2" t="s">
        <v>37</v>
      </c>
      <c r="G633" s="2" t="s">
        <v>35</v>
      </c>
      <c r="H633" s="2" t="s">
        <v>2237</v>
      </c>
      <c r="I633" s="2" t="s">
        <v>12</v>
      </c>
      <c r="J633" s="2" t="s">
        <v>40</v>
      </c>
      <c r="K633" s="2" t="s">
        <v>2238</v>
      </c>
      <c r="L633" s="2" t="s">
        <v>42</v>
      </c>
      <c r="M633" s="2" t="s">
        <v>1230</v>
      </c>
      <c r="N633" s="2" t="s">
        <v>35</v>
      </c>
      <c r="O633" s="2" t="s">
        <v>493</v>
      </c>
      <c r="P633" s="2" t="s">
        <v>35</v>
      </c>
      <c r="Q633" s="2" t="s">
        <v>35</v>
      </c>
    </row>
    <row r="634" spans="1:17" ht="409.6">
      <c r="A634" s="8" t="str">
        <f>HYPERLINK("http://sipi.sic.gov.co/sipi/View.ashx?4469902","SD2022/0121568")</f>
        <v>SD2022/0121568</v>
      </c>
      <c r="B634" s="2" t="s">
        <v>2240</v>
      </c>
      <c r="C634" s="2" t="s">
        <v>35</v>
      </c>
      <c r="D634" s="2" t="s">
        <v>2241</v>
      </c>
      <c r="E634" s="2" t="s">
        <v>35</v>
      </c>
      <c r="F634" s="2" t="s">
        <v>37</v>
      </c>
      <c r="G634" s="2" t="s">
        <v>35</v>
      </c>
      <c r="H634" s="2" t="s">
        <v>2242</v>
      </c>
      <c r="I634" s="2" t="s">
        <v>12</v>
      </c>
      <c r="J634" s="2" t="s">
        <v>40</v>
      </c>
      <c r="K634" s="2" t="s">
        <v>2243</v>
      </c>
      <c r="L634" s="2" t="s">
        <v>55</v>
      </c>
      <c r="M634" s="2" t="s">
        <v>2244</v>
      </c>
      <c r="N634" s="2" t="s">
        <v>35</v>
      </c>
      <c r="O634" s="2" t="s">
        <v>1687</v>
      </c>
      <c r="P634" s="2" t="s">
        <v>35</v>
      </c>
      <c r="Q634" s="2" t="s">
        <v>35</v>
      </c>
    </row>
    <row r="635" spans="1:17" ht="129.6">
      <c r="A635" s="8" t="str">
        <f>HYPERLINK("http://sipi.sic.gov.co/sipi/View.ashx?4470226","SD2022/0121630")</f>
        <v>SD2022/0121630</v>
      </c>
      <c r="B635" s="2" t="s">
        <v>2245</v>
      </c>
      <c r="C635" s="2" t="s">
        <v>35</v>
      </c>
      <c r="D635" s="2" t="s">
        <v>2241</v>
      </c>
      <c r="E635" s="2" t="s">
        <v>35</v>
      </c>
      <c r="F635" s="2" t="s">
        <v>37</v>
      </c>
      <c r="G635" s="2" t="s">
        <v>2245</v>
      </c>
      <c r="H635" s="2" t="s">
        <v>2246</v>
      </c>
      <c r="I635" s="2" t="s">
        <v>12</v>
      </c>
      <c r="J635" s="2" t="s">
        <v>40</v>
      </c>
      <c r="K635" s="2" t="s">
        <v>2247</v>
      </c>
      <c r="L635" s="2" t="s">
        <v>42</v>
      </c>
      <c r="M635" s="2" t="s">
        <v>2248</v>
      </c>
      <c r="N635" s="2" t="s">
        <v>35</v>
      </c>
      <c r="O635" s="2" t="s">
        <v>1409</v>
      </c>
      <c r="P635" s="2" t="s">
        <v>35</v>
      </c>
      <c r="Q635" s="2" t="s">
        <v>35</v>
      </c>
    </row>
    <row r="636" spans="1:17" ht="374.4">
      <c r="A636" s="8" t="str">
        <f>HYPERLINK("http://sipi.sic.gov.co/sipi/View.ashx?4471022","SD2022/0121797")</f>
        <v>SD2022/0121797</v>
      </c>
      <c r="B636" s="2" t="s">
        <v>2249</v>
      </c>
      <c r="C636" s="7" t="s">
        <v>35</v>
      </c>
      <c r="D636" s="2" t="s">
        <v>2241</v>
      </c>
      <c r="E636" s="2" t="s">
        <v>35</v>
      </c>
      <c r="F636" s="2" t="s">
        <v>37</v>
      </c>
      <c r="G636" s="2" t="s">
        <v>35</v>
      </c>
      <c r="H636" s="2" t="s">
        <v>2250</v>
      </c>
      <c r="I636" s="2" t="s">
        <v>71</v>
      </c>
      <c r="J636" s="2" t="s">
        <v>40</v>
      </c>
      <c r="K636" s="2" t="s">
        <v>2251</v>
      </c>
      <c r="L636" s="2" t="s">
        <v>55</v>
      </c>
      <c r="M636" s="2" t="s">
        <v>2252</v>
      </c>
      <c r="N636" s="2" t="s">
        <v>35</v>
      </c>
      <c r="O636" s="2" t="s">
        <v>1476</v>
      </c>
      <c r="P636" s="2" t="s">
        <v>35</v>
      </c>
      <c r="Q636" s="2" t="s">
        <v>35</v>
      </c>
    </row>
    <row r="637" spans="1:17" ht="273.60000000000002">
      <c r="A637" s="8" t="str">
        <f>HYPERLINK("http://sipi.sic.gov.co/sipi/View.ashx?4472009","SD2022/0122118")</f>
        <v>SD2022/0122118</v>
      </c>
      <c r="B637" s="2" t="s">
        <v>2253</v>
      </c>
      <c r="C637" s="7" t="s">
        <v>35</v>
      </c>
      <c r="D637" s="2" t="s">
        <v>2212</v>
      </c>
      <c r="E637" s="2" t="s">
        <v>35</v>
      </c>
      <c r="F637" s="2" t="s">
        <v>37</v>
      </c>
      <c r="G637" s="2" t="s">
        <v>2254</v>
      </c>
      <c r="H637" s="2" t="s">
        <v>2255</v>
      </c>
      <c r="I637" s="2" t="s">
        <v>250</v>
      </c>
      <c r="J637" s="2" t="s">
        <v>40</v>
      </c>
      <c r="K637" s="2" t="s">
        <v>2256</v>
      </c>
      <c r="L637" s="2" t="s">
        <v>42</v>
      </c>
      <c r="M637" s="2" t="s">
        <v>35</v>
      </c>
      <c r="N637" s="2" t="s">
        <v>35</v>
      </c>
      <c r="O637" s="2" t="s">
        <v>1303</v>
      </c>
      <c r="P637" s="2" t="s">
        <v>35</v>
      </c>
      <c r="Q637" s="2" t="s">
        <v>35</v>
      </c>
    </row>
    <row r="638" spans="1:17" ht="115.2">
      <c r="A638" s="8" t="str">
        <f>HYPERLINK("http://sipi.sic.gov.co/sipi/View.ashx?4472433","SD2022/0122294")</f>
        <v>SD2022/0122294</v>
      </c>
      <c r="B638" s="2" t="s">
        <v>2257</v>
      </c>
      <c r="C638" s="2" t="s">
        <v>35</v>
      </c>
      <c r="D638" s="2" t="s">
        <v>2212</v>
      </c>
      <c r="E638" s="2" t="s">
        <v>35</v>
      </c>
      <c r="F638" s="2" t="s">
        <v>37</v>
      </c>
      <c r="G638" s="2" t="s">
        <v>2258</v>
      </c>
      <c r="H638" s="2" t="s">
        <v>1454</v>
      </c>
      <c r="I638" s="2" t="s">
        <v>12</v>
      </c>
      <c r="J638" s="2" t="s">
        <v>40</v>
      </c>
      <c r="K638" s="2" t="s">
        <v>1539</v>
      </c>
      <c r="L638" s="2" t="s">
        <v>42</v>
      </c>
      <c r="M638" s="2" t="s">
        <v>1456</v>
      </c>
      <c r="N638" s="2" t="s">
        <v>35</v>
      </c>
      <c r="O638" s="2" t="s">
        <v>1574</v>
      </c>
      <c r="P638" s="2" t="s">
        <v>35</v>
      </c>
      <c r="Q638" s="2" t="s">
        <v>35</v>
      </c>
    </row>
    <row r="639" spans="1:17" ht="115.2">
      <c r="A639" s="8" t="str">
        <f>HYPERLINK("http://sipi.sic.gov.co/sipi/View.ashx?4472466","SD2022/0122301")</f>
        <v>SD2022/0122301</v>
      </c>
      <c r="B639" s="2" t="s">
        <v>2259</v>
      </c>
      <c r="C639" s="2" t="s">
        <v>35</v>
      </c>
      <c r="D639" s="2" t="s">
        <v>2212</v>
      </c>
      <c r="E639" s="2" t="s">
        <v>35</v>
      </c>
      <c r="F639" s="2" t="s">
        <v>37</v>
      </c>
      <c r="G639" s="2" t="s">
        <v>2260</v>
      </c>
      <c r="H639" s="2" t="s">
        <v>1454</v>
      </c>
      <c r="I639" s="2" t="s">
        <v>12</v>
      </c>
      <c r="J639" s="2" t="s">
        <v>40</v>
      </c>
      <c r="K639" s="2" t="s">
        <v>1539</v>
      </c>
      <c r="L639" s="2" t="s">
        <v>42</v>
      </c>
      <c r="M639" s="2" t="s">
        <v>1456</v>
      </c>
      <c r="N639" s="2" t="s">
        <v>35</v>
      </c>
      <c r="O639" s="2" t="s">
        <v>1574</v>
      </c>
      <c r="P639" s="2" t="s">
        <v>35</v>
      </c>
      <c r="Q639" s="2" t="s">
        <v>35</v>
      </c>
    </row>
    <row r="640" spans="1:17" ht="144">
      <c r="A640" s="8" t="str">
        <f>HYPERLINK("http://sipi.sic.gov.co/sipi/View.ashx?4474737","SD2022/0122632")</f>
        <v>SD2022/0122632</v>
      </c>
      <c r="B640" s="2" t="s">
        <v>2261</v>
      </c>
      <c r="C640" s="7" t="s">
        <v>35</v>
      </c>
      <c r="D640" s="2" t="s">
        <v>2262</v>
      </c>
      <c r="E640" s="2" t="s">
        <v>35</v>
      </c>
      <c r="F640" s="2" t="s">
        <v>37</v>
      </c>
      <c r="G640" s="2" t="s">
        <v>2263</v>
      </c>
      <c r="H640" s="2" t="s">
        <v>2264</v>
      </c>
      <c r="I640" s="2" t="s">
        <v>113</v>
      </c>
      <c r="J640" s="2" t="s">
        <v>40</v>
      </c>
      <c r="K640" s="2" t="s">
        <v>2265</v>
      </c>
      <c r="L640" s="2" t="s">
        <v>42</v>
      </c>
      <c r="M640" s="2" t="s">
        <v>35</v>
      </c>
      <c r="N640" s="2" t="s">
        <v>35</v>
      </c>
      <c r="O640" s="2" t="s">
        <v>1655</v>
      </c>
      <c r="P640" s="2" t="s">
        <v>35</v>
      </c>
      <c r="Q640" s="2" t="s">
        <v>35</v>
      </c>
    </row>
    <row r="641" spans="1:17" ht="129.6">
      <c r="A641" s="8" t="str">
        <f>HYPERLINK("http://sipi.sic.gov.co/sipi/View.ashx?4474786","SD2022/0122649")</f>
        <v>SD2022/0122649</v>
      </c>
      <c r="B641" s="2" t="s">
        <v>2266</v>
      </c>
      <c r="C641" s="2" t="s">
        <v>35</v>
      </c>
      <c r="D641" s="2" t="s">
        <v>2262</v>
      </c>
      <c r="E641" s="2" t="s">
        <v>35</v>
      </c>
      <c r="F641" s="2" t="s">
        <v>37</v>
      </c>
      <c r="G641" s="2" t="s">
        <v>2267</v>
      </c>
      <c r="H641" s="2" t="s">
        <v>2268</v>
      </c>
      <c r="I641" s="2" t="s">
        <v>444</v>
      </c>
      <c r="J641" s="2" t="s">
        <v>40</v>
      </c>
      <c r="K641" s="2" t="s">
        <v>2269</v>
      </c>
      <c r="L641" s="2" t="s">
        <v>42</v>
      </c>
      <c r="M641" s="2" t="s">
        <v>2270</v>
      </c>
      <c r="N641" s="2" t="s">
        <v>35</v>
      </c>
      <c r="O641" s="2" t="s">
        <v>1655</v>
      </c>
      <c r="P641" s="2" t="s">
        <v>35</v>
      </c>
      <c r="Q641" s="2" t="s">
        <v>35</v>
      </c>
    </row>
    <row r="642" spans="1:17" ht="115.2">
      <c r="A642" s="8" t="str">
        <f>HYPERLINK("http://sipi.sic.gov.co/sipi/View.ashx?4474871","SD2022/0122670")</f>
        <v>SD2022/0122670</v>
      </c>
      <c r="B642" s="2" t="s">
        <v>2271</v>
      </c>
      <c r="C642" s="2" t="s">
        <v>35</v>
      </c>
      <c r="D642" s="2" t="s">
        <v>2262</v>
      </c>
      <c r="E642" s="2" t="s">
        <v>35</v>
      </c>
      <c r="F642" s="2" t="s">
        <v>37</v>
      </c>
      <c r="G642" s="2" t="s">
        <v>2267</v>
      </c>
      <c r="H642" s="2" t="s">
        <v>2268</v>
      </c>
      <c r="I642" s="2" t="s">
        <v>12</v>
      </c>
      <c r="J642" s="2" t="s">
        <v>40</v>
      </c>
      <c r="K642" s="2" t="s">
        <v>2272</v>
      </c>
      <c r="L642" s="2" t="s">
        <v>42</v>
      </c>
      <c r="M642" s="2" t="s">
        <v>2270</v>
      </c>
      <c r="N642" s="2" t="s">
        <v>35</v>
      </c>
      <c r="O642" s="2" t="s">
        <v>2006</v>
      </c>
      <c r="P642" s="2" t="s">
        <v>35</v>
      </c>
      <c r="Q642" s="2" t="s">
        <v>35</v>
      </c>
    </row>
    <row r="643" spans="1:17" ht="115.2">
      <c r="A643" s="8" t="str">
        <f>HYPERLINK("http://sipi.sic.gov.co/sipi/View.ashx?4474921","SD2022/0122684")</f>
        <v>SD2022/0122684</v>
      </c>
      <c r="B643" s="2" t="s">
        <v>2273</v>
      </c>
      <c r="C643" s="2" t="s">
        <v>35</v>
      </c>
      <c r="D643" s="2" t="s">
        <v>2262</v>
      </c>
      <c r="E643" s="2" t="s">
        <v>35</v>
      </c>
      <c r="F643" s="2" t="s">
        <v>37</v>
      </c>
      <c r="G643" s="2" t="s">
        <v>2267</v>
      </c>
      <c r="H643" s="2" t="s">
        <v>2268</v>
      </c>
      <c r="I643" s="2" t="s">
        <v>12</v>
      </c>
      <c r="J643" s="2" t="s">
        <v>40</v>
      </c>
      <c r="K643" s="2" t="s">
        <v>2272</v>
      </c>
      <c r="L643" s="2" t="s">
        <v>42</v>
      </c>
      <c r="M643" s="2" t="s">
        <v>2270</v>
      </c>
      <c r="N643" s="2" t="s">
        <v>35</v>
      </c>
      <c r="O643" s="2" t="s">
        <v>1409</v>
      </c>
      <c r="P643" s="2" t="s">
        <v>35</v>
      </c>
      <c r="Q643" s="2" t="s">
        <v>35</v>
      </c>
    </row>
    <row r="644" spans="1:17" ht="158.4">
      <c r="A644" s="8" t="str">
        <f>HYPERLINK("http://sipi.sic.gov.co/sipi/View.ashx?4475059","SD2022/0140748")</f>
        <v>SD2022/0140748</v>
      </c>
      <c r="B644" s="2" t="s">
        <v>2274</v>
      </c>
      <c r="C644" s="7" t="s">
        <v>35</v>
      </c>
      <c r="D644" s="2" t="s">
        <v>2275</v>
      </c>
      <c r="E644" s="2" t="s">
        <v>35</v>
      </c>
      <c r="F644" s="2" t="s">
        <v>37</v>
      </c>
      <c r="G644" s="2" t="s">
        <v>2274</v>
      </c>
      <c r="H644" s="2" t="s">
        <v>610</v>
      </c>
      <c r="I644" s="2" t="s">
        <v>12</v>
      </c>
      <c r="J644" s="2" t="s">
        <v>40</v>
      </c>
      <c r="K644" s="2" t="s">
        <v>1019</v>
      </c>
      <c r="L644" s="2" t="s">
        <v>55</v>
      </c>
      <c r="M644" s="2" t="s">
        <v>612</v>
      </c>
      <c r="N644" s="2" t="s">
        <v>35</v>
      </c>
      <c r="O644" s="2" t="s">
        <v>2041</v>
      </c>
      <c r="P644" s="2" t="s">
        <v>35</v>
      </c>
      <c r="Q644" s="2" t="s">
        <v>35</v>
      </c>
    </row>
    <row r="645" spans="1:17" ht="100.8">
      <c r="A645" s="8" t="str">
        <f>HYPERLINK("http://sipi.sic.gov.co/sipi/View.ashx?4475142","SD2022/0141123")</f>
        <v>SD2022/0141123</v>
      </c>
      <c r="B645" s="2" t="s">
        <v>2276</v>
      </c>
      <c r="C645" s="7" t="s">
        <v>35</v>
      </c>
      <c r="D645" s="2" t="s">
        <v>2275</v>
      </c>
      <c r="E645" s="2" t="s">
        <v>35</v>
      </c>
      <c r="F645" s="2" t="s">
        <v>37</v>
      </c>
      <c r="G645" s="2" t="s">
        <v>2276</v>
      </c>
      <c r="H645" s="2" t="s">
        <v>610</v>
      </c>
      <c r="I645" s="2" t="s">
        <v>12</v>
      </c>
      <c r="J645" s="2" t="s">
        <v>40</v>
      </c>
      <c r="K645" s="2" t="s">
        <v>2277</v>
      </c>
      <c r="L645" s="2" t="s">
        <v>42</v>
      </c>
      <c r="M645" s="2" t="s">
        <v>612</v>
      </c>
      <c r="N645" s="2" t="s">
        <v>35</v>
      </c>
      <c r="O645" s="2" t="s">
        <v>1303</v>
      </c>
      <c r="P645" s="2" t="s">
        <v>35</v>
      </c>
      <c r="Q645" s="2" t="s">
        <v>35</v>
      </c>
    </row>
    <row r="646" spans="1:17" ht="115.2">
      <c r="A646" s="8" t="str">
        <f>HYPERLINK("http://sipi.sic.gov.co/sipi/View.ashx?4475224","SD2022/0122767")</f>
        <v>SD2022/0122767</v>
      </c>
      <c r="B646" s="2" t="s">
        <v>2278</v>
      </c>
      <c r="C646" s="2" t="s">
        <v>35</v>
      </c>
      <c r="D646" s="2" t="s">
        <v>2262</v>
      </c>
      <c r="E646" s="2" t="s">
        <v>35</v>
      </c>
      <c r="F646" s="2" t="s">
        <v>37</v>
      </c>
      <c r="G646" s="2" t="s">
        <v>2267</v>
      </c>
      <c r="H646" s="2" t="s">
        <v>2268</v>
      </c>
      <c r="I646" s="2" t="s">
        <v>12</v>
      </c>
      <c r="J646" s="2" t="s">
        <v>40</v>
      </c>
      <c r="K646" s="2" t="s">
        <v>2272</v>
      </c>
      <c r="L646" s="2" t="s">
        <v>55</v>
      </c>
      <c r="M646" s="2" t="s">
        <v>2270</v>
      </c>
      <c r="N646" s="2" t="s">
        <v>35</v>
      </c>
      <c r="O646" s="2" t="s">
        <v>1424</v>
      </c>
      <c r="P646" s="2" t="s">
        <v>35</v>
      </c>
      <c r="Q646" s="2" t="s">
        <v>35</v>
      </c>
    </row>
    <row r="647" spans="1:17" ht="100.8">
      <c r="A647" s="8" t="str">
        <f>HYPERLINK("http://sipi.sic.gov.co/sipi/View.ashx?4475225","SD2022/0141170")</f>
        <v>SD2022/0141170</v>
      </c>
      <c r="B647" s="2" t="s">
        <v>2279</v>
      </c>
      <c r="C647" s="7" t="s">
        <v>35</v>
      </c>
      <c r="D647" s="2" t="s">
        <v>2275</v>
      </c>
      <c r="E647" s="2" t="s">
        <v>35</v>
      </c>
      <c r="F647" s="2" t="s">
        <v>37</v>
      </c>
      <c r="G647" s="2" t="s">
        <v>2279</v>
      </c>
      <c r="H647" s="2" t="s">
        <v>610</v>
      </c>
      <c r="I647" s="2" t="s">
        <v>12</v>
      </c>
      <c r="J647" s="2" t="s">
        <v>40</v>
      </c>
      <c r="K647" s="2" t="s">
        <v>2280</v>
      </c>
      <c r="L647" s="2" t="s">
        <v>55</v>
      </c>
      <c r="M647" s="2" t="s">
        <v>612</v>
      </c>
      <c r="N647" s="2" t="s">
        <v>35</v>
      </c>
      <c r="O647" s="2" t="s">
        <v>2041</v>
      </c>
      <c r="P647" s="2" t="s">
        <v>35</v>
      </c>
      <c r="Q647" s="2" t="s">
        <v>35</v>
      </c>
    </row>
    <row r="648" spans="1:17" ht="129.6">
      <c r="A648" s="8" t="str">
        <f>HYPERLINK("http://sipi.sic.gov.co/sipi/View.ashx?4475276","SD2022/0122787")</f>
        <v>SD2022/0122787</v>
      </c>
      <c r="B648" s="2" t="s">
        <v>2281</v>
      </c>
      <c r="C648" s="2" t="s">
        <v>35</v>
      </c>
      <c r="D648" s="2" t="s">
        <v>2262</v>
      </c>
      <c r="E648" s="2" t="s">
        <v>35</v>
      </c>
      <c r="F648" s="2" t="s">
        <v>37</v>
      </c>
      <c r="G648" s="2" t="s">
        <v>2267</v>
      </c>
      <c r="H648" s="2" t="s">
        <v>2268</v>
      </c>
      <c r="I648" s="2" t="s">
        <v>444</v>
      </c>
      <c r="J648" s="2" t="s">
        <v>40</v>
      </c>
      <c r="K648" s="2" t="s">
        <v>2269</v>
      </c>
      <c r="L648" s="2" t="s">
        <v>42</v>
      </c>
      <c r="M648" s="2" t="s">
        <v>2270</v>
      </c>
      <c r="N648" s="2" t="s">
        <v>35</v>
      </c>
      <c r="O648" s="2" t="s">
        <v>1828</v>
      </c>
      <c r="P648" s="2" t="s">
        <v>35</v>
      </c>
      <c r="Q648" s="2" t="s">
        <v>35</v>
      </c>
    </row>
    <row r="649" spans="1:17" ht="158.4">
      <c r="A649" s="8" t="str">
        <f>HYPERLINK("http://sipi.sic.gov.co/sipi/View.ashx?4475769","SD2022/0141187")</f>
        <v>SD2022/0141187</v>
      </c>
      <c r="B649" s="2" t="s">
        <v>2282</v>
      </c>
      <c r="C649" s="7" t="s">
        <v>35</v>
      </c>
      <c r="D649" s="2" t="s">
        <v>2275</v>
      </c>
      <c r="E649" s="2" t="s">
        <v>35</v>
      </c>
      <c r="F649" s="2" t="s">
        <v>37</v>
      </c>
      <c r="G649" s="2" t="s">
        <v>2283</v>
      </c>
      <c r="H649" s="2" t="s">
        <v>610</v>
      </c>
      <c r="I649" s="2" t="s">
        <v>12</v>
      </c>
      <c r="J649" s="2" t="s">
        <v>40</v>
      </c>
      <c r="K649" s="2" t="s">
        <v>1019</v>
      </c>
      <c r="L649" s="2" t="s">
        <v>42</v>
      </c>
      <c r="M649" s="2" t="s">
        <v>612</v>
      </c>
      <c r="N649" s="2" t="s">
        <v>35</v>
      </c>
      <c r="O649" s="2" t="s">
        <v>2041</v>
      </c>
      <c r="P649" s="2" t="s">
        <v>35</v>
      </c>
      <c r="Q649" s="2" t="s">
        <v>35</v>
      </c>
    </row>
    <row r="650" spans="1:17" ht="100.8">
      <c r="A650" s="8" t="str">
        <f>HYPERLINK("http://sipi.sic.gov.co/sipi/View.ashx?4475808","SD2022/0141206")</f>
        <v>SD2022/0141206</v>
      </c>
      <c r="B650" s="2" t="s">
        <v>2284</v>
      </c>
      <c r="C650" s="7" t="s">
        <v>35</v>
      </c>
      <c r="D650" s="2" t="s">
        <v>2275</v>
      </c>
      <c r="E650" s="2" t="s">
        <v>35</v>
      </c>
      <c r="F650" s="2" t="s">
        <v>37</v>
      </c>
      <c r="G650" s="2" t="s">
        <v>2284</v>
      </c>
      <c r="H650" s="2" t="s">
        <v>610</v>
      </c>
      <c r="I650" s="2" t="s">
        <v>12</v>
      </c>
      <c r="J650" s="2" t="s">
        <v>40</v>
      </c>
      <c r="K650" s="2" t="s">
        <v>2285</v>
      </c>
      <c r="L650" s="2" t="s">
        <v>42</v>
      </c>
      <c r="M650" s="2" t="s">
        <v>612</v>
      </c>
      <c r="N650" s="2" t="s">
        <v>35</v>
      </c>
      <c r="O650" s="2" t="s">
        <v>2041</v>
      </c>
      <c r="P650" s="2" t="s">
        <v>35</v>
      </c>
      <c r="Q650" s="2" t="s">
        <v>35</v>
      </c>
    </row>
    <row r="651" spans="1:17" ht="409.6">
      <c r="A651" s="8" t="str">
        <f>HYPERLINK("http://sipi.sic.gov.co/sipi/View.ashx?4476259","SD2022/0123051")</f>
        <v>SD2022/0123051</v>
      </c>
      <c r="B651" s="2" t="s">
        <v>2286</v>
      </c>
      <c r="C651" s="7" t="s">
        <v>35</v>
      </c>
      <c r="D651" s="2" t="s">
        <v>2262</v>
      </c>
      <c r="E651" s="2" t="s">
        <v>35</v>
      </c>
      <c r="F651" s="2" t="s">
        <v>37</v>
      </c>
      <c r="G651" s="2" t="s">
        <v>2287</v>
      </c>
      <c r="H651" s="2" t="s">
        <v>2288</v>
      </c>
      <c r="I651" s="2" t="s">
        <v>2289</v>
      </c>
      <c r="J651" s="2" t="s">
        <v>40</v>
      </c>
      <c r="K651" s="2" t="s">
        <v>2290</v>
      </c>
      <c r="L651" s="2" t="s">
        <v>55</v>
      </c>
      <c r="M651" s="2" t="s">
        <v>2291</v>
      </c>
      <c r="N651" s="2" t="s">
        <v>35</v>
      </c>
      <c r="O651" s="2" t="s">
        <v>2292</v>
      </c>
      <c r="P651" s="2" t="s">
        <v>35</v>
      </c>
      <c r="Q651" s="2" t="s">
        <v>35</v>
      </c>
    </row>
    <row r="652" spans="1:17" ht="158.4">
      <c r="A652" s="8" t="str">
        <f>HYPERLINK("http://sipi.sic.gov.co/sipi/View.ashx?4476617","SD2022/0123104")</f>
        <v>SD2022/0123104</v>
      </c>
      <c r="B652" s="2" t="s">
        <v>2293</v>
      </c>
      <c r="C652" s="7" t="s">
        <v>35</v>
      </c>
      <c r="D652" s="2" t="s">
        <v>1687</v>
      </c>
      <c r="E652" s="2" t="s">
        <v>35</v>
      </c>
      <c r="F652" s="2" t="s">
        <v>37</v>
      </c>
      <c r="G652" s="2" t="s">
        <v>35</v>
      </c>
      <c r="H652" s="2" t="s">
        <v>1841</v>
      </c>
      <c r="I652" s="2" t="s">
        <v>12</v>
      </c>
      <c r="J652" s="2" t="s">
        <v>40</v>
      </c>
      <c r="K652" s="2" t="s">
        <v>2294</v>
      </c>
      <c r="L652" s="2" t="s">
        <v>42</v>
      </c>
      <c r="M652" s="2" t="s">
        <v>2295</v>
      </c>
      <c r="N652" s="2" t="s">
        <v>35</v>
      </c>
      <c r="O652" s="2" t="s">
        <v>1409</v>
      </c>
      <c r="P652" s="2" t="s">
        <v>35</v>
      </c>
      <c r="Q652" s="2" t="s">
        <v>35</v>
      </c>
    </row>
    <row r="653" spans="1:17" ht="129.6">
      <c r="A653" s="8" t="str">
        <f>HYPERLINK("http://sipi.sic.gov.co/sipi/View.ashx?4476697","SD2022/0123119")</f>
        <v>SD2022/0123119</v>
      </c>
      <c r="B653" s="2" t="s">
        <v>2296</v>
      </c>
      <c r="C653" s="2" t="s">
        <v>35</v>
      </c>
      <c r="D653" s="2" t="s">
        <v>1687</v>
      </c>
      <c r="E653" s="2" t="s">
        <v>35</v>
      </c>
      <c r="F653" s="2" t="s">
        <v>37</v>
      </c>
      <c r="G653" s="2" t="s">
        <v>2297</v>
      </c>
      <c r="H653" s="2" t="s">
        <v>1923</v>
      </c>
      <c r="I653" s="2" t="s">
        <v>444</v>
      </c>
      <c r="J653" s="2" t="s">
        <v>40</v>
      </c>
      <c r="K653" s="2" t="s">
        <v>2298</v>
      </c>
      <c r="L653" s="2" t="s">
        <v>42</v>
      </c>
      <c r="M653" s="2" t="s">
        <v>409</v>
      </c>
      <c r="N653" s="2" t="s">
        <v>35</v>
      </c>
      <c r="O653" s="2" t="s">
        <v>2041</v>
      </c>
      <c r="P653" s="2" t="s">
        <v>35</v>
      </c>
      <c r="Q653" s="2" t="s">
        <v>35</v>
      </c>
    </row>
    <row r="654" spans="1:17" ht="86.4">
      <c r="A654" s="8" t="str">
        <f>HYPERLINK("http://sipi.sic.gov.co/sipi/View.ashx?4476782","SD2022/0123131")</f>
        <v>SD2022/0123131</v>
      </c>
      <c r="B654" s="2" t="s">
        <v>2299</v>
      </c>
      <c r="C654" s="7" t="s">
        <v>35</v>
      </c>
      <c r="D654" s="2" t="s">
        <v>1687</v>
      </c>
      <c r="E654" s="2" t="s">
        <v>35</v>
      </c>
      <c r="F654" s="2" t="s">
        <v>37</v>
      </c>
      <c r="G654" s="2" t="s">
        <v>35</v>
      </c>
      <c r="H654" s="2" t="s">
        <v>2300</v>
      </c>
      <c r="I654" s="2" t="s">
        <v>12</v>
      </c>
      <c r="J654" s="2" t="s">
        <v>40</v>
      </c>
      <c r="K654" s="2" t="s">
        <v>2294</v>
      </c>
      <c r="L654" s="2" t="s">
        <v>55</v>
      </c>
      <c r="M654" s="2" t="s">
        <v>35</v>
      </c>
      <c r="N654" s="2" t="s">
        <v>35</v>
      </c>
      <c r="O654" s="2" t="s">
        <v>2041</v>
      </c>
      <c r="P654" s="2" t="s">
        <v>35</v>
      </c>
      <c r="Q654" s="2" t="s">
        <v>35</v>
      </c>
    </row>
    <row r="655" spans="1:17" ht="115.2">
      <c r="A655" s="8" t="str">
        <f>HYPERLINK("http://sipi.sic.gov.co/sipi/View.ashx?4477112","SD2022/0123604")</f>
        <v>SD2022/0123604</v>
      </c>
      <c r="B655" s="2" t="s">
        <v>2301</v>
      </c>
      <c r="C655" s="2" t="s">
        <v>35</v>
      </c>
      <c r="D655" s="2" t="s">
        <v>1687</v>
      </c>
      <c r="E655" s="2" t="s">
        <v>35</v>
      </c>
      <c r="F655" s="2" t="s">
        <v>37</v>
      </c>
      <c r="G655" s="2" t="s">
        <v>2302</v>
      </c>
      <c r="H655" s="2" t="s">
        <v>2303</v>
      </c>
      <c r="I655" s="2" t="s">
        <v>444</v>
      </c>
      <c r="J655" s="2" t="s">
        <v>40</v>
      </c>
      <c r="K655" s="2" t="s">
        <v>2304</v>
      </c>
      <c r="L655" s="2" t="s">
        <v>42</v>
      </c>
      <c r="M655" s="2" t="s">
        <v>502</v>
      </c>
      <c r="N655" s="2" t="s">
        <v>35</v>
      </c>
      <c r="O655" s="2" t="s">
        <v>1303</v>
      </c>
      <c r="P655" s="2" t="s">
        <v>35</v>
      </c>
      <c r="Q655" s="2" t="s">
        <v>35</v>
      </c>
    </row>
    <row r="656" spans="1:17" ht="144">
      <c r="A656" s="8" t="str">
        <f>HYPERLINK("http://sipi.sic.gov.co/sipi/View.ashx?4480458","SD2022/0124049")</f>
        <v>SD2022/0124049</v>
      </c>
      <c r="B656" s="2" t="s">
        <v>35</v>
      </c>
      <c r="C656" s="7" t="s">
        <v>35</v>
      </c>
      <c r="D656" s="2" t="s">
        <v>2305</v>
      </c>
      <c r="E656" s="2" t="s">
        <v>35</v>
      </c>
      <c r="F656" s="2" t="s">
        <v>37</v>
      </c>
      <c r="G656" s="2" t="s">
        <v>2306</v>
      </c>
      <c r="H656" s="2" t="s">
        <v>2307</v>
      </c>
      <c r="I656" s="2" t="s">
        <v>12</v>
      </c>
      <c r="J656" s="2" t="s">
        <v>40</v>
      </c>
      <c r="K656" s="2" t="s">
        <v>2308</v>
      </c>
      <c r="L656" s="2" t="s">
        <v>42</v>
      </c>
      <c r="M656" s="2" t="s">
        <v>427</v>
      </c>
      <c r="N656" s="2" t="s">
        <v>35</v>
      </c>
      <c r="O656" s="2" t="s">
        <v>1733</v>
      </c>
      <c r="P656" s="2" t="s">
        <v>35</v>
      </c>
      <c r="Q656" s="2" t="s">
        <v>35</v>
      </c>
    </row>
    <row r="657" spans="1:17" ht="115.2">
      <c r="A657" s="8" t="str">
        <f>HYPERLINK("http://sipi.sic.gov.co/sipi/View.ashx?4480662","SD2022/0125225")</f>
        <v>SD2022/0125225</v>
      </c>
      <c r="B657" s="2" t="s">
        <v>2309</v>
      </c>
      <c r="C657" s="7" t="s">
        <v>35</v>
      </c>
      <c r="D657" s="2" t="s">
        <v>2168</v>
      </c>
      <c r="E657" s="2" t="s">
        <v>35</v>
      </c>
      <c r="F657" s="2" t="s">
        <v>37</v>
      </c>
      <c r="G657" s="2" t="s">
        <v>2309</v>
      </c>
      <c r="H657" s="2" t="s">
        <v>2310</v>
      </c>
      <c r="I657" s="2" t="s">
        <v>12</v>
      </c>
      <c r="J657" s="2" t="s">
        <v>40</v>
      </c>
      <c r="K657" s="2" t="s">
        <v>41</v>
      </c>
      <c r="L657" s="2" t="s">
        <v>42</v>
      </c>
      <c r="M657" s="2" t="s">
        <v>35</v>
      </c>
      <c r="N657" s="2" t="s">
        <v>35</v>
      </c>
      <c r="O657" s="2" t="s">
        <v>1790</v>
      </c>
      <c r="P657" s="2" t="s">
        <v>35</v>
      </c>
      <c r="Q657" s="2" t="s">
        <v>35</v>
      </c>
    </row>
    <row r="658" spans="1:17" ht="115.2">
      <c r="A658" s="8" t="str">
        <f>HYPERLINK("http://sipi.sic.gov.co/sipi/View.ashx?4480728","SD2022/0125216")</f>
        <v>SD2022/0125216</v>
      </c>
      <c r="B658" s="2" t="s">
        <v>2311</v>
      </c>
      <c r="C658" s="7" t="s">
        <v>35</v>
      </c>
      <c r="D658" s="2" t="s">
        <v>2168</v>
      </c>
      <c r="E658" s="2" t="s">
        <v>35</v>
      </c>
      <c r="F658" s="2" t="s">
        <v>37</v>
      </c>
      <c r="G658" s="2" t="s">
        <v>2311</v>
      </c>
      <c r="H658" s="2" t="s">
        <v>2310</v>
      </c>
      <c r="I658" s="2" t="s">
        <v>12</v>
      </c>
      <c r="J658" s="2" t="s">
        <v>40</v>
      </c>
      <c r="K658" s="2" t="s">
        <v>41</v>
      </c>
      <c r="L658" s="2" t="s">
        <v>42</v>
      </c>
      <c r="M658" s="2" t="s">
        <v>35</v>
      </c>
      <c r="N658" s="2" t="s">
        <v>35</v>
      </c>
      <c r="O658" s="2" t="s">
        <v>1790</v>
      </c>
      <c r="P658" s="2" t="s">
        <v>35</v>
      </c>
      <c r="Q658" s="2" t="s">
        <v>35</v>
      </c>
    </row>
    <row r="659" spans="1:17" ht="409.6">
      <c r="A659" s="8" t="str">
        <f>HYPERLINK("http://sipi.sic.gov.co/sipi/View.ashx?4480960","SD2022/0124202")</f>
        <v>SD2022/0124202</v>
      </c>
      <c r="B659" s="2" t="s">
        <v>2312</v>
      </c>
      <c r="C659" s="7" t="s">
        <v>35</v>
      </c>
      <c r="D659" s="2" t="s">
        <v>2305</v>
      </c>
      <c r="E659" s="2" t="s">
        <v>35</v>
      </c>
      <c r="F659" s="2" t="s">
        <v>37</v>
      </c>
      <c r="G659" s="2" t="s">
        <v>2313</v>
      </c>
      <c r="H659" s="2" t="s">
        <v>2314</v>
      </c>
      <c r="I659" s="2" t="s">
        <v>12</v>
      </c>
      <c r="J659" s="2" t="s">
        <v>40</v>
      </c>
      <c r="K659" s="2" t="s">
        <v>2315</v>
      </c>
      <c r="L659" s="2" t="s">
        <v>42</v>
      </c>
      <c r="M659" s="2" t="s">
        <v>2316</v>
      </c>
      <c r="N659" s="2" t="s">
        <v>35</v>
      </c>
      <c r="O659" s="2" t="s">
        <v>1655</v>
      </c>
      <c r="P659" s="2" t="s">
        <v>35</v>
      </c>
      <c r="Q659" s="2" t="s">
        <v>35</v>
      </c>
    </row>
    <row r="660" spans="1:17" ht="115.2">
      <c r="A660" s="8" t="str">
        <f>HYPERLINK("http://sipi.sic.gov.co/sipi/View.ashx?4481582","SD2022/0124400")</f>
        <v>SD2022/0124400</v>
      </c>
      <c r="B660" s="2" t="s">
        <v>2317</v>
      </c>
      <c r="C660" s="2" t="s">
        <v>35</v>
      </c>
      <c r="D660" s="2" t="s">
        <v>2318</v>
      </c>
      <c r="E660" s="2" t="s">
        <v>35</v>
      </c>
      <c r="F660" s="2" t="s">
        <v>37</v>
      </c>
      <c r="G660" s="2" t="s">
        <v>2319</v>
      </c>
      <c r="H660" s="2" t="s">
        <v>2268</v>
      </c>
      <c r="I660" s="2" t="s">
        <v>12</v>
      </c>
      <c r="J660" s="2" t="s">
        <v>40</v>
      </c>
      <c r="K660" s="2" t="s">
        <v>2272</v>
      </c>
      <c r="L660" s="2" t="s">
        <v>42</v>
      </c>
      <c r="M660" s="2" t="s">
        <v>2270</v>
      </c>
      <c r="N660" s="2" t="s">
        <v>35</v>
      </c>
      <c r="O660" s="2" t="s">
        <v>1409</v>
      </c>
      <c r="P660" s="2" t="s">
        <v>35</v>
      </c>
      <c r="Q660" s="2" t="s">
        <v>35</v>
      </c>
    </row>
    <row r="661" spans="1:17" ht="129.6">
      <c r="A661" s="8" t="str">
        <f>HYPERLINK("http://sipi.sic.gov.co/sipi/View.ashx?4481660","SD2022/0125661")</f>
        <v>SD2022/0125661</v>
      </c>
      <c r="B661" s="2" t="s">
        <v>2320</v>
      </c>
      <c r="C661" s="7" t="s">
        <v>35</v>
      </c>
      <c r="D661" s="2" t="s">
        <v>2321</v>
      </c>
      <c r="E661" s="2" t="s">
        <v>35</v>
      </c>
      <c r="F661" s="2" t="s">
        <v>37</v>
      </c>
      <c r="G661" s="2" t="s">
        <v>2320</v>
      </c>
      <c r="H661" s="2" t="s">
        <v>2322</v>
      </c>
      <c r="I661" s="2" t="s">
        <v>250</v>
      </c>
      <c r="J661" s="2" t="s">
        <v>40</v>
      </c>
      <c r="K661" s="2" t="s">
        <v>2323</v>
      </c>
      <c r="L661" s="2" t="s">
        <v>42</v>
      </c>
      <c r="M661" s="2" t="s">
        <v>35</v>
      </c>
      <c r="N661" s="2" t="s">
        <v>35</v>
      </c>
      <c r="O661" s="2" t="s">
        <v>1790</v>
      </c>
      <c r="P661" s="2" t="s">
        <v>35</v>
      </c>
      <c r="Q661" s="2" t="s">
        <v>35</v>
      </c>
    </row>
    <row r="662" spans="1:17" ht="115.2">
      <c r="A662" s="8" t="str">
        <f>HYPERLINK("http://sipi.sic.gov.co/sipi/View.ashx?4481693","SD2022/0124486")</f>
        <v>SD2022/0124486</v>
      </c>
      <c r="B662" s="2" t="s">
        <v>2324</v>
      </c>
      <c r="C662" s="7" t="s">
        <v>35</v>
      </c>
      <c r="D662" s="2" t="s">
        <v>2318</v>
      </c>
      <c r="E662" s="2" t="s">
        <v>35</v>
      </c>
      <c r="F662" s="2" t="s">
        <v>37</v>
      </c>
      <c r="G662" s="2" t="s">
        <v>2324</v>
      </c>
      <c r="H662" s="2" t="s">
        <v>2325</v>
      </c>
      <c r="I662" s="2" t="s">
        <v>2326</v>
      </c>
      <c r="J662" s="2" t="s">
        <v>40</v>
      </c>
      <c r="K662" s="2" t="s">
        <v>2327</v>
      </c>
      <c r="L662" s="2" t="s">
        <v>42</v>
      </c>
      <c r="M662" s="2" t="s">
        <v>2328</v>
      </c>
      <c r="N662" s="2" t="s">
        <v>35</v>
      </c>
      <c r="O662" s="2" t="s">
        <v>493</v>
      </c>
      <c r="P662" s="2" t="s">
        <v>35</v>
      </c>
      <c r="Q662" s="2" t="s">
        <v>35</v>
      </c>
    </row>
    <row r="663" spans="1:17" ht="115.2">
      <c r="A663" s="8" t="str">
        <f>HYPERLINK("http://sipi.sic.gov.co/sipi/View.ashx?4481827","SD2022/0124474")</f>
        <v>SD2022/0124474</v>
      </c>
      <c r="B663" s="2" t="s">
        <v>2329</v>
      </c>
      <c r="C663" s="2" t="s">
        <v>35</v>
      </c>
      <c r="D663" s="2" t="s">
        <v>2318</v>
      </c>
      <c r="E663" s="2" t="s">
        <v>35</v>
      </c>
      <c r="F663" s="2" t="s">
        <v>37</v>
      </c>
      <c r="G663" s="2" t="s">
        <v>2319</v>
      </c>
      <c r="H663" s="2" t="s">
        <v>2268</v>
      </c>
      <c r="I663" s="2" t="s">
        <v>12</v>
      </c>
      <c r="J663" s="2" t="s">
        <v>40</v>
      </c>
      <c r="K663" s="2" t="s">
        <v>2272</v>
      </c>
      <c r="L663" s="2" t="s">
        <v>55</v>
      </c>
      <c r="M663" s="2" t="s">
        <v>2270</v>
      </c>
      <c r="N663" s="2" t="s">
        <v>35</v>
      </c>
      <c r="O663" s="2" t="s">
        <v>1409</v>
      </c>
      <c r="P663" s="2" t="s">
        <v>35</v>
      </c>
      <c r="Q663" s="2" t="s">
        <v>35</v>
      </c>
    </row>
    <row r="664" spans="1:17" ht="115.2">
      <c r="A664" s="8" t="str">
        <f>HYPERLINK("http://sipi.sic.gov.co/sipi/View.ashx?4481930","SD2022/0124518")</f>
        <v>SD2022/0124518</v>
      </c>
      <c r="B664" s="2" t="s">
        <v>2330</v>
      </c>
      <c r="C664" s="2" t="s">
        <v>35</v>
      </c>
      <c r="D664" s="2" t="s">
        <v>2318</v>
      </c>
      <c r="E664" s="2" t="s">
        <v>35</v>
      </c>
      <c r="F664" s="2" t="s">
        <v>37</v>
      </c>
      <c r="G664" s="2" t="s">
        <v>2319</v>
      </c>
      <c r="H664" s="2" t="s">
        <v>2268</v>
      </c>
      <c r="I664" s="2" t="s">
        <v>12</v>
      </c>
      <c r="J664" s="2" t="s">
        <v>40</v>
      </c>
      <c r="K664" s="2" t="s">
        <v>2272</v>
      </c>
      <c r="L664" s="2" t="s">
        <v>42</v>
      </c>
      <c r="M664" s="2" t="s">
        <v>2270</v>
      </c>
      <c r="N664" s="2" t="s">
        <v>35</v>
      </c>
      <c r="O664" s="2" t="s">
        <v>1409</v>
      </c>
      <c r="P664" s="2" t="s">
        <v>35</v>
      </c>
      <c r="Q664" s="2" t="s">
        <v>35</v>
      </c>
    </row>
    <row r="665" spans="1:17" ht="129.6">
      <c r="A665" s="8" t="str">
        <f>HYPERLINK("http://sipi.sic.gov.co/sipi/View.ashx?4482039","SD2022/0124573")</f>
        <v>SD2022/0124573</v>
      </c>
      <c r="B665" s="2" t="s">
        <v>2331</v>
      </c>
      <c r="C665" s="2" t="s">
        <v>35</v>
      </c>
      <c r="D665" s="2" t="s">
        <v>2318</v>
      </c>
      <c r="E665" s="2" t="s">
        <v>35</v>
      </c>
      <c r="F665" s="2" t="s">
        <v>37</v>
      </c>
      <c r="G665" s="2" t="s">
        <v>2319</v>
      </c>
      <c r="H665" s="2" t="s">
        <v>2268</v>
      </c>
      <c r="I665" s="2" t="s">
        <v>444</v>
      </c>
      <c r="J665" s="2" t="s">
        <v>40</v>
      </c>
      <c r="K665" s="2" t="s">
        <v>2269</v>
      </c>
      <c r="L665" s="2" t="s">
        <v>42</v>
      </c>
      <c r="M665" s="2" t="s">
        <v>2270</v>
      </c>
      <c r="N665" s="2" t="s">
        <v>35</v>
      </c>
      <c r="O665" s="2" t="s">
        <v>1409</v>
      </c>
      <c r="P665" s="2" t="s">
        <v>35</v>
      </c>
      <c r="Q665" s="2" t="s">
        <v>35</v>
      </c>
    </row>
    <row r="666" spans="1:17" ht="115.2">
      <c r="A666" s="8" t="str">
        <f>HYPERLINK("http://sipi.sic.gov.co/sipi/View.ashx?4482080","SD2022/0124584")</f>
        <v>SD2022/0124584</v>
      </c>
      <c r="B666" s="2" t="s">
        <v>2332</v>
      </c>
      <c r="C666" s="2" t="s">
        <v>35</v>
      </c>
      <c r="D666" s="2" t="s">
        <v>2318</v>
      </c>
      <c r="E666" s="2" t="s">
        <v>35</v>
      </c>
      <c r="F666" s="2" t="s">
        <v>37</v>
      </c>
      <c r="G666" s="2" t="s">
        <v>2319</v>
      </c>
      <c r="H666" s="2" t="s">
        <v>2268</v>
      </c>
      <c r="I666" s="2" t="s">
        <v>12</v>
      </c>
      <c r="J666" s="2" t="s">
        <v>40</v>
      </c>
      <c r="K666" s="2" t="s">
        <v>2272</v>
      </c>
      <c r="L666" s="2" t="s">
        <v>55</v>
      </c>
      <c r="M666" s="2" t="s">
        <v>2270</v>
      </c>
      <c r="N666" s="2" t="s">
        <v>35</v>
      </c>
      <c r="O666" s="2" t="s">
        <v>1409</v>
      </c>
      <c r="P666" s="2" t="s">
        <v>35</v>
      </c>
      <c r="Q666" s="2" t="s">
        <v>35</v>
      </c>
    </row>
    <row r="667" spans="1:17" ht="129.6">
      <c r="A667" s="8" t="str">
        <f>HYPERLINK("http://sipi.sic.gov.co/sipi/View.ashx?4482483","SD2022/0124751")</f>
        <v>SD2022/0124751</v>
      </c>
      <c r="B667" s="2" t="s">
        <v>2333</v>
      </c>
      <c r="C667" s="2" t="s">
        <v>35</v>
      </c>
      <c r="D667" s="2" t="s">
        <v>2318</v>
      </c>
      <c r="E667" s="2" t="s">
        <v>35</v>
      </c>
      <c r="F667" s="2" t="s">
        <v>37</v>
      </c>
      <c r="G667" s="2" t="s">
        <v>35</v>
      </c>
      <c r="H667" s="2" t="s">
        <v>2334</v>
      </c>
      <c r="I667" s="2" t="s">
        <v>61</v>
      </c>
      <c r="J667" s="2" t="s">
        <v>40</v>
      </c>
      <c r="K667" s="2" t="s">
        <v>2335</v>
      </c>
      <c r="L667" s="2" t="s">
        <v>42</v>
      </c>
      <c r="M667" s="2" t="s">
        <v>48</v>
      </c>
      <c r="N667" s="2" t="s">
        <v>35</v>
      </c>
      <c r="O667" s="2" t="s">
        <v>1476</v>
      </c>
      <c r="P667" s="2" t="s">
        <v>35</v>
      </c>
      <c r="Q667" s="2" t="s">
        <v>35</v>
      </c>
    </row>
    <row r="668" spans="1:17" ht="100.8">
      <c r="A668" s="8" t="str">
        <f>HYPERLINK("http://sipi.sic.gov.co/sipi/View.ashx?4482978","SD2022/0124903")</f>
        <v>SD2022/0124903</v>
      </c>
      <c r="B668" s="2" t="s">
        <v>2336</v>
      </c>
      <c r="C668" s="7" t="s">
        <v>35</v>
      </c>
      <c r="D668" s="2" t="s">
        <v>2318</v>
      </c>
      <c r="E668" s="2" t="s">
        <v>35</v>
      </c>
      <c r="F668" s="2" t="s">
        <v>37</v>
      </c>
      <c r="G668" s="2" t="s">
        <v>2337</v>
      </c>
      <c r="H668" s="2" t="s">
        <v>2338</v>
      </c>
      <c r="I668" s="2" t="s">
        <v>12</v>
      </c>
      <c r="J668" s="2" t="s">
        <v>40</v>
      </c>
      <c r="K668" s="2" t="s">
        <v>2339</v>
      </c>
      <c r="L668" s="2" t="s">
        <v>42</v>
      </c>
      <c r="M668" s="2" t="s">
        <v>2340</v>
      </c>
      <c r="N668" s="2" t="s">
        <v>35</v>
      </c>
      <c r="O668" s="2" t="s">
        <v>762</v>
      </c>
      <c r="P668" s="2" t="s">
        <v>35</v>
      </c>
      <c r="Q668" s="2" t="s">
        <v>35</v>
      </c>
    </row>
    <row r="669" spans="1:17" ht="100.8">
      <c r="A669" s="8" t="str">
        <f>HYPERLINK("http://sipi.sic.gov.co/sipi/View.ashx?4483500","SD2022/0125106")</f>
        <v>SD2022/0125106</v>
      </c>
      <c r="B669" s="2" t="s">
        <v>2341</v>
      </c>
      <c r="C669" s="7" t="s">
        <v>35</v>
      </c>
      <c r="D669" s="2" t="s">
        <v>2168</v>
      </c>
      <c r="E669" s="2" t="s">
        <v>35</v>
      </c>
      <c r="F669" s="2" t="s">
        <v>37</v>
      </c>
      <c r="G669" s="2" t="s">
        <v>35</v>
      </c>
      <c r="H669" s="2" t="s">
        <v>1811</v>
      </c>
      <c r="I669" s="2" t="s">
        <v>12</v>
      </c>
      <c r="J669" s="2" t="s">
        <v>40</v>
      </c>
      <c r="K669" s="2" t="s">
        <v>1812</v>
      </c>
      <c r="L669" s="2" t="s">
        <v>42</v>
      </c>
      <c r="M669" s="2" t="s">
        <v>290</v>
      </c>
      <c r="N669" s="2" t="s">
        <v>35</v>
      </c>
      <c r="O669" s="2" t="s">
        <v>1476</v>
      </c>
      <c r="P669" s="2" t="s">
        <v>35</v>
      </c>
      <c r="Q669" s="2" t="s">
        <v>35</v>
      </c>
    </row>
    <row r="670" spans="1:17" ht="187.2">
      <c r="A670" s="8" t="str">
        <f>HYPERLINK("http://sipi.sic.gov.co/sipi/View.ashx?4484470","SD2022/0125527")</f>
        <v>SD2022/0125527</v>
      </c>
      <c r="B670" s="2" t="s">
        <v>2342</v>
      </c>
      <c r="C670" s="2" t="s">
        <v>35</v>
      </c>
      <c r="D670" s="2" t="s">
        <v>2168</v>
      </c>
      <c r="E670" s="2" t="s">
        <v>35</v>
      </c>
      <c r="F670" s="2" t="s">
        <v>37</v>
      </c>
      <c r="G670" s="2" t="s">
        <v>2343</v>
      </c>
      <c r="H670" s="2" t="s">
        <v>2344</v>
      </c>
      <c r="I670" s="2" t="s">
        <v>991</v>
      </c>
      <c r="J670" s="2" t="s">
        <v>40</v>
      </c>
      <c r="K670" s="2" t="s">
        <v>2345</v>
      </c>
      <c r="L670" s="2" t="s">
        <v>42</v>
      </c>
      <c r="M670" s="2" t="s">
        <v>502</v>
      </c>
      <c r="N670" s="2" t="s">
        <v>35</v>
      </c>
      <c r="O670" s="2" t="s">
        <v>2346</v>
      </c>
      <c r="P670" s="2" t="s">
        <v>35</v>
      </c>
      <c r="Q670" s="2" t="s">
        <v>35</v>
      </c>
    </row>
    <row r="671" spans="1:17" ht="302.39999999999998">
      <c r="A671" s="8" t="str">
        <f>HYPERLINK("http://sipi.sic.gov.co/sipi/View.ashx?4485366","SD2022/0125613")</f>
        <v>SD2022/0125613</v>
      </c>
      <c r="B671" s="2" t="s">
        <v>2347</v>
      </c>
      <c r="C671" s="7" t="s">
        <v>35</v>
      </c>
      <c r="D671" s="2" t="s">
        <v>2348</v>
      </c>
      <c r="E671" s="2" t="s">
        <v>35</v>
      </c>
      <c r="F671" s="2" t="s">
        <v>37</v>
      </c>
      <c r="G671" s="2" t="s">
        <v>2349</v>
      </c>
      <c r="H671" s="2" t="s">
        <v>2350</v>
      </c>
      <c r="I671" s="2" t="s">
        <v>12</v>
      </c>
      <c r="J671" s="2" t="s">
        <v>40</v>
      </c>
      <c r="K671" s="2" t="s">
        <v>2351</v>
      </c>
      <c r="L671" s="2" t="s">
        <v>42</v>
      </c>
      <c r="M671" s="2" t="s">
        <v>35</v>
      </c>
      <c r="N671" s="2" t="s">
        <v>35</v>
      </c>
      <c r="O671" s="2" t="s">
        <v>1409</v>
      </c>
      <c r="P671" s="2" t="s">
        <v>35</v>
      </c>
      <c r="Q671" s="2" t="s">
        <v>35</v>
      </c>
    </row>
    <row r="672" spans="1:17" ht="144">
      <c r="A672" s="8" t="str">
        <f>HYPERLINK("http://sipi.sic.gov.co/sipi/View.ashx?4486092","SD2022/0125927")</f>
        <v>SD2022/0125927</v>
      </c>
      <c r="B672" s="2" t="s">
        <v>2352</v>
      </c>
      <c r="C672" s="2" t="s">
        <v>35</v>
      </c>
      <c r="D672" s="2" t="s">
        <v>2353</v>
      </c>
      <c r="E672" s="2" t="s">
        <v>35</v>
      </c>
      <c r="F672" s="2" t="s">
        <v>37</v>
      </c>
      <c r="G672" s="2" t="s">
        <v>2354</v>
      </c>
      <c r="H672" s="2" t="s">
        <v>1069</v>
      </c>
      <c r="I672" s="2" t="s">
        <v>12</v>
      </c>
      <c r="J672" s="2" t="s">
        <v>40</v>
      </c>
      <c r="K672" s="2" t="s">
        <v>2355</v>
      </c>
      <c r="L672" s="2" t="s">
        <v>42</v>
      </c>
      <c r="M672" s="2" t="s">
        <v>833</v>
      </c>
      <c r="N672" s="2" t="s">
        <v>35</v>
      </c>
      <c r="O672" s="2" t="s">
        <v>1303</v>
      </c>
      <c r="P672" s="2" t="s">
        <v>35</v>
      </c>
      <c r="Q672" s="2" t="s">
        <v>35</v>
      </c>
    </row>
    <row r="673" spans="1:17" ht="409.6">
      <c r="A673" s="8" t="str">
        <f>HYPERLINK("http://sipi.sic.gov.co/sipi/View.ashx?4486446","SD2022/0125827")</f>
        <v>SD2022/0125827</v>
      </c>
      <c r="B673" s="2" t="s">
        <v>2356</v>
      </c>
      <c r="C673" s="2" t="s">
        <v>35</v>
      </c>
      <c r="D673" s="2" t="s">
        <v>2353</v>
      </c>
      <c r="E673" s="2" t="s">
        <v>35</v>
      </c>
      <c r="F673" s="2" t="s">
        <v>37</v>
      </c>
      <c r="G673" s="2" t="s">
        <v>2357</v>
      </c>
      <c r="H673" s="2" t="s">
        <v>2358</v>
      </c>
      <c r="I673" s="2" t="s">
        <v>2359</v>
      </c>
      <c r="J673" s="2" t="s">
        <v>40</v>
      </c>
      <c r="K673" s="2" t="s">
        <v>2360</v>
      </c>
      <c r="L673" s="2" t="s">
        <v>42</v>
      </c>
      <c r="M673" s="2" t="s">
        <v>35</v>
      </c>
      <c r="N673" s="2" t="s">
        <v>35</v>
      </c>
      <c r="O673" s="2" t="s">
        <v>1409</v>
      </c>
      <c r="P673" s="2" t="s">
        <v>35</v>
      </c>
      <c r="Q673" s="2" t="s">
        <v>35</v>
      </c>
    </row>
    <row r="674" spans="1:17" ht="409.6">
      <c r="A674" s="8" t="str">
        <f>HYPERLINK("http://sipi.sic.gov.co/sipi/View.ashx?4486584","SD2022/0125846")</f>
        <v>SD2022/0125846</v>
      </c>
      <c r="B674" s="2" t="s">
        <v>2361</v>
      </c>
      <c r="C674" s="2" t="s">
        <v>35</v>
      </c>
      <c r="D674" s="2" t="s">
        <v>2353</v>
      </c>
      <c r="E674" s="2" t="s">
        <v>35</v>
      </c>
      <c r="F674" s="2" t="s">
        <v>37</v>
      </c>
      <c r="G674" s="2" t="s">
        <v>2362</v>
      </c>
      <c r="H674" s="2" t="s">
        <v>2358</v>
      </c>
      <c r="I674" s="2" t="s">
        <v>12</v>
      </c>
      <c r="J674" s="2" t="s">
        <v>40</v>
      </c>
      <c r="K674" s="2" t="s">
        <v>2363</v>
      </c>
      <c r="L674" s="2" t="s">
        <v>42</v>
      </c>
      <c r="M674" s="2" t="s">
        <v>35</v>
      </c>
      <c r="N674" s="2" t="s">
        <v>35</v>
      </c>
      <c r="O674" s="2" t="s">
        <v>1409</v>
      </c>
      <c r="P674" s="2" t="s">
        <v>35</v>
      </c>
      <c r="Q674" s="2" t="s">
        <v>35</v>
      </c>
    </row>
    <row r="675" spans="1:17" ht="409.6">
      <c r="A675" s="8" t="str">
        <f>HYPERLINK("http://sipi.sic.gov.co/sipi/View.ashx?4487440","SD2022/0126022")</f>
        <v>SD2022/0126022</v>
      </c>
      <c r="B675" s="2" t="s">
        <v>2364</v>
      </c>
      <c r="C675" s="2" t="s">
        <v>35</v>
      </c>
      <c r="D675" s="2" t="s">
        <v>2353</v>
      </c>
      <c r="E675" s="2" t="s">
        <v>35</v>
      </c>
      <c r="F675" s="2" t="s">
        <v>37</v>
      </c>
      <c r="G675" s="2" t="s">
        <v>35</v>
      </c>
      <c r="H675" s="2" t="s">
        <v>973</v>
      </c>
      <c r="I675" s="2" t="s">
        <v>12</v>
      </c>
      <c r="J675" s="2" t="s">
        <v>40</v>
      </c>
      <c r="K675" s="2" t="s">
        <v>1699</v>
      </c>
      <c r="L675" s="2" t="s">
        <v>42</v>
      </c>
      <c r="M675" s="2" t="s">
        <v>48</v>
      </c>
      <c r="N675" s="2" t="s">
        <v>35</v>
      </c>
      <c r="O675" s="2" t="s">
        <v>1409</v>
      </c>
      <c r="P675" s="2" t="s">
        <v>35</v>
      </c>
      <c r="Q675" s="2" t="s">
        <v>35</v>
      </c>
    </row>
    <row r="676" spans="1:17" ht="57.6">
      <c r="A676" s="8" t="str">
        <f>HYPERLINK("http://sipi.sic.gov.co/sipi/View.ashx?4489098","SD2022/0126460")</f>
        <v>SD2022/0126460</v>
      </c>
      <c r="B676" s="2" t="s">
        <v>2365</v>
      </c>
      <c r="C676" s="2" t="s">
        <v>35</v>
      </c>
      <c r="D676" s="2" t="s">
        <v>2366</v>
      </c>
      <c r="E676" s="2" t="s">
        <v>35</v>
      </c>
      <c r="F676" s="2" t="s">
        <v>37</v>
      </c>
      <c r="G676" s="2" t="s">
        <v>35</v>
      </c>
      <c r="H676" s="2" t="s">
        <v>2367</v>
      </c>
      <c r="I676" s="2" t="s">
        <v>12</v>
      </c>
      <c r="J676" s="2" t="s">
        <v>40</v>
      </c>
      <c r="K676" s="2" t="s">
        <v>2368</v>
      </c>
      <c r="L676" s="2" t="s">
        <v>55</v>
      </c>
      <c r="M676" s="2" t="s">
        <v>35</v>
      </c>
      <c r="N676" s="2" t="s">
        <v>35</v>
      </c>
      <c r="O676" s="2" t="s">
        <v>1409</v>
      </c>
      <c r="P676" s="2" t="s">
        <v>35</v>
      </c>
      <c r="Q676" s="2" t="s">
        <v>35</v>
      </c>
    </row>
    <row r="677" spans="1:17" ht="57.6">
      <c r="A677" s="8" t="str">
        <f>HYPERLINK("http://sipi.sic.gov.co/sipi/View.ashx?4489143","SD2022/0126469")</f>
        <v>SD2022/0126469</v>
      </c>
      <c r="B677" s="2" t="s">
        <v>2369</v>
      </c>
      <c r="C677" s="2" t="s">
        <v>35</v>
      </c>
      <c r="D677" s="2" t="s">
        <v>2366</v>
      </c>
      <c r="E677" s="2" t="s">
        <v>35</v>
      </c>
      <c r="F677" s="2" t="s">
        <v>37</v>
      </c>
      <c r="G677" s="2" t="s">
        <v>35</v>
      </c>
      <c r="H677" s="2" t="s">
        <v>2367</v>
      </c>
      <c r="I677" s="2" t="s">
        <v>12</v>
      </c>
      <c r="J677" s="2" t="s">
        <v>40</v>
      </c>
      <c r="K677" s="2" t="s">
        <v>2368</v>
      </c>
      <c r="L677" s="2" t="s">
        <v>42</v>
      </c>
      <c r="M677" s="2" t="s">
        <v>35</v>
      </c>
      <c r="N677" s="2" t="s">
        <v>35</v>
      </c>
      <c r="O677" s="2" t="s">
        <v>1409</v>
      </c>
      <c r="P677" s="2" t="s">
        <v>35</v>
      </c>
      <c r="Q677" s="2" t="s">
        <v>35</v>
      </c>
    </row>
    <row r="678" spans="1:17" ht="129.6">
      <c r="A678" s="8" t="str">
        <f>HYPERLINK("http://sipi.sic.gov.co/sipi/View.ashx?4489739","SD2022/0126652")</f>
        <v>SD2022/0126652</v>
      </c>
      <c r="B678" s="2" t="s">
        <v>2370</v>
      </c>
      <c r="C678" s="7" t="s">
        <v>35</v>
      </c>
      <c r="D678" s="2" t="s">
        <v>2366</v>
      </c>
      <c r="E678" s="2" t="s">
        <v>35</v>
      </c>
      <c r="F678" s="2" t="s">
        <v>37</v>
      </c>
      <c r="G678" s="2" t="s">
        <v>35</v>
      </c>
      <c r="H678" s="2" t="s">
        <v>2371</v>
      </c>
      <c r="I678" s="2" t="s">
        <v>2372</v>
      </c>
      <c r="J678" s="2" t="s">
        <v>40</v>
      </c>
      <c r="K678" s="2" t="s">
        <v>2373</v>
      </c>
      <c r="L678" s="2" t="s">
        <v>42</v>
      </c>
      <c r="M678" s="2" t="s">
        <v>35</v>
      </c>
      <c r="N678" s="2" t="s">
        <v>35</v>
      </c>
      <c r="O678" s="2" t="s">
        <v>2374</v>
      </c>
      <c r="P678" s="2" t="s">
        <v>35</v>
      </c>
      <c r="Q678" s="2" t="s">
        <v>35</v>
      </c>
    </row>
    <row r="679" spans="1:17" ht="115.2">
      <c r="A679" s="8" t="str">
        <f>HYPERLINK("http://sipi.sic.gov.co/sipi/View.ashx?4490817","SD2022/0131372")</f>
        <v>SD2022/0131372</v>
      </c>
      <c r="B679" s="2" t="s">
        <v>2375</v>
      </c>
      <c r="C679" s="7" t="s">
        <v>35</v>
      </c>
      <c r="D679" s="2" t="s">
        <v>2376</v>
      </c>
      <c r="E679" s="2" t="s">
        <v>35</v>
      </c>
      <c r="F679" s="2" t="s">
        <v>37</v>
      </c>
      <c r="G679" s="2" t="s">
        <v>2375</v>
      </c>
      <c r="H679" s="2" t="s">
        <v>958</v>
      </c>
      <c r="I679" s="2" t="s">
        <v>12</v>
      </c>
      <c r="J679" s="2" t="s">
        <v>40</v>
      </c>
      <c r="K679" s="2" t="s">
        <v>41</v>
      </c>
      <c r="L679" s="2" t="s">
        <v>42</v>
      </c>
      <c r="M679" s="2" t="s">
        <v>35</v>
      </c>
      <c r="N679" s="2" t="s">
        <v>35</v>
      </c>
      <c r="O679" s="2" t="s">
        <v>2377</v>
      </c>
      <c r="P679" s="2" t="s">
        <v>35</v>
      </c>
      <c r="Q679" s="2" t="s">
        <v>35</v>
      </c>
    </row>
    <row r="680" spans="1:17" ht="86.4">
      <c r="A680" s="8" t="str">
        <f>HYPERLINK("http://sipi.sic.gov.co/sipi/View.ashx?4491461","SD2022/0126988")</f>
        <v>SD2022/0126988</v>
      </c>
      <c r="B680" s="2" t="s">
        <v>2378</v>
      </c>
      <c r="C680" s="7" t="s">
        <v>35</v>
      </c>
      <c r="D680" s="2" t="s">
        <v>2379</v>
      </c>
      <c r="E680" s="2" t="s">
        <v>35</v>
      </c>
      <c r="F680" s="2" t="s">
        <v>37</v>
      </c>
      <c r="G680" s="2" t="s">
        <v>2378</v>
      </c>
      <c r="H680" s="2" t="s">
        <v>2380</v>
      </c>
      <c r="I680" s="2" t="s">
        <v>12</v>
      </c>
      <c r="J680" s="2" t="s">
        <v>40</v>
      </c>
      <c r="K680" s="2" t="s">
        <v>2381</v>
      </c>
      <c r="L680" s="2" t="s">
        <v>42</v>
      </c>
      <c r="M680" s="2" t="s">
        <v>35</v>
      </c>
      <c r="N680" s="2" t="s">
        <v>35</v>
      </c>
      <c r="O680" s="2" t="s">
        <v>2382</v>
      </c>
      <c r="P680" s="2" t="s">
        <v>35</v>
      </c>
      <c r="Q680" s="2" t="s">
        <v>35</v>
      </c>
    </row>
    <row r="681" spans="1:17" ht="115.2">
      <c r="A681" s="8" t="str">
        <f>HYPERLINK("http://sipi.sic.gov.co/sipi/View.ashx?4491469","SD2022/0131350")</f>
        <v>SD2022/0131350</v>
      </c>
      <c r="B681" s="2" t="s">
        <v>2383</v>
      </c>
      <c r="C681" s="7" t="s">
        <v>35</v>
      </c>
      <c r="D681" s="2" t="s">
        <v>2376</v>
      </c>
      <c r="E681" s="2" t="s">
        <v>35</v>
      </c>
      <c r="F681" s="2" t="s">
        <v>37</v>
      </c>
      <c r="G681" s="2" t="s">
        <v>2383</v>
      </c>
      <c r="H681" s="2" t="s">
        <v>958</v>
      </c>
      <c r="I681" s="2" t="s">
        <v>12</v>
      </c>
      <c r="J681" s="2" t="s">
        <v>40</v>
      </c>
      <c r="K681" s="2" t="s">
        <v>41</v>
      </c>
      <c r="L681" s="2" t="s">
        <v>42</v>
      </c>
      <c r="M681" s="2" t="s">
        <v>35</v>
      </c>
      <c r="N681" s="2" t="s">
        <v>35</v>
      </c>
      <c r="O681" s="2" t="s">
        <v>2041</v>
      </c>
      <c r="P681" s="2" t="s">
        <v>35</v>
      </c>
      <c r="Q681" s="2" t="s">
        <v>35</v>
      </c>
    </row>
    <row r="682" spans="1:17" ht="100.8">
      <c r="A682" s="8" t="str">
        <f>HYPERLINK("http://sipi.sic.gov.co/sipi/View.ashx?4491845","SD2022/0127078")</f>
        <v>SD2022/0127078</v>
      </c>
      <c r="B682" s="2" t="s">
        <v>2384</v>
      </c>
      <c r="C682" s="2" t="s">
        <v>35</v>
      </c>
      <c r="D682" s="2" t="s">
        <v>2376</v>
      </c>
      <c r="E682" s="2" t="s">
        <v>35</v>
      </c>
      <c r="F682" s="2" t="s">
        <v>37</v>
      </c>
      <c r="G682" s="2" t="s">
        <v>2384</v>
      </c>
      <c r="H682" s="2" t="s">
        <v>2385</v>
      </c>
      <c r="I682" s="2" t="s">
        <v>12</v>
      </c>
      <c r="J682" s="2" t="s">
        <v>40</v>
      </c>
      <c r="K682" s="2" t="s">
        <v>2386</v>
      </c>
      <c r="L682" s="2" t="s">
        <v>42</v>
      </c>
      <c r="M682" s="2" t="s">
        <v>2387</v>
      </c>
      <c r="N682" s="2" t="s">
        <v>35</v>
      </c>
      <c r="O682" s="2" t="s">
        <v>1409</v>
      </c>
      <c r="P682" s="2" t="s">
        <v>35</v>
      </c>
      <c r="Q682" s="2" t="s">
        <v>35</v>
      </c>
    </row>
    <row r="683" spans="1:17" ht="187.2">
      <c r="A683" s="8" t="str">
        <f>HYPERLINK("http://sipi.sic.gov.co/sipi/View.ashx?4491913","SD2022/0127102")</f>
        <v>SD2022/0127102</v>
      </c>
      <c r="B683" s="2" t="s">
        <v>2388</v>
      </c>
      <c r="C683" s="7" t="s">
        <v>35</v>
      </c>
      <c r="D683" s="2" t="s">
        <v>2379</v>
      </c>
      <c r="E683" s="2" t="s">
        <v>35</v>
      </c>
      <c r="F683" s="2" t="s">
        <v>37</v>
      </c>
      <c r="G683" s="2" t="s">
        <v>2389</v>
      </c>
      <c r="H683" s="2" t="s">
        <v>841</v>
      </c>
      <c r="I683" s="2" t="s">
        <v>161</v>
      </c>
      <c r="J683" s="2" t="s">
        <v>40</v>
      </c>
      <c r="K683" s="2" t="s">
        <v>2390</v>
      </c>
      <c r="L683" s="2" t="s">
        <v>42</v>
      </c>
      <c r="M683" s="2" t="s">
        <v>451</v>
      </c>
      <c r="N683" s="2" t="s">
        <v>35</v>
      </c>
      <c r="O683" s="2" t="s">
        <v>2041</v>
      </c>
      <c r="P683" s="2" t="s">
        <v>35</v>
      </c>
      <c r="Q683" s="2" t="s">
        <v>35</v>
      </c>
    </row>
    <row r="684" spans="1:17" ht="201.6">
      <c r="A684" s="8" t="str">
        <f>HYPERLINK("http://sipi.sic.gov.co/sipi/View.ashx?4493102","SD2022/0127409")</f>
        <v>SD2022/0127409</v>
      </c>
      <c r="B684" s="2" t="s">
        <v>2391</v>
      </c>
      <c r="C684" s="7" t="s">
        <v>35</v>
      </c>
      <c r="D684" s="2" t="s">
        <v>493</v>
      </c>
      <c r="E684" s="2" t="s">
        <v>35</v>
      </c>
      <c r="F684" s="2" t="s">
        <v>37</v>
      </c>
      <c r="G684" s="2" t="s">
        <v>2391</v>
      </c>
      <c r="H684" s="2" t="s">
        <v>2392</v>
      </c>
      <c r="I684" s="2" t="s">
        <v>61</v>
      </c>
      <c r="J684" s="2" t="s">
        <v>40</v>
      </c>
      <c r="K684" s="2" t="s">
        <v>686</v>
      </c>
      <c r="L684" s="2" t="s">
        <v>42</v>
      </c>
      <c r="M684" s="2" t="s">
        <v>35</v>
      </c>
      <c r="N684" s="2" t="s">
        <v>35</v>
      </c>
      <c r="O684" s="2" t="s">
        <v>1574</v>
      </c>
      <c r="P684" s="2" t="s">
        <v>35</v>
      </c>
      <c r="Q684" s="2" t="s">
        <v>35</v>
      </c>
    </row>
    <row r="685" spans="1:17" ht="129.6">
      <c r="A685" s="8" t="str">
        <f>HYPERLINK("http://sipi.sic.gov.co/sipi/View.ashx?4493642","SD2022/0127575")</f>
        <v>SD2022/0127575</v>
      </c>
      <c r="B685" s="2" t="s">
        <v>2393</v>
      </c>
      <c r="C685" s="2" t="s">
        <v>35</v>
      </c>
      <c r="D685" s="2" t="s">
        <v>493</v>
      </c>
      <c r="E685" s="2" t="s">
        <v>35</v>
      </c>
      <c r="F685" s="2" t="s">
        <v>37</v>
      </c>
      <c r="G685" s="2" t="s">
        <v>35</v>
      </c>
      <c r="H685" s="2" t="s">
        <v>2394</v>
      </c>
      <c r="I685" s="2" t="s">
        <v>12</v>
      </c>
      <c r="J685" s="2" t="s">
        <v>40</v>
      </c>
      <c r="K685" s="2" t="s">
        <v>2395</v>
      </c>
      <c r="L685" s="2" t="s">
        <v>55</v>
      </c>
      <c r="M685" s="2" t="s">
        <v>290</v>
      </c>
      <c r="N685" s="2" t="s">
        <v>35</v>
      </c>
      <c r="O685" s="2" t="s">
        <v>1476</v>
      </c>
      <c r="P685" s="2" t="s">
        <v>35</v>
      </c>
      <c r="Q685" s="2" t="s">
        <v>35</v>
      </c>
    </row>
    <row r="686" spans="1:17" ht="144">
      <c r="A686" s="8" t="str">
        <f>HYPERLINK("http://sipi.sic.gov.co/sipi/View.ashx?4493950","SD2022/0127713")</f>
        <v>SD2022/0127713</v>
      </c>
      <c r="B686" s="2" t="s">
        <v>2396</v>
      </c>
      <c r="C686" s="2" t="s">
        <v>35</v>
      </c>
      <c r="D686" s="2" t="s">
        <v>493</v>
      </c>
      <c r="E686" s="2" t="s">
        <v>35</v>
      </c>
      <c r="F686" s="2" t="s">
        <v>37</v>
      </c>
      <c r="G686" s="2" t="s">
        <v>2397</v>
      </c>
      <c r="H686" s="2" t="s">
        <v>1069</v>
      </c>
      <c r="I686" s="2" t="s">
        <v>12</v>
      </c>
      <c r="J686" s="2" t="s">
        <v>40</v>
      </c>
      <c r="K686" s="2" t="s">
        <v>2398</v>
      </c>
      <c r="L686" s="2" t="s">
        <v>42</v>
      </c>
      <c r="M686" s="2" t="s">
        <v>833</v>
      </c>
      <c r="N686" s="2" t="s">
        <v>35</v>
      </c>
      <c r="O686" s="2" t="s">
        <v>1409</v>
      </c>
      <c r="P686" s="2" t="s">
        <v>35</v>
      </c>
      <c r="Q686" s="2" t="s">
        <v>35</v>
      </c>
    </row>
    <row r="687" spans="1:17" ht="187.2">
      <c r="A687" s="8" t="str">
        <f>HYPERLINK("http://sipi.sic.gov.co/sipi/View.ashx?4496106","SD2022/0128098")</f>
        <v>SD2022/0128098</v>
      </c>
      <c r="B687" s="2" t="s">
        <v>2399</v>
      </c>
      <c r="C687" s="7" t="s">
        <v>35</v>
      </c>
      <c r="D687" s="2" t="s">
        <v>2400</v>
      </c>
      <c r="E687" s="2" t="s">
        <v>35</v>
      </c>
      <c r="F687" s="2" t="s">
        <v>37</v>
      </c>
      <c r="G687" s="2" t="s">
        <v>2401</v>
      </c>
      <c r="H687" s="2" t="s">
        <v>2402</v>
      </c>
      <c r="I687" s="2" t="s">
        <v>12</v>
      </c>
      <c r="J687" s="2" t="s">
        <v>40</v>
      </c>
      <c r="K687" s="2" t="s">
        <v>2403</v>
      </c>
      <c r="L687" s="2" t="s">
        <v>42</v>
      </c>
      <c r="M687" s="2" t="s">
        <v>2404</v>
      </c>
      <c r="N687" s="2" t="s">
        <v>35</v>
      </c>
      <c r="O687" s="2" t="s">
        <v>1303</v>
      </c>
      <c r="P687" s="2" t="s">
        <v>35</v>
      </c>
      <c r="Q687" s="2" t="s">
        <v>35</v>
      </c>
    </row>
    <row r="688" spans="1:17" ht="129.6">
      <c r="A688" s="8" t="str">
        <f>HYPERLINK("http://sipi.sic.gov.co/sipi/View.ashx?4497677","SD2022/0128447")</f>
        <v>SD2022/0128447</v>
      </c>
      <c r="B688" s="2" t="s">
        <v>2405</v>
      </c>
      <c r="C688" s="7" t="s">
        <v>35</v>
      </c>
      <c r="D688" s="2" t="s">
        <v>2406</v>
      </c>
      <c r="E688" s="2" t="s">
        <v>35</v>
      </c>
      <c r="F688" s="2" t="s">
        <v>37</v>
      </c>
      <c r="G688" s="2" t="s">
        <v>2407</v>
      </c>
      <c r="H688" s="2" t="s">
        <v>2408</v>
      </c>
      <c r="I688" s="2" t="s">
        <v>12</v>
      </c>
      <c r="J688" s="2" t="s">
        <v>40</v>
      </c>
      <c r="K688" s="2" t="s">
        <v>2409</v>
      </c>
      <c r="L688" s="2" t="s">
        <v>42</v>
      </c>
      <c r="M688" s="2" t="s">
        <v>417</v>
      </c>
      <c r="N688" s="2" t="s">
        <v>35</v>
      </c>
      <c r="O688" s="2" t="s">
        <v>1303</v>
      </c>
      <c r="P688" s="2" t="s">
        <v>35</v>
      </c>
      <c r="Q688" s="2" t="s">
        <v>35</v>
      </c>
    </row>
    <row r="689" spans="1:17" ht="115.2">
      <c r="A689" s="8" t="str">
        <f>HYPERLINK("http://sipi.sic.gov.co/sipi/View.ashx?4497768","SD2022/0128534")</f>
        <v>SD2022/0128534</v>
      </c>
      <c r="B689" s="2" t="s">
        <v>2410</v>
      </c>
      <c r="C689" s="7" t="s">
        <v>35</v>
      </c>
      <c r="D689" s="2" t="s">
        <v>2406</v>
      </c>
      <c r="E689" s="2" t="s">
        <v>35</v>
      </c>
      <c r="F689" s="2" t="s">
        <v>37</v>
      </c>
      <c r="G689" s="2" t="s">
        <v>2411</v>
      </c>
      <c r="H689" s="2" t="s">
        <v>2412</v>
      </c>
      <c r="I689" s="2" t="s">
        <v>12</v>
      </c>
      <c r="J689" s="2" t="s">
        <v>40</v>
      </c>
      <c r="K689" s="2" t="s">
        <v>2413</v>
      </c>
      <c r="L689" s="2" t="s">
        <v>42</v>
      </c>
      <c r="M689" s="2" t="s">
        <v>204</v>
      </c>
      <c r="N689" s="2" t="s">
        <v>35</v>
      </c>
      <c r="O689" s="2" t="s">
        <v>2041</v>
      </c>
      <c r="P689" s="2" t="s">
        <v>35</v>
      </c>
      <c r="Q689" s="2" t="s">
        <v>35</v>
      </c>
    </row>
    <row r="690" spans="1:17" ht="115.2">
      <c r="A690" s="8" t="str">
        <f>HYPERLINK("http://sipi.sic.gov.co/sipi/View.ashx?4499509","SD2022/0128901")</f>
        <v>SD2022/0128901</v>
      </c>
      <c r="B690" s="2" t="s">
        <v>2414</v>
      </c>
      <c r="C690" s="7" t="s">
        <v>35</v>
      </c>
      <c r="D690" s="2" t="s">
        <v>2415</v>
      </c>
      <c r="E690" s="2" t="s">
        <v>35</v>
      </c>
      <c r="F690" s="2" t="s">
        <v>37</v>
      </c>
      <c r="G690" s="2" t="s">
        <v>35</v>
      </c>
      <c r="H690" s="2" t="s">
        <v>2416</v>
      </c>
      <c r="I690" s="2" t="s">
        <v>12</v>
      </c>
      <c r="J690" s="2" t="s">
        <v>40</v>
      </c>
      <c r="K690" s="2" t="s">
        <v>41</v>
      </c>
      <c r="L690" s="2" t="s">
        <v>42</v>
      </c>
      <c r="M690" s="2" t="s">
        <v>2417</v>
      </c>
      <c r="N690" s="2" t="s">
        <v>35</v>
      </c>
      <c r="O690" s="2" t="s">
        <v>1476</v>
      </c>
      <c r="P690" s="2" t="s">
        <v>35</v>
      </c>
      <c r="Q690" s="2" t="s">
        <v>35</v>
      </c>
    </row>
    <row r="691" spans="1:17" ht="115.2">
      <c r="A691" s="8" t="str">
        <f>HYPERLINK("http://sipi.sic.gov.co/sipi/View.ashx?4499596","SD2022/0128918")</f>
        <v>SD2022/0128918</v>
      </c>
      <c r="B691" s="2" t="s">
        <v>2418</v>
      </c>
      <c r="C691" s="7" t="s">
        <v>35</v>
      </c>
      <c r="D691" s="2" t="s">
        <v>2415</v>
      </c>
      <c r="E691" s="2" t="s">
        <v>35</v>
      </c>
      <c r="F691" s="2" t="s">
        <v>37</v>
      </c>
      <c r="G691" s="2" t="s">
        <v>35</v>
      </c>
      <c r="H691" s="2" t="s">
        <v>2416</v>
      </c>
      <c r="I691" s="2" t="s">
        <v>12</v>
      </c>
      <c r="J691" s="2" t="s">
        <v>40</v>
      </c>
      <c r="K691" s="2" t="s">
        <v>41</v>
      </c>
      <c r="L691" s="2" t="s">
        <v>42</v>
      </c>
      <c r="M691" s="2" t="s">
        <v>2417</v>
      </c>
      <c r="N691" s="2" t="s">
        <v>35</v>
      </c>
      <c r="O691" s="2" t="s">
        <v>1476</v>
      </c>
      <c r="P691" s="2" t="s">
        <v>35</v>
      </c>
      <c r="Q691" s="2" t="s">
        <v>35</v>
      </c>
    </row>
    <row r="692" spans="1:17" ht="129.6">
      <c r="A692" s="8" t="str">
        <f>HYPERLINK("http://sipi.sic.gov.co/sipi/View.ashx?4500373","SD2022/0129130")</f>
        <v>SD2022/0129130</v>
      </c>
      <c r="B692" s="2" t="s">
        <v>2419</v>
      </c>
      <c r="C692" s="7" t="s">
        <v>35</v>
      </c>
      <c r="D692" s="2" t="s">
        <v>2415</v>
      </c>
      <c r="E692" s="2" t="s">
        <v>35</v>
      </c>
      <c r="F692" s="2" t="s">
        <v>37</v>
      </c>
      <c r="G692" s="2" t="s">
        <v>2419</v>
      </c>
      <c r="H692" s="2" t="s">
        <v>2420</v>
      </c>
      <c r="I692" s="2" t="s">
        <v>61</v>
      </c>
      <c r="J692" s="2" t="s">
        <v>40</v>
      </c>
      <c r="K692" s="2" t="s">
        <v>2421</v>
      </c>
      <c r="L692" s="2" t="s">
        <v>42</v>
      </c>
      <c r="M692" s="2" t="s">
        <v>2422</v>
      </c>
      <c r="N692" s="2" t="s">
        <v>35</v>
      </c>
      <c r="O692" s="2" t="s">
        <v>1476</v>
      </c>
      <c r="P692" s="2" t="s">
        <v>35</v>
      </c>
      <c r="Q692" s="2" t="s">
        <v>35</v>
      </c>
    </row>
    <row r="693" spans="1:17" ht="129.6">
      <c r="A693" s="8" t="str">
        <f>HYPERLINK("http://sipi.sic.gov.co/sipi/View.ashx?4503162","SD2022/0129962")</f>
        <v>SD2022/0129962</v>
      </c>
      <c r="B693" s="2" t="s">
        <v>2423</v>
      </c>
      <c r="C693" s="2" t="s">
        <v>35</v>
      </c>
      <c r="D693" s="2" t="s">
        <v>2038</v>
      </c>
      <c r="E693" s="2" t="s">
        <v>35</v>
      </c>
      <c r="F693" s="2" t="s">
        <v>37</v>
      </c>
      <c r="G693" s="2" t="s">
        <v>2423</v>
      </c>
      <c r="H693" s="2" t="s">
        <v>999</v>
      </c>
      <c r="I693" s="2" t="s">
        <v>12</v>
      </c>
      <c r="J693" s="2" t="s">
        <v>40</v>
      </c>
      <c r="K693" s="2" t="s">
        <v>2424</v>
      </c>
      <c r="L693" s="2" t="s">
        <v>42</v>
      </c>
      <c r="M693" s="2" t="s">
        <v>1001</v>
      </c>
      <c r="N693" s="2" t="s">
        <v>35</v>
      </c>
      <c r="O693" s="2" t="s">
        <v>1424</v>
      </c>
      <c r="P693" s="2" t="s">
        <v>35</v>
      </c>
      <c r="Q693" s="2" t="s">
        <v>35</v>
      </c>
    </row>
    <row r="694" spans="1:17" ht="409.6">
      <c r="A694" s="8" t="str">
        <f>HYPERLINK("http://sipi.sic.gov.co/sipi/View.ashx?4503260","SD2022/0129905")</f>
        <v>SD2022/0129905</v>
      </c>
      <c r="B694" s="2" t="s">
        <v>2425</v>
      </c>
      <c r="C694" s="2" t="s">
        <v>35</v>
      </c>
      <c r="D694" s="2" t="s">
        <v>2038</v>
      </c>
      <c r="E694" s="2" t="s">
        <v>35</v>
      </c>
      <c r="F694" s="2" t="s">
        <v>37</v>
      </c>
      <c r="G694" s="2" t="s">
        <v>35</v>
      </c>
      <c r="H694" s="2" t="s">
        <v>2426</v>
      </c>
      <c r="I694" s="2" t="s">
        <v>12</v>
      </c>
      <c r="J694" s="2" t="s">
        <v>40</v>
      </c>
      <c r="K694" s="2" t="s">
        <v>2427</v>
      </c>
      <c r="L694" s="2" t="s">
        <v>55</v>
      </c>
      <c r="M694" s="2" t="s">
        <v>35</v>
      </c>
      <c r="N694" s="2" t="s">
        <v>35</v>
      </c>
      <c r="O694" s="2" t="s">
        <v>1828</v>
      </c>
      <c r="P694" s="2" t="s">
        <v>35</v>
      </c>
      <c r="Q694" s="2" t="s">
        <v>35</v>
      </c>
    </row>
    <row r="695" spans="1:17" ht="129.6">
      <c r="A695" s="8" t="str">
        <f>HYPERLINK("http://sipi.sic.gov.co/sipi/View.ashx?4503653","SD2022/0136020")</f>
        <v>SD2022/0136020</v>
      </c>
      <c r="B695" s="2" t="s">
        <v>2428</v>
      </c>
      <c r="C695" s="2" t="s">
        <v>35</v>
      </c>
      <c r="D695" s="2" t="s">
        <v>2429</v>
      </c>
      <c r="E695" s="2" t="s">
        <v>35</v>
      </c>
      <c r="F695" s="2" t="s">
        <v>37</v>
      </c>
      <c r="G695" s="2" t="s">
        <v>2430</v>
      </c>
      <c r="H695" s="2" t="s">
        <v>2431</v>
      </c>
      <c r="I695" s="2" t="s">
        <v>12</v>
      </c>
      <c r="J695" s="2" t="s">
        <v>40</v>
      </c>
      <c r="K695" s="2" t="s">
        <v>2432</v>
      </c>
      <c r="L695" s="2" t="s">
        <v>42</v>
      </c>
      <c r="M695" s="2" t="s">
        <v>515</v>
      </c>
      <c r="N695" s="2" t="s">
        <v>35</v>
      </c>
      <c r="O695" s="2" t="s">
        <v>1424</v>
      </c>
      <c r="P695" s="2" t="s">
        <v>35</v>
      </c>
      <c r="Q695" s="2" t="s">
        <v>35</v>
      </c>
    </row>
    <row r="696" spans="1:17" ht="216">
      <c r="A696" s="8" t="str">
        <f>HYPERLINK("http://sipi.sic.gov.co/sipi/View.ashx?4504001","SD2022/0131434")</f>
        <v>SD2022/0131434</v>
      </c>
      <c r="B696" s="2" t="s">
        <v>2433</v>
      </c>
      <c r="C696" s="7" t="s">
        <v>35</v>
      </c>
      <c r="D696" s="2" t="s">
        <v>2376</v>
      </c>
      <c r="E696" s="2" t="s">
        <v>35</v>
      </c>
      <c r="F696" s="2" t="s">
        <v>37</v>
      </c>
      <c r="G696" s="2" t="s">
        <v>2433</v>
      </c>
      <c r="H696" s="2" t="s">
        <v>2434</v>
      </c>
      <c r="I696" s="2" t="s">
        <v>61</v>
      </c>
      <c r="J696" s="2" t="s">
        <v>40</v>
      </c>
      <c r="K696" s="2" t="s">
        <v>2435</v>
      </c>
      <c r="L696" s="2" t="s">
        <v>42</v>
      </c>
      <c r="M696" s="2" t="s">
        <v>35</v>
      </c>
      <c r="N696" s="2" t="s">
        <v>35</v>
      </c>
      <c r="O696" s="2" t="s">
        <v>1691</v>
      </c>
      <c r="P696" s="2" t="s">
        <v>35</v>
      </c>
      <c r="Q696" s="2" t="s">
        <v>35</v>
      </c>
    </row>
    <row r="697" spans="1:17" ht="115.2">
      <c r="A697" s="8" t="str">
        <f>HYPERLINK("http://sipi.sic.gov.co/sipi/View.ashx?4505866","SD2022/0130535")</f>
        <v>SD2022/0130535</v>
      </c>
      <c r="B697" s="2" t="s">
        <v>2436</v>
      </c>
      <c r="C697" s="2" t="s">
        <v>35</v>
      </c>
      <c r="D697" s="2" t="s">
        <v>2437</v>
      </c>
      <c r="E697" s="2" t="s">
        <v>35</v>
      </c>
      <c r="F697" s="2" t="s">
        <v>37</v>
      </c>
      <c r="G697" s="2" t="s">
        <v>35</v>
      </c>
      <c r="H697" s="2" t="s">
        <v>2438</v>
      </c>
      <c r="I697" s="2" t="s">
        <v>12</v>
      </c>
      <c r="J697" s="2" t="s">
        <v>40</v>
      </c>
      <c r="K697" s="2" t="s">
        <v>41</v>
      </c>
      <c r="L697" s="2" t="s">
        <v>42</v>
      </c>
      <c r="M697" s="2" t="s">
        <v>2439</v>
      </c>
      <c r="N697" s="2" t="s">
        <v>35</v>
      </c>
      <c r="O697" s="2" t="s">
        <v>2089</v>
      </c>
      <c r="P697" s="2" t="s">
        <v>35</v>
      </c>
      <c r="Q697" s="2" t="s">
        <v>35</v>
      </c>
    </row>
    <row r="698" spans="1:17" ht="172.8">
      <c r="A698" s="8" t="str">
        <f>HYPERLINK("http://sipi.sic.gov.co/sipi/View.ashx?4507153","SD2022/0131631")</f>
        <v>SD2022/0131631</v>
      </c>
      <c r="B698" s="2" t="s">
        <v>2440</v>
      </c>
      <c r="C698" s="2" t="s">
        <v>35</v>
      </c>
      <c r="D698" s="2" t="s">
        <v>2128</v>
      </c>
      <c r="E698" s="2" t="s">
        <v>35</v>
      </c>
      <c r="F698" s="2" t="s">
        <v>37</v>
      </c>
      <c r="G698" s="2" t="s">
        <v>35</v>
      </c>
      <c r="H698" s="2" t="s">
        <v>2441</v>
      </c>
      <c r="I698" s="2" t="s">
        <v>12</v>
      </c>
      <c r="J698" s="2" t="s">
        <v>40</v>
      </c>
      <c r="K698" s="2" t="s">
        <v>2442</v>
      </c>
      <c r="L698" s="2" t="s">
        <v>55</v>
      </c>
      <c r="M698" s="2" t="s">
        <v>1963</v>
      </c>
      <c r="N698" s="2" t="s">
        <v>35</v>
      </c>
      <c r="O698" s="2" t="s">
        <v>2041</v>
      </c>
      <c r="P698" s="2" t="s">
        <v>35</v>
      </c>
      <c r="Q698" s="2" t="s">
        <v>35</v>
      </c>
    </row>
    <row r="699" spans="1:17" ht="115.2">
      <c r="A699" s="8" t="str">
        <f>HYPERLINK("http://sipi.sic.gov.co/sipi/View.ashx?4507785","SD2022/0131033")</f>
        <v>SD2022/0131033</v>
      </c>
      <c r="B699" s="2" t="s">
        <v>2443</v>
      </c>
      <c r="C699" s="7" t="s">
        <v>35</v>
      </c>
      <c r="D699" s="2" t="s">
        <v>2376</v>
      </c>
      <c r="E699" s="2" t="s">
        <v>35</v>
      </c>
      <c r="F699" s="2" t="s">
        <v>37</v>
      </c>
      <c r="G699" s="2" t="s">
        <v>35</v>
      </c>
      <c r="H699" s="2" t="s">
        <v>2444</v>
      </c>
      <c r="I699" s="2" t="s">
        <v>12</v>
      </c>
      <c r="J699" s="2" t="s">
        <v>40</v>
      </c>
      <c r="K699" s="2" t="s">
        <v>41</v>
      </c>
      <c r="L699" s="2" t="s">
        <v>42</v>
      </c>
      <c r="M699" s="2" t="s">
        <v>35</v>
      </c>
      <c r="N699" s="2" t="s">
        <v>35</v>
      </c>
      <c r="O699" s="2" t="s">
        <v>2089</v>
      </c>
      <c r="P699" s="2" t="s">
        <v>35</v>
      </c>
      <c r="Q699" s="2" t="s">
        <v>35</v>
      </c>
    </row>
    <row r="700" spans="1:17" ht="144">
      <c r="A700" s="8" t="str">
        <f>HYPERLINK("http://sipi.sic.gov.co/sipi/View.ashx?4507800","SD2022/0131065")</f>
        <v>SD2022/0131065</v>
      </c>
      <c r="B700" s="2" t="s">
        <v>2445</v>
      </c>
      <c r="C700" s="2" t="s">
        <v>35</v>
      </c>
      <c r="D700" s="2" t="s">
        <v>2376</v>
      </c>
      <c r="E700" s="2" t="s">
        <v>35</v>
      </c>
      <c r="F700" s="2" t="s">
        <v>37</v>
      </c>
      <c r="G700" s="2" t="s">
        <v>35</v>
      </c>
      <c r="H700" s="2" t="s">
        <v>2446</v>
      </c>
      <c r="I700" s="2" t="s">
        <v>12</v>
      </c>
      <c r="J700" s="2" t="s">
        <v>40</v>
      </c>
      <c r="K700" s="2" t="s">
        <v>420</v>
      </c>
      <c r="L700" s="2" t="s">
        <v>55</v>
      </c>
      <c r="M700" s="2" t="s">
        <v>139</v>
      </c>
      <c r="N700" s="2" t="s">
        <v>35</v>
      </c>
      <c r="O700" s="2" t="s">
        <v>2041</v>
      </c>
      <c r="P700" s="2" t="s">
        <v>35</v>
      </c>
      <c r="Q700" s="2" t="s">
        <v>35</v>
      </c>
    </row>
    <row r="701" spans="1:17" ht="172.8">
      <c r="A701" s="8" t="str">
        <f>HYPERLINK("http://sipi.sic.gov.co/sipi/View.ashx?4508284","SD2022/0131173")</f>
        <v>SD2022/0131173</v>
      </c>
      <c r="B701" s="2" t="s">
        <v>2447</v>
      </c>
      <c r="C701" s="2" t="s">
        <v>35</v>
      </c>
      <c r="D701" s="2" t="s">
        <v>2376</v>
      </c>
      <c r="E701" s="2" t="s">
        <v>35</v>
      </c>
      <c r="F701" s="2" t="s">
        <v>37</v>
      </c>
      <c r="G701" s="2" t="s">
        <v>2447</v>
      </c>
      <c r="H701" s="2" t="s">
        <v>2448</v>
      </c>
      <c r="I701" s="2" t="s">
        <v>12</v>
      </c>
      <c r="J701" s="2" t="s">
        <v>40</v>
      </c>
      <c r="K701" s="2" t="s">
        <v>2449</v>
      </c>
      <c r="L701" s="2" t="s">
        <v>55</v>
      </c>
      <c r="M701" s="2" t="s">
        <v>35</v>
      </c>
      <c r="N701" s="2" t="s">
        <v>35</v>
      </c>
      <c r="O701" s="2" t="s">
        <v>1303</v>
      </c>
      <c r="P701" s="2" t="s">
        <v>35</v>
      </c>
      <c r="Q701" s="2" t="s">
        <v>35</v>
      </c>
    </row>
    <row r="702" spans="1:17" ht="172.8">
      <c r="A702" s="8" t="str">
        <f>HYPERLINK("http://sipi.sic.gov.co/sipi/View.ashx?4508571","SD2022/0131250")</f>
        <v>SD2022/0131250</v>
      </c>
      <c r="B702" s="2" t="s">
        <v>2450</v>
      </c>
      <c r="C702" s="2" t="s">
        <v>35</v>
      </c>
      <c r="D702" s="2" t="s">
        <v>2376</v>
      </c>
      <c r="E702" s="2" t="s">
        <v>35</v>
      </c>
      <c r="F702" s="2" t="s">
        <v>37</v>
      </c>
      <c r="G702" s="2" t="s">
        <v>35</v>
      </c>
      <c r="H702" s="2" t="s">
        <v>2451</v>
      </c>
      <c r="I702" s="2" t="s">
        <v>12</v>
      </c>
      <c r="J702" s="2" t="s">
        <v>40</v>
      </c>
      <c r="K702" s="2" t="s">
        <v>2452</v>
      </c>
      <c r="L702" s="2" t="s">
        <v>42</v>
      </c>
      <c r="M702" s="2" t="s">
        <v>2453</v>
      </c>
      <c r="N702" s="2" t="s">
        <v>35</v>
      </c>
      <c r="O702" s="2" t="s">
        <v>1303</v>
      </c>
      <c r="P702" s="2" t="s">
        <v>35</v>
      </c>
      <c r="Q702" s="2" t="s">
        <v>35</v>
      </c>
    </row>
    <row r="703" spans="1:17" ht="100.8">
      <c r="A703" s="8" t="str">
        <f>HYPERLINK("http://sipi.sic.gov.co/sipi/View.ashx?4508572","SD2022/0131378")</f>
        <v>SD2022/0131378</v>
      </c>
      <c r="B703" s="2" t="s">
        <v>2454</v>
      </c>
      <c r="C703" s="7" t="s">
        <v>35</v>
      </c>
      <c r="D703" s="2" t="s">
        <v>2376</v>
      </c>
      <c r="E703" s="2" t="s">
        <v>35</v>
      </c>
      <c r="F703" s="2" t="s">
        <v>37</v>
      </c>
      <c r="G703" s="2" t="s">
        <v>2454</v>
      </c>
      <c r="H703" s="2" t="s">
        <v>2455</v>
      </c>
      <c r="I703" s="2" t="s">
        <v>12</v>
      </c>
      <c r="J703" s="2" t="s">
        <v>40</v>
      </c>
      <c r="K703" s="2" t="s">
        <v>1326</v>
      </c>
      <c r="L703" s="2" t="s">
        <v>55</v>
      </c>
      <c r="M703" s="2" t="s">
        <v>612</v>
      </c>
      <c r="N703" s="2" t="s">
        <v>35</v>
      </c>
      <c r="O703" s="2" t="s">
        <v>1303</v>
      </c>
      <c r="P703" s="2" t="s">
        <v>35</v>
      </c>
      <c r="Q703" s="2" t="s">
        <v>35</v>
      </c>
    </row>
    <row r="704" spans="1:17" ht="144">
      <c r="A704" s="8" t="str">
        <f>HYPERLINK("http://sipi.sic.gov.co/sipi/View.ashx?4509400","SD2022/0131509")</f>
        <v>SD2022/0131509</v>
      </c>
      <c r="B704" s="2" t="s">
        <v>2456</v>
      </c>
      <c r="C704" s="7" t="s">
        <v>35</v>
      </c>
      <c r="D704" s="2" t="s">
        <v>2457</v>
      </c>
      <c r="E704" s="2" t="s">
        <v>35</v>
      </c>
      <c r="F704" s="2" t="s">
        <v>37</v>
      </c>
      <c r="G704" s="2" t="s">
        <v>35</v>
      </c>
      <c r="H704" s="2" t="s">
        <v>2458</v>
      </c>
      <c r="I704" s="2" t="s">
        <v>195</v>
      </c>
      <c r="J704" s="2" t="s">
        <v>40</v>
      </c>
      <c r="K704" s="2" t="s">
        <v>2459</v>
      </c>
      <c r="L704" s="2" t="s">
        <v>42</v>
      </c>
      <c r="M704" s="2" t="s">
        <v>2460</v>
      </c>
      <c r="N704" s="2" t="s">
        <v>35</v>
      </c>
      <c r="O704" s="2" t="s">
        <v>2041</v>
      </c>
      <c r="P704" s="2" t="s">
        <v>35</v>
      </c>
      <c r="Q704" s="2" t="s">
        <v>35</v>
      </c>
    </row>
    <row r="705" spans="1:17" ht="144">
      <c r="A705" s="8" t="str">
        <f>HYPERLINK("http://sipi.sic.gov.co/sipi/View.ashx?4510159","SD2022/0131634")</f>
        <v>SD2022/0131634</v>
      </c>
      <c r="B705" s="2" t="s">
        <v>2461</v>
      </c>
      <c r="C705" s="2" t="s">
        <v>35</v>
      </c>
      <c r="D705" s="2" t="s">
        <v>2128</v>
      </c>
      <c r="E705" s="2" t="s">
        <v>35</v>
      </c>
      <c r="F705" s="2" t="s">
        <v>37</v>
      </c>
      <c r="G705" s="2" t="s">
        <v>35</v>
      </c>
      <c r="H705" s="2" t="s">
        <v>2446</v>
      </c>
      <c r="I705" s="2" t="s">
        <v>12</v>
      </c>
      <c r="J705" s="2" t="s">
        <v>40</v>
      </c>
      <c r="K705" s="2" t="s">
        <v>420</v>
      </c>
      <c r="L705" s="2" t="s">
        <v>42</v>
      </c>
      <c r="M705" s="2" t="s">
        <v>139</v>
      </c>
      <c r="N705" s="2" t="s">
        <v>35</v>
      </c>
      <c r="O705" s="2" t="s">
        <v>2041</v>
      </c>
      <c r="P705" s="2" t="s">
        <v>35</v>
      </c>
      <c r="Q705" s="2" t="s">
        <v>35</v>
      </c>
    </row>
    <row r="706" spans="1:17" ht="144">
      <c r="A706" s="8" t="str">
        <f>HYPERLINK("http://sipi.sic.gov.co/sipi/View.ashx?4510326","SD2022/0131672")</f>
        <v>SD2022/0131672</v>
      </c>
      <c r="B706" s="2" t="s">
        <v>2462</v>
      </c>
      <c r="C706" s="2" t="s">
        <v>35</v>
      </c>
      <c r="D706" s="2" t="s">
        <v>2128</v>
      </c>
      <c r="E706" s="2" t="s">
        <v>35</v>
      </c>
      <c r="F706" s="2" t="s">
        <v>37</v>
      </c>
      <c r="G706" s="2" t="s">
        <v>35</v>
      </c>
      <c r="H706" s="2" t="s">
        <v>2446</v>
      </c>
      <c r="I706" s="2" t="s">
        <v>12</v>
      </c>
      <c r="J706" s="2" t="s">
        <v>40</v>
      </c>
      <c r="K706" s="2" t="s">
        <v>420</v>
      </c>
      <c r="L706" s="2" t="s">
        <v>55</v>
      </c>
      <c r="M706" s="2" t="s">
        <v>139</v>
      </c>
      <c r="N706" s="2" t="s">
        <v>35</v>
      </c>
      <c r="O706" s="2" t="s">
        <v>1947</v>
      </c>
      <c r="P706" s="2" t="s">
        <v>35</v>
      </c>
      <c r="Q706" s="2" t="s">
        <v>35</v>
      </c>
    </row>
    <row r="707" spans="1:17" ht="129.6">
      <c r="A707" s="8" t="str">
        <f>HYPERLINK("http://sipi.sic.gov.co/sipi/View.ashx?4510509","SD2022/0131720")</f>
        <v>SD2022/0131720</v>
      </c>
      <c r="B707" s="2" t="s">
        <v>2463</v>
      </c>
      <c r="C707" s="2" t="s">
        <v>35</v>
      </c>
      <c r="D707" s="2" t="s">
        <v>2128</v>
      </c>
      <c r="E707" s="2" t="s">
        <v>35</v>
      </c>
      <c r="F707" s="2" t="s">
        <v>37</v>
      </c>
      <c r="G707" s="2" t="s">
        <v>2464</v>
      </c>
      <c r="H707" s="2" t="s">
        <v>407</v>
      </c>
      <c r="I707" s="2" t="s">
        <v>12</v>
      </c>
      <c r="J707" s="2" t="s">
        <v>40</v>
      </c>
      <c r="K707" s="2" t="s">
        <v>2465</v>
      </c>
      <c r="L707" s="2" t="s">
        <v>42</v>
      </c>
      <c r="M707" s="2" t="s">
        <v>409</v>
      </c>
      <c r="N707" s="2" t="s">
        <v>35</v>
      </c>
      <c r="O707" s="2" t="s">
        <v>2089</v>
      </c>
      <c r="P707" s="2" t="s">
        <v>35</v>
      </c>
      <c r="Q707" s="2" t="s">
        <v>35</v>
      </c>
    </row>
    <row r="708" spans="1:17" ht="115.2">
      <c r="A708" s="8" t="str">
        <f>HYPERLINK("http://sipi.sic.gov.co/sipi/View.ashx?4510691","SD2022/0131765")</f>
        <v>SD2022/0131765</v>
      </c>
      <c r="B708" s="2" t="s">
        <v>2466</v>
      </c>
      <c r="C708" s="7" t="s">
        <v>35</v>
      </c>
      <c r="D708" s="2" t="s">
        <v>2128</v>
      </c>
      <c r="E708" s="2" t="s">
        <v>35</v>
      </c>
      <c r="F708" s="2" t="s">
        <v>37</v>
      </c>
      <c r="G708" s="2" t="s">
        <v>2467</v>
      </c>
      <c r="H708" s="2" t="s">
        <v>2468</v>
      </c>
      <c r="I708" s="2" t="s">
        <v>12</v>
      </c>
      <c r="J708" s="2" t="s">
        <v>40</v>
      </c>
      <c r="K708" s="2" t="s">
        <v>41</v>
      </c>
      <c r="L708" s="2" t="s">
        <v>42</v>
      </c>
      <c r="M708" s="2" t="s">
        <v>2469</v>
      </c>
      <c r="N708" s="2" t="s">
        <v>35</v>
      </c>
      <c r="O708" s="2" t="s">
        <v>2041</v>
      </c>
      <c r="P708" s="2" t="s">
        <v>35</v>
      </c>
      <c r="Q708" s="2" t="s">
        <v>35</v>
      </c>
    </row>
    <row r="709" spans="1:17" ht="72">
      <c r="A709" s="8" t="str">
        <f>HYPERLINK("http://sipi.sic.gov.co/sipi/View.ashx?4510841","SD2022/0131821")</f>
        <v>SD2022/0131821</v>
      </c>
      <c r="B709" s="2" t="s">
        <v>2470</v>
      </c>
      <c r="C709" s="2" t="s">
        <v>35</v>
      </c>
      <c r="D709" s="2" t="s">
        <v>2128</v>
      </c>
      <c r="E709" s="2" t="s">
        <v>35</v>
      </c>
      <c r="F709" s="2" t="s">
        <v>37</v>
      </c>
      <c r="G709" s="2" t="s">
        <v>2470</v>
      </c>
      <c r="H709" s="2" t="s">
        <v>1181</v>
      </c>
      <c r="I709" s="2" t="s">
        <v>12</v>
      </c>
      <c r="J709" s="2" t="s">
        <v>40</v>
      </c>
      <c r="K709" s="2" t="s">
        <v>1182</v>
      </c>
      <c r="L709" s="2" t="s">
        <v>42</v>
      </c>
      <c r="M709" s="2" t="s">
        <v>35</v>
      </c>
      <c r="N709" s="2" t="s">
        <v>35</v>
      </c>
      <c r="O709" s="2" t="s">
        <v>2089</v>
      </c>
      <c r="P709" s="2" t="s">
        <v>35</v>
      </c>
      <c r="Q709" s="2" t="s">
        <v>35</v>
      </c>
    </row>
    <row r="710" spans="1:17" ht="57.6">
      <c r="A710" s="8" t="str">
        <f>HYPERLINK("http://sipi.sic.gov.co/sipi/View.ashx?4511346","SD2022/0131970")</f>
        <v>SD2022/0131970</v>
      </c>
      <c r="B710" s="2" t="s">
        <v>2471</v>
      </c>
      <c r="C710" s="2" t="s">
        <v>35</v>
      </c>
      <c r="D710" s="2" t="s">
        <v>1574</v>
      </c>
      <c r="E710" s="2" t="s">
        <v>35</v>
      </c>
      <c r="F710" s="2" t="s">
        <v>37</v>
      </c>
      <c r="G710" s="2" t="s">
        <v>35</v>
      </c>
      <c r="H710" s="2" t="s">
        <v>2472</v>
      </c>
      <c r="I710" s="2" t="s">
        <v>12</v>
      </c>
      <c r="J710" s="2" t="s">
        <v>40</v>
      </c>
      <c r="K710" s="2" t="s">
        <v>491</v>
      </c>
      <c r="L710" s="2" t="s">
        <v>42</v>
      </c>
      <c r="M710" s="2" t="s">
        <v>35</v>
      </c>
      <c r="N710" s="2" t="s">
        <v>35</v>
      </c>
      <c r="O710" s="2" t="s">
        <v>2473</v>
      </c>
      <c r="P710" s="2" t="s">
        <v>35</v>
      </c>
      <c r="Q710" s="2" t="s">
        <v>35</v>
      </c>
    </row>
    <row r="711" spans="1:17" ht="409.6">
      <c r="A711" s="8" t="str">
        <f>HYPERLINK("http://sipi.sic.gov.co/sipi/View.ashx?4511911","SD2022/0132312")</f>
        <v>SD2022/0132312</v>
      </c>
      <c r="B711" s="2" t="s">
        <v>2474</v>
      </c>
      <c r="C711" s="2" t="s">
        <v>35</v>
      </c>
      <c r="D711" s="2" t="s">
        <v>1574</v>
      </c>
      <c r="E711" s="2" t="s">
        <v>35</v>
      </c>
      <c r="F711" s="2" t="s">
        <v>37</v>
      </c>
      <c r="G711" s="2" t="s">
        <v>2475</v>
      </c>
      <c r="H711" s="2" t="s">
        <v>2476</v>
      </c>
      <c r="I711" s="2" t="s">
        <v>113</v>
      </c>
      <c r="J711" s="2" t="s">
        <v>40</v>
      </c>
      <c r="K711" s="2" t="s">
        <v>2477</v>
      </c>
      <c r="L711" s="2" t="s">
        <v>42</v>
      </c>
      <c r="M711" s="2" t="s">
        <v>417</v>
      </c>
      <c r="N711" s="2" t="s">
        <v>35</v>
      </c>
      <c r="O711" s="2" t="s">
        <v>2089</v>
      </c>
      <c r="P711" s="2" t="s">
        <v>35</v>
      </c>
      <c r="Q711" s="2" t="s">
        <v>35</v>
      </c>
    </row>
    <row r="712" spans="1:17" ht="409.6">
      <c r="A712" s="8" t="str">
        <f>HYPERLINK("http://sipi.sic.gov.co/sipi/View.ashx?4511923","SD2022/0132316")</f>
        <v>SD2022/0132316</v>
      </c>
      <c r="B712" s="2" t="s">
        <v>2478</v>
      </c>
      <c r="C712" s="2" t="s">
        <v>35</v>
      </c>
      <c r="D712" s="2" t="s">
        <v>1574</v>
      </c>
      <c r="E712" s="2" t="s">
        <v>35</v>
      </c>
      <c r="F712" s="2" t="s">
        <v>37</v>
      </c>
      <c r="G712" s="2" t="s">
        <v>2479</v>
      </c>
      <c r="H712" s="2" t="s">
        <v>2476</v>
      </c>
      <c r="I712" s="2" t="s">
        <v>113</v>
      </c>
      <c r="J712" s="2" t="s">
        <v>40</v>
      </c>
      <c r="K712" s="2" t="s">
        <v>2477</v>
      </c>
      <c r="L712" s="2" t="s">
        <v>42</v>
      </c>
      <c r="M712" s="2" t="s">
        <v>417</v>
      </c>
      <c r="N712" s="2" t="s">
        <v>35</v>
      </c>
      <c r="O712" s="2" t="s">
        <v>2089</v>
      </c>
      <c r="P712" s="2" t="s">
        <v>35</v>
      </c>
      <c r="Q712" s="2" t="s">
        <v>35</v>
      </c>
    </row>
    <row r="713" spans="1:17" ht="409.6">
      <c r="A713" s="8" t="str">
        <f>HYPERLINK("http://sipi.sic.gov.co/sipi/View.ashx?4511931","SD2022/0132321")</f>
        <v>SD2022/0132321</v>
      </c>
      <c r="B713" s="2" t="s">
        <v>2480</v>
      </c>
      <c r="C713" s="2" t="s">
        <v>35</v>
      </c>
      <c r="D713" s="2" t="s">
        <v>1574</v>
      </c>
      <c r="E713" s="2" t="s">
        <v>35</v>
      </c>
      <c r="F713" s="2" t="s">
        <v>37</v>
      </c>
      <c r="G713" s="2" t="s">
        <v>2481</v>
      </c>
      <c r="H713" s="2" t="s">
        <v>2476</v>
      </c>
      <c r="I713" s="2" t="s">
        <v>113</v>
      </c>
      <c r="J713" s="2" t="s">
        <v>40</v>
      </c>
      <c r="K713" s="2" t="s">
        <v>2482</v>
      </c>
      <c r="L713" s="2" t="s">
        <v>42</v>
      </c>
      <c r="M713" s="2" t="s">
        <v>417</v>
      </c>
      <c r="N713" s="2" t="s">
        <v>35</v>
      </c>
      <c r="O713" s="2" t="s">
        <v>2089</v>
      </c>
      <c r="P713" s="2" t="s">
        <v>35</v>
      </c>
      <c r="Q713" s="2" t="s">
        <v>35</v>
      </c>
    </row>
    <row r="714" spans="1:17" ht="172.8">
      <c r="A714" s="8" t="str">
        <f>HYPERLINK("http://sipi.sic.gov.co/sipi/View.ashx?4511946","SD2022/0132331")</f>
        <v>SD2022/0132331</v>
      </c>
      <c r="B714" s="2" t="s">
        <v>2474</v>
      </c>
      <c r="C714" s="7" t="s">
        <v>35</v>
      </c>
      <c r="D714" s="2" t="s">
        <v>1574</v>
      </c>
      <c r="E714" s="2" t="s">
        <v>35</v>
      </c>
      <c r="F714" s="2" t="s">
        <v>37</v>
      </c>
      <c r="G714" s="2" t="s">
        <v>2483</v>
      </c>
      <c r="H714" s="2" t="s">
        <v>2476</v>
      </c>
      <c r="I714" s="2" t="s">
        <v>113</v>
      </c>
      <c r="J714" s="2" t="s">
        <v>40</v>
      </c>
      <c r="K714" s="2" t="s">
        <v>2484</v>
      </c>
      <c r="L714" s="2" t="s">
        <v>42</v>
      </c>
      <c r="M714" s="2" t="s">
        <v>417</v>
      </c>
      <c r="N714" s="2" t="s">
        <v>35</v>
      </c>
      <c r="O714" s="2" t="s">
        <v>2089</v>
      </c>
      <c r="P714" s="2" t="s">
        <v>35</v>
      </c>
      <c r="Q714" s="2" t="s">
        <v>35</v>
      </c>
    </row>
    <row r="715" spans="1:17" ht="172.8">
      <c r="A715" s="8" t="str">
        <f>HYPERLINK("http://sipi.sic.gov.co/sipi/View.ashx?4511961","SD2022/0132334")</f>
        <v>SD2022/0132334</v>
      </c>
      <c r="B715" s="2" t="s">
        <v>2474</v>
      </c>
      <c r="C715" s="7" t="s">
        <v>35</v>
      </c>
      <c r="D715" s="2" t="s">
        <v>1574</v>
      </c>
      <c r="E715" s="2" t="s">
        <v>35</v>
      </c>
      <c r="F715" s="2" t="s">
        <v>37</v>
      </c>
      <c r="G715" s="2" t="s">
        <v>2485</v>
      </c>
      <c r="H715" s="2" t="s">
        <v>2476</v>
      </c>
      <c r="I715" s="2" t="s">
        <v>113</v>
      </c>
      <c r="J715" s="2" t="s">
        <v>40</v>
      </c>
      <c r="K715" s="2" t="s">
        <v>2484</v>
      </c>
      <c r="L715" s="2" t="s">
        <v>42</v>
      </c>
      <c r="M715" s="2" t="s">
        <v>417</v>
      </c>
      <c r="N715" s="2" t="s">
        <v>35</v>
      </c>
      <c r="O715" s="2" t="s">
        <v>2089</v>
      </c>
      <c r="P715" s="2" t="s">
        <v>35</v>
      </c>
      <c r="Q715" s="2" t="s">
        <v>35</v>
      </c>
    </row>
    <row r="716" spans="1:17" ht="409.6">
      <c r="A716" s="8" t="str">
        <f>HYPERLINK("http://sipi.sic.gov.co/sipi/View.ashx?4511978","SD2022/0132348")</f>
        <v>SD2022/0132348</v>
      </c>
      <c r="B716" s="2" t="s">
        <v>2486</v>
      </c>
      <c r="C716" s="2" t="s">
        <v>35</v>
      </c>
      <c r="D716" s="2" t="s">
        <v>1574</v>
      </c>
      <c r="E716" s="2" t="s">
        <v>35</v>
      </c>
      <c r="F716" s="2" t="s">
        <v>37</v>
      </c>
      <c r="G716" s="2" t="s">
        <v>2487</v>
      </c>
      <c r="H716" s="2" t="s">
        <v>2476</v>
      </c>
      <c r="I716" s="2" t="s">
        <v>113</v>
      </c>
      <c r="J716" s="2" t="s">
        <v>40</v>
      </c>
      <c r="K716" s="2" t="s">
        <v>2477</v>
      </c>
      <c r="L716" s="2" t="s">
        <v>42</v>
      </c>
      <c r="M716" s="2" t="s">
        <v>417</v>
      </c>
      <c r="N716" s="2" t="s">
        <v>35</v>
      </c>
      <c r="O716" s="2" t="s">
        <v>2089</v>
      </c>
      <c r="P716" s="2" t="s">
        <v>35</v>
      </c>
      <c r="Q716" s="2" t="s">
        <v>35</v>
      </c>
    </row>
    <row r="717" spans="1:17" ht="158.4">
      <c r="A717" s="8" t="str">
        <f>HYPERLINK("http://sipi.sic.gov.co/sipi/View.ashx?4512476","SD2022/0133412")</f>
        <v>SD2022/0133412</v>
      </c>
      <c r="B717" s="2" t="s">
        <v>2488</v>
      </c>
      <c r="C717" s="7" t="s">
        <v>35</v>
      </c>
      <c r="D717" s="2" t="s">
        <v>2489</v>
      </c>
      <c r="E717" s="2" t="s">
        <v>35</v>
      </c>
      <c r="F717" s="2" t="s">
        <v>37</v>
      </c>
      <c r="G717" s="2" t="s">
        <v>2490</v>
      </c>
      <c r="H717" s="2" t="s">
        <v>2491</v>
      </c>
      <c r="I717" s="2" t="s">
        <v>12</v>
      </c>
      <c r="J717" s="2" t="s">
        <v>40</v>
      </c>
      <c r="K717" s="2" t="s">
        <v>2492</v>
      </c>
      <c r="L717" s="2" t="s">
        <v>42</v>
      </c>
      <c r="M717" s="2" t="s">
        <v>2493</v>
      </c>
      <c r="N717" s="2" t="s">
        <v>35</v>
      </c>
      <c r="O717" s="2" t="s">
        <v>2089</v>
      </c>
      <c r="P717" s="2" t="s">
        <v>35</v>
      </c>
      <c r="Q717" s="2" t="s">
        <v>35</v>
      </c>
    </row>
    <row r="718" spans="1:17" ht="409.6">
      <c r="A718" s="8" t="str">
        <f>HYPERLINK("http://sipi.sic.gov.co/sipi/View.ashx?4513194","SD2022/0132362")</f>
        <v>SD2022/0132362</v>
      </c>
      <c r="B718" s="2" t="s">
        <v>2494</v>
      </c>
      <c r="C718" s="2" t="s">
        <v>35</v>
      </c>
      <c r="D718" s="2" t="s">
        <v>1574</v>
      </c>
      <c r="E718" s="2" t="s">
        <v>35</v>
      </c>
      <c r="F718" s="2" t="s">
        <v>37</v>
      </c>
      <c r="G718" s="2" t="s">
        <v>2495</v>
      </c>
      <c r="H718" s="2" t="s">
        <v>2476</v>
      </c>
      <c r="I718" s="2" t="s">
        <v>113</v>
      </c>
      <c r="J718" s="2" t="s">
        <v>40</v>
      </c>
      <c r="K718" s="2" t="s">
        <v>2477</v>
      </c>
      <c r="L718" s="2" t="s">
        <v>42</v>
      </c>
      <c r="M718" s="2" t="s">
        <v>417</v>
      </c>
      <c r="N718" s="2" t="s">
        <v>35</v>
      </c>
      <c r="O718" s="2" t="s">
        <v>2089</v>
      </c>
      <c r="P718" s="2" t="s">
        <v>35</v>
      </c>
      <c r="Q718" s="2" t="s">
        <v>35</v>
      </c>
    </row>
    <row r="719" spans="1:17" ht="409.6">
      <c r="A719" s="8" t="str">
        <f>HYPERLINK("http://sipi.sic.gov.co/sipi/View.ashx?4513884","SD2022/0135145")</f>
        <v>SD2022/0135145</v>
      </c>
      <c r="B719" s="2" t="s">
        <v>2496</v>
      </c>
      <c r="C719" s="2" t="s">
        <v>35</v>
      </c>
      <c r="D719" s="2" t="s">
        <v>2497</v>
      </c>
      <c r="E719" s="2" t="s">
        <v>35</v>
      </c>
      <c r="F719" s="2" t="s">
        <v>37</v>
      </c>
      <c r="G719" s="2" t="s">
        <v>2496</v>
      </c>
      <c r="H719" s="2" t="s">
        <v>2498</v>
      </c>
      <c r="I719" s="2" t="s">
        <v>12</v>
      </c>
      <c r="J719" s="2" t="s">
        <v>40</v>
      </c>
      <c r="K719" s="2" t="s">
        <v>2499</v>
      </c>
      <c r="L719" s="2" t="s">
        <v>55</v>
      </c>
      <c r="M719" s="2" t="s">
        <v>2500</v>
      </c>
      <c r="N719" s="2" t="s">
        <v>35</v>
      </c>
      <c r="O719" s="2" t="s">
        <v>2089</v>
      </c>
      <c r="P719" s="2" t="s">
        <v>35</v>
      </c>
      <c r="Q719" s="2" t="s">
        <v>35</v>
      </c>
    </row>
    <row r="720" spans="1:17" ht="409.6">
      <c r="A720" s="8" t="str">
        <f>HYPERLINK("http://sipi.sic.gov.co/sipi/View.ashx?4513981","SD2022/0132609")</f>
        <v>SD2022/0132609</v>
      </c>
      <c r="B720" s="2" t="s">
        <v>2501</v>
      </c>
      <c r="C720" s="7" t="s">
        <v>35</v>
      </c>
      <c r="D720" s="2" t="s">
        <v>1574</v>
      </c>
      <c r="E720" s="2" t="s">
        <v>35</v>
      </c>
      <c r="F720" s="2" t="s">
        <v>37</v>
      </c>
      <c r="G720" s="2" t="s">
        <v>35</v>
      </c>
      <c r="H720" s="2" t="s">
        <v>2502</v>
      </c>
      <c r="I720" s="2" t="s">
        <v>71</v>
      </c>
      <c r="J720" s="2" t="s">
        <v>40</v>
      </c>
      <c r="K720" s="2" t="s">
        <v>2503</v>
      </c>
      <c r="L720" s="2" t="s">
        <v>42</v>
      </c>
      <c r="M720" s="2" t="s">
        <v>2469</v>
      </c>
      <c r="N720" s="2" t="s">
        <v>35</v>
      </c>
      <c r="O720" s="2" t="s">
        <v>1790</v>
      </c>
      <c r="P720" s="2" t="s">
        <v>35</v>
      </c>
      <c r="Q720" s="2" t="s">
        <v>35</v>
      </c>
    </row>
    <row r="721" spans="1:17" ht="144">
      <c r="A721" s="8" t="str">
        <f>HYPERLINK("http://sipi.sic.gov.co/sipi/View.ashx?4514034","SD2022/0134475")</f>
        <v>SD2022/0134475</v>
      </c>
      <c r="B721" s="2" t="s">
        <v>2504</v>
      </c>
      <c r="C721" s="2" t="s">
        <v>35</v>
      </c>
      <c r="D721" s="2" t="s">
        <v>2497</v>
      </c>
      <c r="E721" s="2" t="s">
        <v>35</v>
      </c>
      <c r="F721" s="2" t="s">
        <v>37</v>
      </c>
      <c r="G721" s="2" t="s">
        <v>464</v>
      </c>
      <c r="H721" s="2" t="s">
        <v>1248</v>
      </c>
      <c r="I721" s="2" t="s">
        <v>12</v>
      </c>
      <c r="J721" s="2" t="s">
        <v>40</v>
      </c>
      <c r="K721" s="2" t="s">
        <v>2505</v>
      </c>
      <c r="L721" s="2" t="s">
        <v>42</v>
      </c>
      <c r="M721" s="2" t="s">
        <v>110</v>
      </c>
      <c r="N721" s="2" t="s">
        <v>35</v>
      </c>
      <c r="O721" s="2" t="s">
        <v>1303</v>
      </c>
      <c r="P721" s="2" t="s">
        <v>35</v>
      </c>
      <c r="Q721" s="2" t="s">
        <v>35</v>
      </c>
    </row>
    <row r="722" spans="1:17" ht="76.8">
      <c r="A722" s="8" t="str">
        <f>HYPERLINK("http://sipi.sic.gov.co/sipi/View.ashx?4514382","SD2022/0132724")</f>
        <v>SD2022/0132724</v>
      </c>
      <c r="B722" s="2" t="s">
        <v>2506</v>
      </c>
      <c r="C722" s="7" t="s">
        <v>35</v>
      </c>
      <c r="D722" s="2" t="s">
        <v>1574</v>
      </c>
      <c r="E722" s="2" t="s">
        <v>35</v>
      </c>
      <c r="F722" s="2" t="s">
        <v>37</v>
      </c>
      <c r="G722" s="2" t="s">
        <v>2506</v>
      </c>
      <c r="H722" s="2" t="s">
        <v>2507</v>
      </c>
      <c r="I722" s="2" t="s">
        <v>12</v>
      </c>
      <c r="J722" s="2" t="s">
        <v>40</v>
      </c>
      <c r="K722" s="2" t="s">
        <v>2508</v>
      </c>
      <c r="L722" s="2" t="s">
        <v>42</v>
      </c>
      <c r="M722" s="2" t="s">
        <v>35</v>
      </c>
      <c r="N722" s="2" t="s">
        <v>35</v>
      </c>
      <c r="O722" s="2" t="s">
        <v>2006</v>
      </c>
      <c r="P722" s="2" t="s">
        <v>35</v>
      </c>
      <c r="Q722" s="2" t="s">
        <v>35</v>
      </c>
    </row>
    <row r="723" spans="1:17" ht="144">
      <c r="A723" s="8" t="str">
        <f>HYPERLINK("http://sipi.sic.gov.co/sipi/View.ashx?4514926","SD2022/0137492")</f>
        <v>SD2022/0137492</v>
      </c>
      <c r="B723" s="2" t="s">
        <v>2509</v>
      </c>
      <c r="C723" s="7" t="s">
        <v>35</v>
      </c>
      <c r="D723" s="2" t="s">
        <v>2510</v>
      </c>
      <c r="E723" s="2" t="s">
        <v>35</v>
      </c>
      <c r="F723" s="2" t="s">
        <v>37</v>
      </c>
      <c r="G723" s="2" t="s">
        <v>2511</v>
      </c>
      <c r="H723" s="2" t="s">
        <v>2512</v>
      </c>
      <c r="I723" s="2" t="s">
        <v>12</v>
      </c>
      <c r="J723" s="2" t="s">
        <v>40</v>
      </c>
      <c r="K723" s="2" t="s">
        <v>2513</v>
      </c>
      <c r="L723" s="2" t="s">
        <v>55</v>
      </c>
      <c r="M723" s="2" t="s">
        <v>2514</v>
      </c>
      <c r="N723" s="2" t="s">
        <v>35</v>
      </c>
      <c r="O723" s="2" t="s">
        <v>2041</v>
      </c>
      <c r="P723" s="2" t="s">
        <v>35</v>
      </c>
      <c r="Q723" s="2" t="s">
        <v>35</v>
      </c>
    </row>
    <row r="724" spans="1:17" ht="57.6">
      <c r="A724" s="8" t="str">
        <f>HYPERLINK("http://sipi.sic.gov.co/sipi/View.ashx?4515414","SD2022/0133060")</f>
        <v>SD2022/0133060</v>
      </c>
      <c r="B724" s="2" t="s">
        <v>2515</v>
      </c>
      <c r="C724" s="2" t="s">
        <v>35</v>
      </c>
      <c r="D724" s="2" t="s">
        <v>2489</v>
      </c>
      <c r="E724" s="2" t="s">
        <v>35</v>
      </c>
      <c r="F724" s="2" t="s">
        <v>37</v>
      </c>
      <c r="G724" s="2" t="s">
        <v>2515</v>
      </c>
      <c r="H724" s="2" t="s">
        <v>2516</v>
      </c>
      <c r="I724" s="2" t="s">
        <v>12</v>
      </c>
      <c r="J724" s="2" t="s">
        <v>40</v>
      </c>
      <c r="K724" s="2" t="s">
        <v>104</v>
      </c>
      <c r="L724" s="2" t="s">
        <v>42</v>
      </c>
      <c r="M724" s="2" t="s">
        <v>35</v>
      </c>
      <c r="N724" s="2" t="s">
        <v>35</v>
      </c>
      <c r="O724" s="2" t="s">
        <v>2041</v>
      </c>
      <c r="P724" s="2" t="s">
        <v>35</v>
      </c>
      <c r="Q724" s="2" t="s">
        <v>35</v>
      </c>
    </row>
    <row r="725" spans="1:17" ht="57.6">
      <c r="A725" s="8" t="str">
        <f>HYPERLINK("http://sipi.sic.gov.co/sipi/View.ashx?4515506","SD2022/0133070")</f>
        <v>SD2022/0133070</v>
      </c>
      <c r="B725" s="2" t="s">
        <v>2517</v>
      </c>
      <c r="C725" s="2" t="s">
        <v>35</v>
      </c>
      <c r="D725" s="2" t="s">
        <v>2489</v>
      </c>
      <c r="E725" s="2" t="s">
        <v>35</v>
      </c>
      <c r="F725" s="2" t="s">
        <v>37</v>
      </c>
      <c r="G725" s="2" t="s">
        <v>2517</v>
      </c>
      <c r="H725" s="2" t="s">
        <v>2516</v>
      </c>
      <c r="I725" s="2" t="s">
        <v>12</v>
      </c>
      <c r="J725" s="2" t="s">
        <v>40</v>
      </c>
      <c r="K725" s="2" t="s">
        <v>2518</v>
      </c>
      <c r="L725" s="2" t="s">
        <v>42</v>
      </c>
      <c r="M725" s="2" t="s">
        <v>35</v>
      </c>
      <c r="N725" s="2" t="s">
        <v>35</v>
      </c>
      <c r="O725" s="2" t="s">
        <v>1828</v>
      </c>
      <c r="P725" s="2" t="s">
        <v>35</v>
      </c>
      <c r="Q725" s="2" t="s">
        <v>35</v>
      </c>
    </row>
    <row r="726" spans="1:17" ht="129.6">
      <c r="A726" s="8" t="str">
        <f>HYPERLINK("http://sipi.sic.gov.co/sipi/View.ashx?4515798","SD2022/0133233")</f>
        <v>SD2022/0133233</v>
      </c>
      <c r="B726" s="2" t="s">
        <v>2519</v>
      </c>
      <c r="C726" s="7" t="s">
        <v>35</v>
      </c>
      <c r="D726" s="2" t="s">
        <v>2489</v>
      </c>
      <c r="E726" s="2" t="s">
        <v>35</v>
      </c>
      <c r="F726" s="2" t="s">
        <v>37</v>
      </c>
      <c r="G726" s="2" t="s">
        <v>2520</v>
      </c>
      <c r="H726" s="2" t="s">
        <v>2521</v>
      </c>
      <c r="I726" s="2" t="s">
        <v>195</v>
      </c>
      <c r="J726" s="2" t="s">
        <v>40</v>
      </c>
      <c r="K726" s="2" t="s">
        <v>2522</v>
      </c>
      <c r="L726" s="2" t="s">
        <v>42</v>
      </c>
      <c r="M726" s="2" t="s">
        <v>2523</v>
      </c>
      <c r="N726" s="2" t="s">
        <v>35</v>
      </c>
      <c r="O726" s="2" t="s">
        <v>2382</v>
      </c>
      <c r="P726" s="2" t="s">
        <v>35</v>
      </c>
      <c r="Q726" s="2" t="s">
        <v>35</v>
      </c>
    </row>
    <row r="727" spans="1:17" ht="158.4">
      <c r="A727" s="8" t="str">
        <f>HYPERLINK("http://sipi.sic.gov.co/sipi/View.ashx?4515822","SD2022/0133231")</f>
        <v>SD2022/0133231</v>
      </c>
      <c r="B727" s="2" t="s">
        <v>2524</v>
      </c>
      <c r="C727" s="2" t="s">
        <v>35</v>
      </c>
      <c r="D727" s="2" t="s">
        <v>2489</v>
      </c>
      <c r="E727" s="2" t="s">
        <v>35</v>
      </c>
      <c r="F727" s="2" t="s">
        <v>37</v>
      </c>
      <c r="G727" s="2" t="s">
        <v>2524</v>
      </c>
      <c r="H727" s="2" t="s">
        <v>2521</v>
      </c>
      <c r="I727" s="2" t="s">
        <v>61</v>
      </c>
      <c r="J727" s="2" t="s">
        <v>40</v>
      </c>
      <c r="K727" s="2" t="s">
        <v>2525</v>
      </c>
      <c r="L727" s="2" t="s">
        <v>42</v>
      </c>
      <c r="M727" s="2" t="s">
        <v>2523</v>
      </c>
      <c r="N727" s="2" t="s">
        <v>35</v>
      </c>
      <c r="O727" s="2" t="s">
        <v>2089</v>
      </c>
      <c r="P727" s="2" t="s">
        <v>35</v>
      </c>
      <c r="Q727" s="2" t="s">
        <v>35</v>
      </c>
    </row>
    <row r="728" spans="1:17" ht="187.2">
      <c r="A728" s="8" t="str">
        <f>HYPERLINK("http://sipi.sic.gov.co/sipi/View.ashx?4516631","SD2022/0133450")</f>
        <v>SD2022/0133450</v>
      </c>
      <c r="B728" s="2" t="s">
        <v>2526</v>
      </c>
      <c r="C728" s="7" t="s">
        <v>35</v>
      </c>
      <c r="D728" s="2" t="s">
        <v>2489</v>
      </c>
      <c r="E728" s="2" t="s">
        <v>35</v>
      </c>
      <c r="F728" s="2" t="s">
        <v>37</v>
      </c>
      <c r="G728" s="2" t="s">
        <v>2526</v>
      </c>
      <c r="H728" s="2" t="s">
        <v>2527</v>
      </c>
      <c r="I728" s="2" t="s">
        <v>12</v>
      </c>
      <c r="J728" s="2" t="s">
        <v>40</v>
      </c>
      <c r="K728" s="2" t="s">
        <v>2528</v>
      </c>
      <c r="L728" s="2" t="s">
        <v>42</v>
      </c>
      <c r="M728" s="2" t="s">
        <v>2529</v>
      </c>
      <c r="N728" s="2" t="s">
        <v>35</v>
      </c>
      <c r="O728" s="2" t="s">
        <v>1655</v>
      </c>
      <c r="P728" s="2" t="s">
        <v>35</v>
      </c>
      <c r="Q728" s="2" t="s">
        <v>35</v>
      </c>
    </row>
    <row r="729" spans="1:17" ht="57.6">
      <c r="A729" s="8" t="str">
        <f>HYPERLINK("http://sipi.sic.gov.co/sipi/View.ashx?4516705","SD2022/0133888")</f>
        <v>SD2022/0133888</v>
      </c>
      <c r="B729" s="2" t="s">
        <v>2530</v>
      </c>
      <c r="C729" s="2" t="s">
        <v>35</v>
      </c>
      <c r="D729" s="2" t="s">
        <v>2497</v>
      </c>
      <c r="E729" s="2" t="s">
        <v>35</v>
      </c>
      <c r="F729" s="2" t="s">
        <v>37</v>
      </c>
      <c r="G729" s="2" t="s">
        <v>2530</v>
      </c>
      <c r="H729" s="2" t="s">
        <v>2516</v>
      </c>
      <c r="I729" s="2" t="s">
        <v>12</v>
      </c>
      <c r="J729" s="2" t="s">
        <v>40</v>
      </c>
      <c r="K729" s="2" t="s">
        <v>2531</v>
      </c>
      <c r="L729" s="2" t="s">
        <v>42</v>
      </c>
      <c r="M729" s="2" t="s">
        <v>35</v>
      </c>
      <c r="N729" s="2" t="s">
        <v>35</v>
      </c>
      <c r="O729" s="2" t="s">
        <v>2473</v>
      </c>
      <c r="P729" s="2" t="s">
        <v>35</v>
      </c>
      <c r="Q729" s="2" t="s">
        <v>35</v>
      </c>
    </row>
    <row r="730" spans="1:17" ht="187.2">
      <c r="A730" s="8" t="str">
        <f>HYPERLINK("http://sipi.sic.gov.co/sipi/View.ashx?4517105","SD2022/0133531")</f>
        <v>SD2022/0133531</v>
      </c>
      <c r="B730" s="2" t="s">
        <v>2532</v>
      </c>
      <c r="C730" s="2" t="s">
        <v>35</v>
      </c>
      <c r="D730" s="2" t="s">
        <v>2489</v>
      </c>
      <c r="E730" s="2" t="s">
        <v>35</v>
      </c>
      <c r="F730" s="2" t="s">
        <v>37</v>
      </c>
      <c r="G730" s="2" t="s">
        <v>35</v>
      </c>
      <c r="H730" s="2" t="s">
        <v>2533</v>
      </c>
      <c r="I730" s="2" t="s">
        <v>61</v>
      </c>
      <c r="J730" s="2" t="s">
        <v>40</v>
      </c>
      <c r="K730" s="2" t="s">
        <v>2534</v>
      </c>
      <c r="L730" s="2" t="s">
        <v>42</v>
      </c>
      <c r="M730" s="2" t="s">
        <v>371</v>
      </c>
      <c r="N730" s="2" t="s">
        <v>35</v>
      </c>
      <c r="O730" s="2" t="s">
        <v>1409</v>
      </c>
      <c r="P730" s="2" t="s">
        <v>35</v>
      </c>
      <c r="Q730" s="2" t="s">
        <v>35</v>
      </c>
    </row>
    <row r="731" spans="1:17" ht="187.2">
      <c r="A731" s="8" t="str">
        <f>HYPERLINK("http://sipi.sic.gov.co/sipi/View.ashx?4517190","SD2022/0133579")</f>
        <v>SD2022/0133579</v>
      </c>
      <c r="B731" s="2" t="s">
        <v>2535</v>
      </c>
      <c r="C731" s="7" t="s">
        <v>35</v>
      </c>
      <c r="D731" s="2" t="s">
        <v>2489</v>
      </c>
      <c r="E731" s="2" t="s">
        <v>35</v>
      </c>
      <c r="F731" s="2" t="s">
        <v>37</v>
      </c>
      <c r="G731" s="2" t="s">
        <v>2536</v>
      </c>
      <c r="H731" s="2" t="s">
        <v>2537</v>
      </c>
      <c r="I731" s="2" t="s">
        <v>12</v>
      </c>
      <c r="J731" s="2" t="s">
        <v>40</v>
      </c>
      <c r="K731" s="2" t="s">
        <v>41</v>
      </c>
      <c r="L731" s="2" t="s">
        <v>42</v>
      </c>
      <c r="M731" s="2" t="s">
        <v>252</v>
      </c>
      <c r="N731" s="2" t="s">
        <v>35</v>
      </c>
      <c r="O731" s="2" t="s">
        <v>2006</v>
      </c>
      <c r="P731" s="2" t="s">
        <v>35</v>
      </c>
      <c r="Q731" s="2" t="s">
        <v>35</v>
      </c>
    </row>
    <row r="732" spans="1:17" ht="409.6">
      <c r="A732" s="8" t="str">
        <f>HYPERLINK("http://sipi.sic.gov.co/sipi/View.ashx?4517681","SD2022/0137432")</f>
        <v>SD2022/0137432</v>
      </c>
      <c r="B732" s="2" t="s">
        <v>2538</v>
      </c>
      <c r="C732" s="7" t="s">
        <v>35</v>
      </c>
      <c r="D732" s="2" t="s">
        <v>2510</v>
      </c>
      <c r="E732" s="2" t="s">
        <v>35</v>
      </c>
      <c r="F732" s="2" t="s">
        <v>37</v>
      </c>
      <c r="G732" s="2" t="s">
        <v>2539</v>
      </c>
      <c r="H732" s="2" t="s">
        <v>2540</v>
      </c>
      <c r="I732" s="2" t="s">
        <v>2541</v>
      </c>
      <c r="J732" s="2" t="s">
        <v>40</v>
      </c>
      <c r="K732" s="2" t="s">
        <v>2542</v>
      </c>
      <c r="L732" s="2" t="s">
        <v>42</v>
      </c>
      <c r="M732" s="2" t="s">
        <v>2543</v>
      </c>
      <c r="N732" s="2" t="s">
        <v>35</v>
      </c>
      <c r="O732" s="2" t="s">
        <v>2089</v>
      </c>
      <c r="P732" s="2" t="s">
        <v>35</v>
      </c>
      <c r="Q732" s="2" t="s">
        <v>35</v>
      </c>
    </row>
    <row r="733" spans="1:17" ht="144">
      <c r="A733" s="8" t="str">
        <f>HYPERLINK("http://sipi.sic.gov.co/sipi/View.ashx?4518542","SD2022/0133969")</f>
        <v>SD2022/0133969</v>
      </c>
      <c r="B733" s="2" t="s">
        <v>2544</v>
      </c>
      <c r="C733" s="2" t="s">
        <v>35</v>
      </c>
      <c r="D733" s="2" t="s">
        <v>2497</v>
      </c>
      <c r="E733" s="2" t="s">
        <v>35</v>
      </c>
      <c r="F733" s="2" t="s">
        <v>37</v>
      </c>
      <c r="G733" s="2" t="s">
        <v>2545</v>
      </c>
      <c r="H733" s="2" t="s">
        <v>2546</v>
      </c>
      <c r="I733" s="2" t="s">
        <v>12</v>
      </c>
      <c r="J733" s="2" t="s">
        <v>40</v>
      </c>
      <c r="K733" s="2" t="s">
        <v>2547</v>
      </c>
      <c r="L733" s="2" t="s">
        <v>55</v>
      </c>
      <c r="M733" s="2" t="s">
        <v>2548</v>
      </c>
      <c r="N733" s="2" t="s">
        <v>35</v>
      </c>
      <c r="O733" s="2" t="s">
        <v>1655</v>
      </c>
      <c r="P733" s="2" t="s">
        <v>35</v>
      </c>
      <c r="Q733" s="2" t="s">
        <v>35</v>
      </c>
    </row>
    <row r="734" spans="1:17" ht="144">
      <c r="A734" s="8" t="str">
        <f>HYPERLINK("http://sipi.sic.gov.co/sipi/View.ashx?4518728","SD2022/0134082")</f>
        <v>SD2022/0134082</v>
      </c>
      <c r="B734" s="2" t="s">
        <v>2549</v>
      </c>
      <c r="C734" s="2" t="s">
        <v>35</v>
      </c>
      <c r="D734" s="2" t="s">
        <v>2497</v>
      </c>
      <c r="E734" s="2" t="s">
        <v>35</v>
      </c>
      <c r="F734" s="2" t="s">
        <v>37</v>
      </c>
      <c r="G734" s="2" t="s">
        <v>2550</v>
      </c>
      <c r="H734" s="2" t="s">
        <v>2546</v>
      </c>
      <c r="I734" s="2" t="s">
        <v>12</v>
      </c>
      <c r="J734" s="2" t="s">
        <v>40</v>
      </c>
      <c r="K734" s="2" t="s">
        <v>2547</v>
      </c>
      <c r="L734" s="2" t="s">
        <v>55</v>
      </c>
      <c r="M734" s="2" t="s">
        <v>2548</v>
      </c>
      <c r="N734" s="2" t="s">
        <v>35</v>
      </c>
      <c r="O734" s="2" t="s">
        <v>1655</v>
      </c>
      <c r="P734" s="2" t="s">
        <v>35</v>
      </c>
      <c r="Q734" s="2" t="s">
        <v>35</v>
      </c>
    </row>
    <row r="735" spans="1:17" ht="216">
      <c r="A735" s="8" t="str">
        <f>HYPERLINK("http://sipi.sic.gov.co/sipi/View.ashx?4519089","SD2022/0134199")</f>
        <v>SD2022/0134199</v>
      </c>
      <c r="B735" s="2" t="s">
        <v>2551</v>
      </c>
      <c r="C735" s="7" t="s">
        <v>35</v>
      </c>
      <c r="D735" s="2" t="s">
        <v>2497</v>
      </c>
      <c r="E735" s="2" t="s">
        <v>35</v>
      </c>
      <c r="F735" s="2" t="s">
        <v>37</v>
      </c>
      <c r="G735" s="2" t="s">
        <v>35</v>
      </c>
      <c r="H735" s="2" t="s">
        <v>2552</v>
      </c>
      <c r="I735" s="2" t="s">
        <v>805</v>
      </c>
      <c r="J735" s="2" t="s">
        <v>40</v>
      </c>
      <c r="K735" s="2" t="s">
        <v>2553</v>
      </c>
      <c r="L735" s="2" t="s">
        <v>42</v>
      </c>
      <c r="M735" s="2" t="s">
        <v>2554</v>
      </c>
      <c r="N735" s="2" t="s">
        <v>35</v>
      </c>
      <c r="O735" s="2" t="s">
        <v>2382</v>
      </c>
      <c r="P735" s="2" t="s">
        <v>35</v>
      </c>
      <c r="Q735" s="2" t="s">
        <v>35</v>
      </c>
    </row>
    <row r="736" spans="1:17" ht="129.6">
      <c r="A736" s="8" t="str">
        <f>HYPERLINK("http://sipi.sic.gov.co/sipi/View.ashx?4519385","SD2022/0135458")</f>
        <v>SD2022/0135458</v>
      </c>
      <c r="B736" s="2" t="s">
        <v>2555</v>
      </c>
      <c r="C736" s="2" t="s">
        <v>35</v>
      </c>
      <c r="D736" s="2" t="s">
        <v>2429</v>
      </c>
      <c r="E736" s="2" t="s">
        <v>35</v>
      </c>
      <c r="F736" s="2" t="s">
        <v>37</v>
      </c>
      <c r="G736" s="2" t="s">
        <v>2556</v>
      </c>
      <c r="H736" s="2" t="s">
        <v>2557</v>
      </c>
      <c r="I736" s="2" t="s">
        <v>444</v>
      </c>
      <c r="J736" s="2" t="s">
        <v>40</v>
      </c>
      <c r="K736" s="2" t="s">
        <v>2558</v>
      </c>
      <c r="L736" s="2" t="s">
        <v>55</v>
      </c>
      <c r="M736" s="2" t="s">
        <v>515</v>
      </c>
      <c r="N736" s="2" t="s">
        <v>35</v>
      </c>
      <c r="O736" s="2" t="s">
        <v>1424</v>
      </c>
      <c r="P736" s="2" t="s">
        <v>35</v>
      </c>
      <c r="Q736" s="2" t="s">
        <v>35</v>
      </c>
    </row>
    <row r="737" spans="1:17" ht="76.8">
      <c r="A737" s="8" t="str">
        <f>HYPERLINK("http://sipi.sic.gov.co/sipi/View.ashx?4520269","SD2022/0134781")</f>
        <v>SD2022/0134781</v>
      </c>
      <c r="B737" s="2" t="s">
        <v>2559</v>
      </c>
      <c r="C737" s="7" t="s">
        <v>35</v>
      </c>
      <c r="D737" s="2" t="s">
        <v>2497</v>
      </c>
      <c r="E737" s="2" t="s">
        <v>35</v>
      </c>
      <c r="F737" s="2" t="s">
        <v>37</v>
      </c>
      <c r="G737" s="2" t="s">
        <v>35</v>
      </c>
      <c r="H737" s="2" t="s">
        <v>2560</v>
      </c>
      <c r="I737" s="2" t="s">
        <v>12</v>
      </c>
      <c r="J737" s="2" t="s">
        <v>40</v>
      </c>
      <c r="K737" s="2" t="s">
        <v>2561</v>
      </c>
      <c r="L737" s="2" t="s">
        <v>42</v>
      </c>
      <c r="M737" s="2" t="s">
        <v>35</v>
      </c>
      <c r="N737" s="2" t="s">
        <v>35</v>
      </c>
      <c r="O737" s="2" t="s">
        <v>1303</v>
      </c>
      <c r="P737" s="2" t="s">
        <v>35</v>
      </c>
      <c r="Q737" s="2" t="s">
        <v>35</v>
      </c>
    </row>
    <row r="738" spans="1:17" ht="115.2">
      <c r="A738" s="8" t="str">
        <f>HYPERLINK("http://sipi.sic.gov.co/sipi/View.ashx?4520776","SD2022/0135322")</f>
        <v>SD2022/0135322</v>
      </c>
      <c r="B738" s="2" t="s">
        <v>2562</v>
      </c>
      <c r="C738" s="2" t="s">
        <v>35</v>
      </c>
      <c r="D738" s="2" t="s">
        <v>2497</v>
      </c>
      <c r="E738" s="2" t="s">
        <v>35</v>
      </c>
      <c r="F738" s="2" t="s">
        <v>37</v>
      </c>
      <c r="G738" s="2" t="s">
        <v>2563</v>
      </c>
      <c r="H738" s="2" t="s">
        <v>2303</v>
      </c>
      <c r="I738" s="2" t="s">
        <v>444</v>
      </c>
      <c r="J738" s="2" t="s">
        <v>40</v>
      </c>
      <c r="K738" s="2" t="s">
        <v>2564</v>
      </c>
      <c r="L738" s="2" t="s">
        <v>55</v>
      </c>
      <c r="M738" s="2" t="s">
        <v>502</v>
      </c>
      <c r="N738" s="2" t="s">
        <v>35</v>
      </c>
      <c r="O738" s="2" t="s">
        <v>2382</v>
      </c>
      <c r="P738" s="2" t="s">
        <v>35</v>
      </c>
      <c r="Q738" s="2" t="s">
        <v>35</v>
      </c>
    </row>
    <row r="739" spans="1:17" ht="409.6">
      <c r="A739" s="8" t="str">
        <f>HYPERLINK("http://sipi.sic.gov.co/sipi/View.ashx?4521138","SD2022/0135240")</f>
        <v>SD2022/0135240</v>
      </c>
      <c r="B739" s="2" t="s">
        <v>2565</v>
      </c>
      <c r="C739" s="2" t="s">
        <v>35</v>
      </c>
      <c r="D739" s="2" t="s">
        <v>2497</v>
      </c>
      <c r="E739" s="2" t="s">
        <v>35</v>
      </c>
      <c r="F739" s="2" t="s">
        <v>37</v>
      </c>
      <c r="G739" s="2" t="s">
        <v>35</v>
      </c>
      <c r="H739" s="2" t="s">
        <v>2426</v>
      </c>
      <c r="I739" s="2" t="s">
        <v>61</v>
      </c>
      <c r="J739" s="2" t="s">
        <v>40</v>
      </c>
      <c r="K739" s="2" t="s">
        <v>2566</v>
      </c>
      <c r="L739" s="2" t="s">
        <v>42</v>
      </c>
      <c r="M739" s="2" t="s">
        <v>35</v>
      </c>
      <c r="N739" s="2" t="s">
        <v>35</v>
      </c>
      <c r="O739" s="2" t="s">
        <v>2089</v>
      </c>
      <c r="P739" s="2" t="s">
        <v>35</v>
      </c>
      <c r="Q739" s="2" t="s">
        <v>35</v>
      </c>
    </row>
    <row r="740" spans="1:17" ht="409.6">
      <c r="A740" s="8" t="str">
        <f>HYPERLINK("http://sipi.sic.gov.co/sipi/View.ashx?4521395","SD2022/0135312")</f>
        <v>SD2022/0135312</v>
      </c>
      <c r="B740" s="2" t="s">
        <v>2567</v>
      </c>
      <c r="C740" s="2" t="s">
        <v>35</v>
      </c>
      <c r="D740" s="2" t="s">
        <v>2497</v>
      </c>
      <c r="E740" s="2" t="s">
        <v>35</v>
      </c>
      <c r="F740" s="2" t="s">
        <v>37</v>
      </c>
      <c r="G740" s="2" t="s">
        <v>35</v>
      </c>
      <c r="H740" s="2" t="s">
        <v>2426</v>
      </c>
      <c r="I740" s="2" t="s">
        <v>61</v>
      </c>
      <c r="J740" s="2" t="s">
        <v>40</v>
      </c>
      <c r="K740" s="2" t="s">
        <v>2568</v>
      </c>
      <c r="L740" s="2" t="s">
        <v>55</v>
      </c>
      <c r="M740" s="2" t="s">
        <v>35</v>
      </c>
      <c r="N740" s="2" t="s">
        <v>35</v>
      </c>
      <c r="O740" s="2" t="s">
        <v>2382</v>
      </c>
      <c r="P740" s="2" t="s">
        <v>35</v>
      </c>
      <c r="Q740" s="2" t="s">
        <v>35</v>
      </c>
    </row>
    <row r="741" spans="1:17" ht="115.2">
      <c r="A741" s="8" t="str">
        <f>HYPERLINK("http://sipi.sic.gov.co/sipi/View.ashx?4521802","SD2022/0136516")</f>
        <v>SD2022/0136516</v>
      </c>
      <c r="B741" s="2" t="s">
        <v>2569</v>
      </c>
      <c r="C741" s="2" t="s">
        <v>35</v>
      </c>
      <c r="D741" s="2" t="s">
        <v>2429</v>
      </c>
      <c r="E741" s="2" t="s">
        <v>35</v>
      </c>
      <c r="F741" s="2" t="s">
        <v>37</v>
      </c>
      <c r="G741" s="2" t="s">
        <v>2570</v>
      </c>
      <c r="H741" s="2" t="s">
        <v>2571</v>
      </c>
      <c r="I741" s="2" t="s">
        <v>12</v>
      </c>
      <c r="J741" s="2" t="s">
        <v>40</v>
      </c>
      <c r="K741" s="2" t="s">
        <v>2572</v>
      </c>
      <c r="L741" s="2" t="s">
        <v>42</v>
      </c>
      <c r="M741" s="2" t="s">
        <v>2573</v>
      </c>
      <c r="N741" s="2" t="s">
        <v>35</v>
      </c>
      <c r="O741" s="2" t="s">
        <v>1790</v>
      </c>
      <c r="P741" s="2" t="s">
        <v>35</v>
      </c>
      <c r="Q741" s="2" t="s">
        <v>35</v>
      </c>
    </row>
    <row r="742" spans="1:17" ht="115.2">
      <c r="A742" s="8" t="str">
        <f>HYPERLINK("http://sipi.sic.gov.co/sipi/View.ashx?4521806","SD2022/0136521")</f>
        <v>SD2022/0136521</v>
      </c>
      <c r="B742" s="2" t="s">
        <v>2574</v>
      </c>
      <c r="C742" s="2" t="s">
        <v>35</v>
      </c>
      <c r="D742" s="2" t="s">
        <v>2429</v>
      </c>
      <c r="E742" s="2" t="s">
        <v>35</v>
      </c>
      <c r="F742" s="2" t="s">
        <v>37</v>
      </c>
      <c r="G742" s="2" t="s">
        <v>2575</v>
      </c>
      <c r="H742" s="2" t="s">
        <v>2571</v>
      </c>
      <c r="I742" s="2" t="s">
        <v>12</v>
      </c>
      <c r="J742" s="2" t="s">
        <v>40</v>
      </c>
      <c r="K742" s="2" t="s">
        <v>2572</v>
      </c>
      <c r="L742" s="2" t="s">
        <v>42</v>
      </c>
      <c r="M742" s="2" t="s">
        <v>2573</v>
      </c>
      <c r="N742" s="2" t="s">
        <v>35</v>
      </c>
      <c r="O742" s="2" t="s">
        <v>1790</v>
      </c>
      <c r="P742" s="2" t="s">
        <v>35</v>
      </c>
      <c r="Q742" s="2" t="s">
        <v>35</v>
      </c>
    </row>
    <row r="743" spans="1:17" ht="388.8">
      <c r="A743" s="8" t="str">
        <f>HYPERLINK("http://sipi.sic.gov.co/sipi/View.ashx?4523885","SD2022/0136739")</f>
        <v>SD2022/0136739</v>
      </c>
      <c r="B743" s="2" t="s">
        <v>2576</v>
      </c>
      <c r="C743" s="7" t="s">
        <v>35</v>
      </c>
      <c r="D743" s="2" t="s">
        <v>2429</v>
      </c>
      <c r="E743" s="2" t="s">
        <v>35</v>
      </c>
      <c r="F743" s="2" t="s">
        <v>37</v>
      </c>
      <c r="G743" s="2" t="s">
        <v>2576</v>
      </c>
      <c r="H743" s="2" t="s">
        <v>2577</v>
      </c>
      <c r="I743" s="2" t="s">
        <v>12</v>
      </c>
      <c r="J743" s="2" t="s">
        <v>40</v>
      </c>
      <c r="K743" s="2" t="s">
        <v>2578</v>
      </c>
      <c r="L743" s="2" t="s">
        <v>42</v>
      </c>
      <c r="M743" s="2" t="s">
        <v>35</v>
      </c>
      <c r="N743" s="2" t="s">
        <v>35</v>
      </c>
      <c r="O743" s="2" t="s">
        <v>1733</v>
      </c>
      <c r="P743" s="2" t="s">
        <v>35</v>
      </c>
      <c r="Q743" s="2" t="s">
        <v>35</v>
      </c>
    </row>
    <row r="744" spans="1:17" ht="187.2">
      <c r="A744" s="8" t="str">
        <f>HYPERLINK("http://sipi.sic.gov.co/sipi/View.ashx?4524659","SD2022/0137077")</f>
        <v>SD2022/0137077</v>
      </c>
      <c r="B744" s="2" t="s">
        <v>2579</v>
      </c>
      <c r="C744" s="7" t="s">
        <v>35</v>
      </c>
      <c r="D744" s="2" t="s">
        <v>2429</v>
      </c>
      <c r="E744" s="2" t="s">
        <v>35</v>
      </c>
      <c r="F744" s="2" t="s">
        <v>37</v>
      </c>
      <c r="G744" s="2" t="s">
        <v>2580</v>
      </c>
      <c r="H744" s="2" t="s">
        <v>2581</v>
      </c>
      <c r="I744" s="2" t="s">
        <v>974</v>
      </c>
      <c r="J744" s="2" t="s">
        <v>40</v>
      </c>
      <c r="K744" s="2" t="s">
        <v>2582</v>
      </c>
      <c r="L744" s="2" t="s">
        <v>42</v>
      </c>
      <c r="M744" s="2" t="s">
        <v>2583</v>
      </c>
      <c r="N744" s="2" t="s">
        <v>35</v>
      </c>
      <c r="O744" s="2" t="s">
        <v>2382</v>
      </c>
      <c r="P744" s="2" t="s">
        <v>35</v>
      </c>
      <c r="Q744" s="2" t="s">
        <v>35</v>
      </c>
    </row>
    <row r="745" spans="1:17" ht="76.8">
      <c r="A745" s="8" t="str">
        <f>HYPERLINK("http://sipi.sic.gov.co/sipi/View.ashx?4525782","SD2022/0137529")</f>
        <v>SD2022/0137529</v>
      </c>
      <c r="B745" s="2" t="s">
        <v>2584</v>
      </c>
      <c r="C745" s="7" t="s">
        <v>35</v>
      </c>
      <c r="D745" s="2" t="s">
        <v>2585</v>
      </c>
      <c r="E745" s="2" t="s">
        <v>35</v>
      </c>
      <c r="F745" s="2" t="s">
        <v>37</v>
      </c>
      <c r="G745" s="2" t="s">
        <v>35</v>
      </c>
      <c r="H745" s="2" t="s">
        <v>2586</v>
      </c>
      <c r="I745" s="2" t="s">
        <v>61</v>
      </c>
      <c r="J745" s="2" t="s">
        <v>40</v>
      </c>
      <c r="K745" s="2" t="s">
        <v>2587</v>
      </c>
      <c r="L745" s="2" t="s">
        <v>42</v>
      </c>
      <c r="M745" s="2" t="s">
        <v>35</v>
      </c>
      <c r="N745" s="2" t="s">
        <v>35</v>
      </c>
      <c r="O745" s="2" t="s">
        <v>2382</v>
      </c>
      <c r="P745" s="2" t="s">
        <v>35</v>
      </c>
      <c r="Q745" s="2" t="s">
        <v>35</v>
      </c>
    </row>
    <row r="746" spans="1:17" ht="374.4">
      <c r="A746" s="8" t="str">
        <f>HYPERLINK("http://sipi.sic.gov.co/sipi/View.ashx?4526640","SD2022/0137768")</f>
        <v>SD2022/0137768</v>
      </c>
      <c r="B746" s="2" t="s">
        <v>2588</v>
      </c>
      <c r="C746" s="2" t="s">
        <v>35</v>
      </c>
      <c r="D746" s="2" t="s">
        <v>2585</v>
      </c>
      <c r="E746" s="2" t="s">
        <v>35</v>
      </c>
      <c r="F746" s="2" t="s">
        <v>37</v>
      </c>
      <c r="G746" s="2" t="s">
        <v>2588</v>
      </c>
      <c r="H746" s="2" t="s">
        <v>2589</v>
      </c>
      <c r="I746" s="2" t="s">
        <v>113</v>
      </c>
      <c r="J746" s="2" t="s">
        <v>40</v>
      </c>
      <c r="K746" s="2" t="s">
        <v>2590</v>
      </c>
      <c r="L746" s="2" t="s">
        <v>55</v>
      </c>
      <c r="M746" s="2" t="s">
        <v>2591</v>
      </c>
      <c r="N746" s="2" t="s">
        <v>35</v>
      </c>
      <c r="O746" s="2" t="s">
        <v>1655</v>
      </c>
      <c r="P746" s="2" t="s">
        <v>35</v>
      </c>
      <c r="Q746" s="2" t="s">
        <v>35</v>
      </c>
    </row>
    <row r="747" spans="1:17" ht="374.4">
      <c r="A747" s="8" t="str">
        <f>HYPERLINK("http://sipi.sic.gov.co/sipi/View.ashx?4526707","SD2022/0137803")</f>
        <v>SD2022/0137803</v>
      </c>
      <c r="B747" s="2" t="s">
        <v>2592</v>
      </c>
      <c r="C747" s="2" t="s">
        <v>35</v>
      </c>
      <c r="D747" s="2" t="s">
        <v>2585</v>
      </c>
      <c r="E747" s="2" t="s">
        <v>35</v>
      </c>
      <c r="F747" s="2" t="s">
        <v>37</v>
      </c>
      <c r="G747" s="2" t="s">
        <v>2592</v>
      </c>
      <c r="H747" s="2" t="s">
        <v>2589</v>
      </c>
      <c r="I747" s="2" t="s">
        <v>113</v>
      </c>
      <c r="J747" s="2" t="s">
        <v>40</v>
      </c>
      <c r="K747" s="2" t="s">
        <v>2593</v>
      </c>
      <c r="L747" s="2" t="s">
        <v>42</v>
      </c>
      <c r="M747" s="2" t="s">
        <v>2591</v>
      </c>
      <c r="N747" s="2" t="s">
        <v>35</v>
      </c>
      <c r="O747" s="2" t="s">
        <v>1655</v>
      </c>
      <c r="P747" s="2" t="s">
        <v>35</v>
      </c>
      <c r="Q747" s="2" t="s">
        <v>35</v>
      </c>
    </row>
    <row r="748" spans="1:17" ht="144">
      <c r="A748" s="8" t="str">
        <f>HYPERLINK("http://sipi.sic.gov.co/sipi/View.ashx?4527681","SD2022/0139574")</f>
        <v>SD2022/0139574</v>
      </c>
      <c r="B748" s="2" t="s">
        <v>2594</v>
      </c>
      <c r="C748" s="7" t="s">
        <v>35</v>
      </c>
      <c r="D748" s="2" t="s">
        <v>2595</v>
      </c>
      <c r="E748" s="2" t="s">
        <v>35</v>
      </c>
      <c r="F748" s="2" t="s">
        <v>37</v>
      </c>
      <c r="G748" s="2" t="s">
        <v>2594</v>
      </c>
      <c r="H748" s="2" t="s">
        <v>2596</v>
      </c>
      <c r="I748" s="2" t="s">
        <v>120</v>
      </c>
      <c r="J748" s="2" t="s">
        <v>40</v>
      </c>
      <c r="K748" s="2" t="s">
        <v>2597</v>
      </c>
      <c r="L748" s="2" t="s">
        <v>42</v>
      </c>
      <c r="M748" s="2" t="s">
        <v>35</v>
      </c>
      <c r="N748" s="2" t="s">
        <v>35</v>
      </c>
      <c r="O748" s="2" t="s">
        <v>1733</v>
      </c>
      <c r="P748" s="2" t="s">
        <v>35</v>
      </c>
      <c r="Q748" s="2" t="s">
        <v>35</v>
      </c>
    </row>
    <row r="749" spans="1:17" ht="129.6">
      <c r="A749" s="8" t="str">
        <f>HYPERLINK("http://sipi.sic.gov.co/sipi/View.ashx?4527774","SD2022/0138118")</f>
        <v>SD2022/0138118</v>
      </c>
      <c r="B749" s="2" t="s">
        <v>35</v>
      </c>
      <c r="C749" s="7" t="s">
        <v>35</v>
      </c>
      <c r="D749" s="2" t="s">
        <v>2585</v>
      </c>
      <c r="E749" s="2" t="s">
        <v>35</v>
      </c>
      <c r="F749" s="2" t="s">
        <v>37</v>
      </c>
      <c r="G749" s="2" t="s">
        <v>2598</v>
      </c>
      <c r="H749" s="2" t="s">
        <v>2599</v>
      </c>
      <c r="I749" s="2" t="s">
        <v>12</v>
      </c>
      <c r="J749" s="2" t="s">
        <v>40</v>
      </c>
      <c r="K749" s="2" t="s">
        <v>1175</v>
      </c>
      <c r="L749" s="2" t="s">
        <v>42</v>
      </c>
      <c r="M749" s="2" t="s">
        <v>833</v>
      </c>
      <c r="N749" s="2" t="s">
        <v>35</v>
      </c>
      <c r="O749" s="2" t="s">
        <v>2600</v>
      </c>
      <c r="P749" s="2" t="s">
        <v>1294</v>
      </c>
      <c r="Q749" s="2" t="s">
        <v>35</v>
      </c>
    </row>
    <row r="750" spans="1:17" ht="57.6">
      <c r="A750" s="8" t="str">
        <f>HYPERLINK("http://sipi.sic.gov.co/sipi/View.ashx?4527998","SD2022/0138149")</f>
        <v>SD2022/0138149</v>
      </c>
      <c r="B750" s="2" t="s">
        <v>2601</v>
      </c>
      <c r="C750" s="2" t="s">
        <v>35</v>
      </c>
      <c r="D750" s="2" t="s">
        <v>2585</v>
      </c>
      <c r="E750" s="2" t="s">
        <v>35</v>
      </c>
      <c r="F750" s="2" t="s">
        <v>37</v>
      </c>
      <c r="G750" s="2" t="s">
        <v>2602</v>
      </c>
      <c r="H750" s="2" t="s">
        <v>1288</v>
      </c>
      <c r="I750" s="2" t="s">
        <v>12</v>
      </c>
      <c r="J750" s="2" t="s">
        <v>40</v>
      </c>
      <c r="K750" s="2" t="s">
        <v>104</v>
      </c>
      <c r="L750" s="2" t="s">
        <v>42</v>
      </c>
      <c r="M750" s="2" t="s">
        <v>35</v>
      </c>
      <c r="N750" s="2" t="s">
        <v>35</v>
      </c>
      <c r="O750" s="2" t="s">
        <v>2041</v>
      </c>
      <c r="P750" s="2" t="s">
        <v>35</v>
      </c>
      <c r="Q750" s="2" t="s">
        <v>35</v>
      </c>
    </row>
    <row r="751" spans="1:17" ht="144">
      <c r="A751" s="8" t="str">
        <f>HYPERLINK("http://sipi.sic.gov.co/sipi/View.ashx?4528087","SD2022/0139572")</f>
        <v>SD2022/0139572</v>
      </c>
      <c r="B751" s="2" t="s">
        <v>2603</v>
      </c>
      <c r="C751" s="7" t="s">
        <v>35</v>
      </c>
      <c r="D751" s="2" t="s">
        <v>2595</v>
      </c>
      <c r="E751" s="2" t="s">
        <v>35</v>
      </c>
      <c r="F751" s="2" t="s">
        <v>37</v>
      </c>
      <c r="G751" s="2" t="s">
        <v>2603</v>
      </c>
      <c r="H751" s="2" t="s">
        <v>2604</v>
      </c>
      <c r="I751" s="2" t="s">
        <v>12</v>
      </c>
      <c r="J751" s="2" t="s">
        <v>40</v>
      </c>
      <c r="K751" s="2" t="s">
        <v>2605</v>
      </c>
      <c r="L751" s="2" t="s">
        <v>42</v>
      </c>
      <c r="M751" s="2" t="s">
        <v>35</v>
      </c>
      <c r="N751" s="2" t="s">
        <v>35</v>
      </c>
      <c r="O751" s="2" t="s">
        <v>2089</v>
      </c>
      <c r="P751" s="2" t="s">
        <v>35</v>
      </c>
      <c r="Q751" s="2" t="s">
        <v>35</v>
      </c>
    </row>
    <row r="752" spans="1:17" ht="144">
      <c r="A752" s="8" t="str">
        <f>HYPERLINK("http://sipi.sic.gov.co/sipi/View.ashx?4528137","SD2022/0139560")</f>
        <v>SD2022/0139560</v>
      </c>
      <c r="B752" s="2" t="s">
        <v>2606</v>
      </c>
      <c r="C752" s="7" t="s">
        <v>35</v>
      </c>
      <c r="D752" s="2" t="s">
        <v>2595</v>
      </c>
      <c r="E752" s="2" t="s">
        <v>35</v>
      </c>
      <c r="F752" s="2" t="s">
        <v>37</v>
      </c>
      <c r="G752" s="2" t="s">
        <v>2606</v>
      </c>
      <c r="H752" s="2" t="s">
        <v>2604</v>
      </c>
      <c r="I752" s="2" t="s">
        <v>12</v>
      </c>
      <c r="J752" s="2" t="s">
        <v>40</v>
      </c>
      <c r="K752" s="2" t="s">
        <v>2605</v>
      </c>
      <c r="L752" s="2" t="s">
        <v>42</v>
      </c>
      <c r="M752" s="2" t="s">
        <v>35</v>
      </c>
      <c r="N752" s="2" t="s">
        <v>35</v>
      </c>
      <c r="O752" s="2" t="s">
        <v>2089</v>
      </c>
      <c r="P752" s="2" t="s">
        <v>35</v>
      </c>
      <c r="Q752" s="2" t="s">
        <v>35</v>
      </c>
    </row>
    <row r="753" spans="1:17" ht="115.2">
      <c r="A753" s="8" t="str">
        <f>HYPERLINK("http://sipi.sic.gov.co/sipi/View.ashx?4528163","SD2022/0139556")</f>
        <v>SD2022/0139556</v>
      </c>
      <c r="B753" s="2" t="s">
        <v>2607</v>
      </c>
      <c r="C753" s="7" t="s">
        <v>35</v>
      </c>
      <c r="D753" s="2" t="s">
        <v>2275</v>
      </c>
      <c r="E753" s="2" t="s">
        <v>35</v>
      </c>
      <c r="F753" s="2" t="s">
        <v>37</v>
      </c>
      <c r="G753" s="2" t="s">
        <v>2607</v>
      </c>
      <c r="H753" s="2" t="s">
        <v>2604</v>
      </c>
      <c r="I753" s="2" t="s">
        <v>12</v>
      </c>
      <c r="J753" s="2" t="s">
        <v>40</v>
      </c>
      <c r="K753" s="2" t="s">
        <v>41</v>
      </c>
      <c r="L753" s="2" t="s">
        <v>42</v>
      </c>
      <c r="M753" s="2" t="s">
        <v>35</v>
      </c>
      <c r="N753" s="2" t="s">
        <v>35</v>
      </c>
      <c r="O753" s="2" t="s">
        <v>2045</v>
      </c>
      <c r="P753" s="2" t="s">
        <v>35</v>
      </c>
      <c r="Q753" s="2" t="s">
        <v>35</v>
      </c>
    </row>
    <row r="754" spans="1:17" ht="409.6">
      <c r="A754" s="8" t="str">
        <f>HYPERLINK("http://sipi.sic.gov.co/sipi/View.ashx?4528397","SD2022/0138264")</f>
        <v>SD2022/0138264</v>
      </c>
      <c r="B754" s="2" t="s">
        <v>2608</v>
      </c>
      <c r="C754" s="2" t="s">
        <v>35</v>
      </c>
      <c r="D754" s="2" t="s">
        <v>2585</v>
      </c>
      <c r="E754" s="2" t="s">
        <v>35</v>
      </c>
      <c r="F754" s="2" t="s">
        <v>37</v>
      </c>
      <c r="G754" s="2" t="s">
        <v>35</v>
      </c>
      <c r="H754" s="2" t="s">
        <v>2426</v>
      </c>
      <c r="I754" s="2" t="s">
        <v>61</v>
      </c>
      <c r="J754" s="2" t="s">
        <v>40</v>
      </c>
      <c r="K754" s="2" t="s">
        <v>2609</v>
      </c>
      <c r="L754" s="2" t="s">
        <v>42</v>
      </c>
      <c r="M754" s="2" t="s">
        <v>35</v>
      </c>
      <c r="N754" s="2" t="s">
        <v>35</v>
      </c>
      <c r="O754" s="2" t="s">
        <v>2382</v>
      </c>
      <c r="P754" s="2" t="s">
        <v>35</v>
      </c>
      <c r="Q754" s="2" t="s">
        <v>35</v>
      </c>
    </row>
    <row r="755" spans="1:17" ht="409.6">
      <c r="A755" s="8" t="str">
        <f>HYPERLINK("http://sipi.sic.gov.co/sipi/View.ashx?4528496","SD2022/0138289")</f>
        <v>SD2022/0138289</v>
      </c>
      <c r="B755" s="2" t="s">
        <v>2610</v>
      </c>
      <c r="C755" s="2" t="s">
        <v>35</v>
      </c>
      <c r="D755" s="2" t="s">
        <v>2585</v>
      </c>
      <c r="E755" s="2" t="s">
        <v>35</v>
      </c>
      <c r="F755" s="2" t="s">
        <v>37</v>
      </c>
      <c r="G755" s="2" t="s">
        <v>35</v>
      </c>
      <c r="H755" s="2" t="s">
        <v>2426</v>
      </c>
      <c r="I755" s="2" t="s">
        <v>61</v>
      </c>
      <c r="J755" s="2" t="s">
        <v>40</v>
      </c>
      <c r="K755" s="2" t="s">
        <v>2611</v>
      </c>
      <c r="L755" s="2" t="s">
        <v>55</v>
      </c>
      <c r="M755" s="2" t="s">
        <v>35</v>
      </c>
      <c r="N755" s="2" t="s">
        <v>35</v>
      </c>
      <c r="O755" s="2" t="s">
        <v>2382</v>
      </c>
      <c r="P755" s="2" t="s">
        <v>35</v>
      </c>
      <c r="Q755" s="2" t="s">
        <v>35</v>
      </c>
    </row>
    <row r="756" spans="1:17" ht="409.6">
      <c r="A756" s="8" t="str">
        <f>HYPERLINK("http://sipi.sic.gov.co/sipi/View.ashx?4528530","SD2022/0138298")</f>
        <v>SD2022/0138298</v>
      </c>
      <c r="B756" s="2" t="s">
        <v>2612</v>
      </c>
      <c r="C756" s="2" t="s">
        <v>35</v>
      </c>
      <c r="D756" s="2" t="s">
        <v>2585</v>
      </c>
      <c r="E756" s="2" t="s">
        <v>35</v>
      </c>
      <c r="F756" s="2" t="s">
        <v>37</v>
      </c>
      <c r="G756" s="2" t="s">
        <v>35</v>
      </c>
      <c r="H756" s="2" t="s">
        <v>2426</v>
      </c>
      <c r="I756" s="2" t="s">
        <v>61</v>
      </c>
      <c r="J756" s="2" t="s">
        <v>40</v>
      </c>
      <c r="K756" s="2" t="s">
        <v>2613</v>
      </c>
      <c r="L756" s="2" t="s">
        <v>42</v>
      </c>
      <c r="M756" s="2" t="s">
        <v>35</v>
      </c>
      <c r="N756" s="2" t="s">
        <v>35</v>
      </c>
      <c r="O756" s="2" t="s">
        <v>1790</v>
      </c>
      <c r="P756" s="2" t="s">
        <v>35</v>
      </c>
      <c r="Q756" s="2" t="s">
        <v>35</v>
      </c>
    </row>
    <row r="757" spans="1:17" ht="409.6">
      <c r="A757" s="8" t="str">
        <f>HYPERLINK("http://sipi.sic.gov.co/sipi/View.ashx?4528540","SD2022/0138301")</f>
        <v>SD2022/0138301</v>
      </c>
      <c r="B757" s="2" t="s">
        <v>2614</v>
      </c>
      <c r="C757" s="2" t="s">
        <v>35</v>
      </c>
      <c r="D757" s="2" t="s">
        <v>2585</v>
      </c>
      <c r="E757" s="2" t="s">
        <v>35</v>
      </c>
      <c r="F757" s="2" t="s">
        <v>37</v>
      </c>
      <c r="G757" s="2" t="s">
        <v>35</v>
      </c>
      <c r="H757" s="2" t="s">
        <v>2426</v>
      </c>
      <c r="I757" s="2" t="s">
        <v>61</v>
      </c>
      <c r="J757" s="2" t="s">
        <v>40</v>
      </c>
      <c r="K757" s="2" t="s">
        <v>2615</v>
      </c>
      <c r="L757" s="2" t="s">
        <v>55</v>
      </c>
      <c r="M757" s="2" t="s">
        <v>35</v>
      </c>
      <c r="N757" s="2" t="s">
        <v>35</v>
      </c>
      <c r="O757" s="2" t="s">
        <v>1790</v>
      </c>
      <c r="P757" s="2" t="s">
        <v>35</v>
      </c>
      <c r="Q757" s="2" t="s">
        <v>35</v>
      </c>
    </row>
    <row r="758" spans="1:17" ht="57.6">
      <c r="A758" s="8" t="str">
        <f>HYPERLINK("http://sipi.sic.gov.co/sipi/View.ashx?4529396","SD2022/0138525")</f>
        <v>SD2022/0138525</v>
      </c>
      <c r="B758" s="2" t="s">
        <v>2616</v>
      </c>
      <c r="C758" s="2" t="s">
        <v>35</v>
      </c>
      <c r="D758" s="2" t="s">
        <v>2617</v>
      </c>
      <c r="E758" s="2" t="s">
        <v>35</v>
      </c>
      <c r="F758" s="2" t="s">
        <v>37</v>
      </c>
      <c r="G758" s="2" t="s">
        <v>2618</v>
      </c>
      <c r="H758" s="2" t="s">
        <v>1288</v>
      </c>
      <c r="I758" s="2" t="s">
        <v>12</v>
      </c>
      <c r="J758" s="2" t="s">
        <v>40</v>
      </c>
      <c r="K758" s="2" t="s">
        <v>2619</v>
      </c>
      <c r="L758" s="2" t="s">
        <v>42</v>
      </c>
      <c r="M758" s="2" t="s">
        <v>35</v>
      </c>
      <c r="N758" s="2" t="s">
        <v>35</v>
      </c>
      <c r="O758" s="2" t="s">
        <v>2006</v>
      </c>
      <c r="P758" s="2" t="s">
        <v>35</v>
      </c>
      <c r="Q758" s="2" t="s">
        <v>35</v>
      </c>
    </row>
    <row r="759" spans="1:17" ht="57.6">
      <c r="A759" s="8" t="str">
        <f>HYPERLINK("http://sipi.sic.gov.co/sipi/View.ashx?4529564","SD2022/0138582")</f>
        <v>SD2022/0138582</v>
      </c>
      <c r="B759" s="2" t="s">
        <v>2620</v>
      </c>
      <c r="C759" s="2" t="s">
        <v>35</v>
      </c>
      <c r="D759" s="2" t="s">
        <v>2617</v>
      </c>
      <c r="E759" s="2" t="s">
        <v>35</v>
      </c>
      <c r="F759" s="2" t="s">
        <v>37</v>
      </c>
      <c r="G759" s="2" t="s">
        <v>2620</v>
      </c>
      <c r="H759" s="2" t="s">
        <v>1288</v>
      </c>
      <c r="I759" s="2" t="s">
        <v>12</v>
      </c>
      <c r="J759" s="2" t="s">
        <v>40</v>
      </c>
      <c r="K759" s="2" t="s">
        <v>2621</v>
      </c>
      <c r="L759" s="2" t="s">
        <v>55</v>
      </c>
      <c r="M759" s="2" t="s">
        <v>35</v>
      </c>
      <c r="N759" s="2" t="s">
        <v>35</v>
      </c>
      <c r="O759" s="2" t="s">
        <v>2006</v>
      </c>
      <c r="P759" s="2" t="s">
        <v>35</v>
      </c>
      <c r="Q759" s="2" t="s">
        <v>35</v>
      </c>
    </row>
    <row r="760" spans="1:17" ht="57.6">
      <c r="A760" s="8" t="str">
        <f>HYPERLINK("http://sipi.sic.gov.co/sipi/View.ashx?4530027","SD2022/0138679")</f>
        <v>SD2022/0138679</v>
      </c>
      <c r="B760" s="2" t="s">
        <v>2622</v>
      </c>
      <c r="C760" s="2" t="s">
        <v>35</v>
      </c>
      <c r="D760" s="2" t="s">
        <v>2617</v>
      </c>
      <c r="E760" s="2" t="s">
        <v>35</v>
      </c>
      <c r="F760" s="2" t="s">
        <v>37</v>
      </c>
      <c r="G760" s="2" t="s">
        <v>2623</v>
      </c>
      <c r="H760" s="2" t="s">
        <v>1288</v>
      </c>
      <c r="I760" s="2" t="s">
        <v>12</v>
      </c>
      <c r="J760" s="2" t="s">
        <v>40</v>
      </c>
      <c r="K760" s="2" t="s">
        <v>104</v>
      </c>
      <c r="L760" s="2" t="s">
        <v>55</v>
      </c>
      <c r="M760" s="2" t="s">
        <v>35</v>
      </c>
      <c r="N760" s="2" t="s">
        <v>35</v>
      </c>
      <c r="O760" s="2" t="s">
        <v>1476</v>
      </c>
      <c r="P760" s="2" t="s">
        <v>35</v>
      </c>
      <c r="Q760" s="2" t="s">
        <v>35</v>
      </c>
    </row>
    <row r="761" spans="1:17" ht="57.6">
      <c r="A761" s="8" t="str">
        <f>HYPERLINK("http://sipi.sic.gov.co/sipi/View.ashx?4530144","SD2022/0138714")</f>
        <v>SD2022/0138714</v>
      </c>
      <c r="B761" s="2" t="s">
        <v>2624</v>
      </c>
      <c r="C761" s="2" t="s">
        <v>35</v>
      </c>
      <c r="D761" s="2" t="s">
        <v>2617</v>
      </c>
      <c r="E761" s="2" t="s">
        <v>35</v>
      </c>
      <c r="F761" s="2" t="s">
        <v>37</v>
      </c>
      <c r="G761" s="2" t="s">
        <v>2625</v>
      </c>
      <c r="H761" s="2" t="s">
        <v>1288</v>
      </c>
      <c r="I761" s="2" t="s">
        <v>12</v>
      </c>
      <c r="J761" s="2" t="s">
        <v>40</v>
      </c>
      <c r="K761" s="2" t="s">
        <v>104</v>
      </c>
      <c r="L761" s="2" t="s">
        <v>42</v>
      </c>
      <c r="M761" s="2" t="s">
        <v>35</v>
      </c>
      <c r="N761" s="2" t="s">
        <v>35</v>
      </c>
      <c r="O761" s="2" t="s">
        <v>2041</v>
      </c>
      <c r="P761" s="2" t="s">
        <v>35</v>
      </c>
      <c r="Q761" s="2" t="s">
        <v>35</v>
      </c>
    </row>
    <row r="762" spans="1:17" ht="100.8">
      <c r="A762" s="8" t="str">
        <f>HYPERLINK("http://sipi.sic.gov.co/sipi/View.ashx?4530190","SD2022/0139372")</f>
        <v>SD2022/0139372</v>
      </c>
      <c r="B762" s="2" t="s">
        <v>2626</v>
      </c>
      <c r="C762" s="7" t="s">
        <v>35</v>
      </c>
      <c r="D762" s="2" t="s">
        <v>2595</v>
      </c>
      <c r="E762" s="2" t="s">
        <v>35</v>
      </c>
      <c r="F762" s="2" t="s">
        <v>37</v>
      </c>
      <c r="G762" s="2" t="s">
        <v>35</v>
      </c>
      <c r="H762" s="2" t="s">
        <v>1811</v>
      </c>
      <c r="I762" s="2" t="s">
        <v>12</v>
      </c>
      <c r="J762" s="2" t="s">
        <v>40</v>
      </c>
      <c r="K762" s="2" t="s">
        <v>1812</v>
      </c>
      <c r="L762" s="2" t="s">
        <v>42</v>
      </c>
      <c r="M762" s="2" t="s">
        <v>290</v>
      </c>
      <c r="N762" s="2" t="s">
        <v>35</v>
      </c>
      <c r="O762" s="2" t="s">
        <v>1790</v>
      </c>
      <c r="P762" s="2" t="s">
        <v>35</v>
      </c>
      <c r="Q762" s="2" t="s">
        <v>35</v>
      </c>
    </row>
    <row r="763" spans="1:17" ht="100.8">
      <c r="A763" s="8" t="str">
        <f>HYPERLINK("http://sipi.sic.gov.co/sipi/View.ashx?4530261","SD2022/0139427")</f>
        <v>SD2022/0139427</v>
      </c>
      <c r="B763" s="2" t="s">
        <v>2627</v>
      </c>
      <c r="C763" s="2" t="s">
        <v>35</v>
      </c>
      <c r="D763" s="2" t="s">
        <v>2595</v>
      </c>
      <c r="E763" s="2" t="s">
        <v>35</v>
      </c>
      <c r="F763" s="2" t="s">
        <v>37</v>
      </c>
      <c r="G763" s="2" t="s">
        <v>35</v>
      </c>
      <c r="H763" s="2" t="s">
        <v>1811</v>
      </c>
      <c r="I763" s="2" t="s">
        <v>12</v>
      </c>
      <c r="J763" s="2" t="s">
        <v>40</v>
      </c>
      <c r="K763" s="2" t="s">
        <v>1812</v>
      </c>
      <c r="L763" s="2" t="s">
        <v>42</v>
      </c>
      <c r="M763" s="2" t="s">
        <v>290</v>
      </c>
      <c r="N763" s="2" t="s">
        <v>35</v>
      </c>
      <c r="O763" s="2" t="s">
        <v>1790</v>
      </c>
      <c r="P763" s="2" t="s">
        <v>35</v>
      </c>
      <c r="Q763" s="2" t="s">
        <v>35</v>
      </c>
    </row>
    <row r="764" spans="1:17" ht="172.8">
      <c r="A764" s="8" t="str">
        <f>HYPERLINK("http://sipi.sic.gov.co/sipi/View.ashx?4530730","SD2022/0138885")</f>
        <v>SD2022/0138885</v>
      </c>
      <c r="B764" s="2" t="s">
        <v>2628</v>
      </c>
      <c r="C764" s="7" t="s">
        <v>35</v>
      </c>
      <c r="D764" s="2" t="s">
        <v>2617</v>
      </c>
      <c r="E764" s="2" t="s">
        <v>35</v>
      </c>
      <c r="F764" s="2" t="s">
        <v>37</v>
      </c>
      <c r="G764" s="2" t="s">
        <v>35</v>
      </c>
      <c r="H764" s="2" t="s">
        <v>2629</v>
      </c>
      <c r="I764" s="2" t="s">
        <v>12</v>
      </c>
      <c r="J764" s="2" t="s">
        <v>40</v>
      </c>
      <c r="K764" s="2" t="s">
        <v>2630</v>
      </c>
      <c r="L764" s="2" t="s">
        <v>42</v>
      </c>
      <c r="M764" s="2" t="s">
        <v>179</v>
      </c>
      <c r="N764" s="2" t="s">
        <v>35</v>
      </c>
      <c r="O764" s="2" t="s">
        <v>2377</v>
      </c>
      <c r="P764" s="2" t="s">
        <v>35</v>
      </c>
      <c r="Q764" s="2" t="s">
        <v>35</v>
      </c>
    </row>
    <row r="765" spans="1:17" ht="115.2">
      <c r="A765" s="8" t="str">
        <f>HYPERLINK("http://sipi.sic.gov.co/sipi/View.ashx?4530805","SD2022/0138893")</f>
        <v>SD2022/0138893</v>
      </c>
      <c r="B765" s="2" t="s">
        <v>2631</v>
      </c>
      <c r="C765" s="7" t="s">
        <v>35</v>
      </c>
      <c r="D765" s="2" t="s">
        <v>2617</v>
      </c>
      <c r="E765" s="2" t="s">
        <v>35</v>
      </c>
      <c r="F765" s="2" t="s">
        <v>37</v>
      </c>
      <c r="G765" s="2" t="s">
        <v>2631</v>
      </c>
      <c r="H765" s="2" t="s">
        <v>2632</v>
      </c>
      <c r="I765" s="2" t="s">
        <v>12</v>
      </c>
      <c r="J765" s="2" t="s">
        <v>40</v>
      </c>
      <c r="K765" s="2" t="s">
        <v>2633</v>
      </c>
      <c r="L765" s="2" t="s">
        <v>42</v>
      </c>
      <c r="M765" s="2" t="s">
        <v>880</v>
      </c>
      <c r="N765" s="2" t="s">
        <v>35</v>
      </c>
      <c r="O765" s="2" t="s">
        <v>2041</v>
      </c>
      <c r="P765" s="2" t="s">
        <v>35</v>
      </c>
      <c r="Q765" s="2" t="s">
        <v>35</v>
      </c>
    </row>
    <row r="766" spans="1:17" ht="57.6">
      <c r="A766" s="8" t="str">
        <f>HYPERLINK("http://sipi.sic.gov.co/sipi/View.ashx?4530880","SD2022/0138917")</f>
        <v>SD2022/0138917</v>
      </c>
      <c r="B766" s="2" t="s">
        <v>2634</v>
      </c>
      <c r="C766" s="2" t="s">
        <v>35</v>
      </c>
      <c r="D766" s="2" t="s">
        <v>2617</v>
      </c>
      <c r="E766" s="2" t="s">
        <v>35</v>
      </c>
      <c r="F766" s="2" t="s">
        <v>37</v>
      </c>
      <c r="G766" s="2" t="s">
        <v>2634</v>
      </c>
      <c r="H766" s="2" t="s">
        <v>1288</v>
      </c>
      <c r="I766" s="2" t="s">
        <v>12</v>
      </c>
      <c r="J766" s="2" t="s">
        <v>40</v>
      </c>
      <c r="K766" s="2" t="s">
        <v>104</v>
      </c>
      <c r="L766" s="2" t="s">
        <v>42</v>
      </c>
      <c r="M766" s="2" t="s">
        <v>35</v>
      </c>
      <c r="N766" s="2" t="s">
        <v>35</v>
      </c>
      <c r="O766" s="2" t="s">
        <v>2382</v>
      </c>
      <c r="P766" s="2" t="s">
        <v>35</v>
      </c>
      <c r="Q766" s="2" t="s">
        <v>35</v>
      </c>
    </row>
    <row r="767" spans="1:17" ht="100.8">
      <c r="A767" s="8" t="str">
        <f>HYPERLINK("http://sipi.sic.gov.co/sipi/View.ashx?4530911","SD2022/0139786")</f>
        <v>SD2022/0139786</v>
      </c>
      <c r="B767" s="2" t="s">
        <v>2635</v>
      </c>
      <c r="C767" s="7" t="s">
        <v>35</v>
      </c>
      <c r="D767" s="2" t="s">
        <v>2595</v>
      </c>
      <c r="E767" s="2" t="s">
        <v>35</v>
      </c>
      <c r="F767" s="2" t="s">
        <v>37</v>
      </c>
      <c r="G767" s="2" t="s">
        <v>2636</v>
      </c>
      <c r="H767" s="2" t="s">
        <v>2637</v>
      </c>
      <c r="I767" s="2" t="s">
        <v>12</v>
      </c>
      <c r="J767" s="2" t="s">
        <v>40</v>
      </c>
      <c r="K767" s="2" t="s">
        <v>2638</v>
      </c>
      <c r="L767" s="2" t="s">
        <v>42</v>
      </c>
      <c r="M767" s="2" t="s">
        <v>2639</v>
      </c>
      <c r="N767" s="2" t="s">
        <v>35</v>
      </c>
      <c r="O767" s="2" t="s">
        <v>1655</v>
      </c>
      <c r="P767" s="2" t="s">
        <v>35</v>
      </c>
      <c r="Q767" s="2" t="s">
        <v>35</v>
      </c>
    </row>
    <row r="768" spans="1:17" ht="57.6">
      <c r="A768" s="8" t="str">
        <f>HYPERLINK("http://sipi.sic.gov.co/sipi/View.ashx?4531025","SD2022/0141111")</f>
        <v>SD2022/0141111</v>
      </c>
      <c r="B768" s="2" t="s">
        <v>2640</v>
      </c>
      <c r="C768" s="2" t="s">
        <v>35</v>
      </c>
      <c r="D768" s="2" t="s">
        <v>2275</v>
      </c>
      <c r="E768" s="2" t="s">
        <v>35</v>
      </c>
      <c r="F768" s="2" t="s">
        <v>37</v>
      </c>
      <c r="G768" s="2" t="s">
        <v>2640</v>
      </c>
      <c r="H768" s="2" t="s">
        <v>1288</v>
      </c>
      <c r="I768" s="2" t="s">
        <v>12</v>
      </c>
      <c r="J768" s="2" t="s">
        <v>40</v>
      </c>
      <c r="K768" s="2" t="s">
        <v>104</v>
      </c>
      <c r="L768" s="2" t="s">
        <v>55</v>
      </c>
      <c r="M768" s="2" t="s">
        <v>35</v>
      </c>
      <c r="N768" s="2" t="s">
        <v>35</v>
      </c>
      <c r="O768" s="2" t="s">
        <v>2382</v>
      </c>
      <c r="P768" s="2" t="s">
        <v>35</v>
      </c>
      <c r="Q768" s="2" t="s">
        <v>35</v>
      </c>
    </row>
    <row r="769" spans="1:17" ht="115.2">
      <c r="A769" s="8" t="str">
        <f>HYPERLINK("http://sipi.sic.gov.co/sipi/View.ashx?4531037","SD2022/0139024")</f>
        <v>SD2022/0139024</v>
      </c>
      <c r="B769" s="2" t="s">
        <v>2641</v>
      </c>
      <c r="C769" s="2" t="s">
        <v>35</v>
      </c>
      <c r="D769" s="2" t="s">
        <v>2617</v>
      </c>
      <c r="E769" s="2" t="s">
        <v>35</v>
      </c>
      <c r="F769" s="2" t="s">
        <v>37</v>
      </c>
      <c r="G769" s="2" t="s">
        <v>2642</v>
      </c>
      <c r="H769" s="2" t="s">
        <v>1454</v>
      </c>
      <c r="I769" s="2" t="s">
        <v>12</v>
      </c>
      <c r="J769" s="2" t="s">
        <v>40</v>
      </c>
      <c r="K769" s="2" t="s">
        <v>1539</v>
      </c>
      <c r="L769" s="2" t="s">
        <v>42</v>
      </c>
      <c r="M769" s="2" t="s">
        <v>1456</v>
      </c>
      <c r="N769" s="2" t="s">
        <v>35</v>
      </c>
      <c r="O769" s="2" t="s">
        <v>1655</v>
      </c>
      <c r="P769" s="2" t="s">
        <v>35</v>
      </c>
      <c r="Q769" s="2" t="s">
        <v>35</v>
      </c>
    </row>
    <row r="770" spans="1:17" ht="57.6">
      <c r="A770" s="8" t="str">
        <f>HYPERLINK("http://sipi.sic.gov.co/sipi/View.ashx?4531040","SD2022/0141118")</f>
        <v>SD2022/0141118</v>
      </c>
      <c r="B770" s="2" t="s">
        <v>2643</v>
      </c>
      <c r="C770" s="2" t="s">
        <v>35</v>
      </c>
      <c r="D770" s="2" t="s">
        <v>2275</v>
      </c>
      <c r="E770" s="2" t="s">
        <v>35</v>
      </c>
      <c r="F770" s="2" t="s">
        <v>37</v>
      </c>
      <c r="G770" s="2" t="s">
        <v>2643</v>
      </c>
      <c r="H770" s="2" t="s">
        <v>1288</v>
      </c>
      <c r="I770" s="2" t="s">
        <v>12</v>
      </c>
      <c r="J770" s="2" t="s">
        <v>40</v>
      </c>
      <c r="K770" s="2" t="s">
        <v>104</v>
      </c>
      <c r="L770" s="2" t="s">
        <v>42</v>
      </c>
      <c r="M770" s="2" t="s">
        <v>35</v>
      </c>
      <c r="N770" s="2" t="s">
        <v>35</v>
      </c>
      <c r="O770" s="2" t="s">
        <v>2006</v>
      </c>
      <c r="P770" s="2" t="s">
        <v>35</v>
      </c>
      <c r="Q770" s="2" t="s">
        <v>35</v>
      </c>
    </row>
    <row r="771" spans="1:17" ht="57.6">
      <c r="A771" s="8" t="str">
        <f>HYPERLINK("http://sipi.sic.gov.co/sipi/View.ashx?4531078","SD2022/0141163")</f>
        <v>SD2022/0141163</v>
      </c>
      <c r="B771" s="2" t="s">
        <v>2644</v>
      </c>
      <c r="C771" s="2" t="s">
        <v>35</v>
      </c>
      <c r="D771" s="2" t="s">
        <v>2275</v>
      </c>
      <c r="E771" s="2" t="s">
        <v>35</v>
      </c>
      <c r="F771" s="2" t="s">
        <v>37</v>
      </c>
      <c r="G771" s="2" t="s">
        <v>2645</v>
      </c>
      <c r="H771" s="2" t="s">
        <v>1288</v>
      </c>
      <c r="I771" s="2" t="s">
        <v>12</v>
      </c>
      <c r="J771" s="2" t="s">
        <v>40</v>
      </c>
      <c r="K771" s="2" t="s">
        <v>104</v>
      </c>
      <c r="L771" s="2" t="s">
        <v>55</v>
      </c>
      <c r="M771" s="2" t="s">
        <v>35</v>
      </c>
      <c r="N771" s="2" t="s">
        <v>35</v>
      </c>
      <c r="O771" s="2" t="s">
        <v>2382</v>
      </c>
      <c r="P771" s="2" t="s">
        <v>35</v>
      </c>
      <c r="Q771" s="2" t="s">
        <v>35</v>
      </c>
    </row>
    <row r="772" spans="1:17" ht="115.2">
      <c r="A772" s="8" t="str">
        <f>HYPERLINK("http://sipi.sic.gov.co/sipi/View.ashx?4531359","SD2022/0139032")</f>
        <v>SD2022/0139032</v>
      </c>
      <c r="B772" s="2" t="s">
        <v>2646</v>
      </c>
      <c r="C772" s="2" t="s">
        <v>35</v>
      </c>
      <c r="D772" s="2" t="s">
        <v>2617</v>
      </c>
      <c r="E772" s="2" t="s">
        <v>35</v>
      </c>
      <c r="F772" s="2" t="s">
        <v>37</v>
      </c>
      <c r="G772" s="2" t="s">
        <v>2647</v>
      </c>
      <c r="H772" s="2" t="s">
        <v>1454</v>
      </c>
      <c r="I772" s="2" t="s">
        <v>12</v>
      </c>
      <c r="J772" s="2" t="s">
        <v>40</v>
      </c>
      <c r="K772" s="2" t="s">
        <v>1539</v>
      </c>
      <c r="L772" s="2" t="s">
        <v>42</v>
      </c>
      <c r="M772" s="2" t="s">
        <v>1456</v>
      </c>
      <c r="N772" s="2" t="s">
        <v>35</v>
      </c>
      <c r="O772" s="2" t="s">
        <v>1655</v>
      </c>
      <c r="P772" s="2" t="s">
        <v>35</v>
      </c>
      <c r="Q772" s="2" t="s">
        <v>35</v>
      </c>
    </row>
    <row r="773" spans="1:17" ht="409.6">
      <c r="A773" s="8" t="str">
        <f>HYPERLINK("http://sipi.sic.gov.co/sipi/View.ashx?4531623","SD2022/0139126")</f>
        <v>SD2022/0139126</v>
      </c>
      <c r="B773" s="2" t="s">
        <v>2648</v>
      </c>
      <c r="C773" s="2" t="s">
        <v>35</v>
      </c>
      <c r="D773" s="2" t="s">
        <v>2617</v>
      </c>
      <c r="E773" s="2" t="s">
        <v>35</v>
      </c>
      <c r="F773" s="2" t="s">
        <v>37</v>
      </c>
      <c r="G773" s="2" t="s">
        <v>35</v>
      </c>
      <c r="H773" s="2" t="s">
        <v>2426</v>
      </c>
      <c r="I773" s="2" t="s">
        <v>61</v>
      </c>
      <c r="J773" s="2" t="s">
        <v>40</v>
      </c>
      <c r="K773" s="2" t="s">
        <v>2649</v>
      </c>
      <c r="L773" s="2" t="s">
        <v>42</v>
      </c>
      <c r="M773" s="2" t="s">
        <v>35</v>
      </c>
      <c r="N773" s="2" t="s">
        <v>35</v>
      </c>
      <c r="O773" s="2" t="s">
        <v>1790</v>
      </c>
      <c r="P773" s="2" t="s">
        <v>35</v>
      </c>
      <c r="Q773" s="2" t="s">
        <v>35</v>
      </c>
    </row>
    <row r="774" spans="1:17" ht="409.6">
      <c r="A774" s="8" t="str">
        <f>HYPERLINK("http://sipi.sic.gov.co/sipi/View.ashx?4531752","SD2022/0139155")</f>
        <v>SD2022/0139155</v>
      </c>
      <c r="B774" s="2" t="s">
        <v>2650</v>
      </c>
      <c r="C774" s="2" t="s">
        <v>35</v>
      </c>
      <c r="D774" s="2" t="s">
        <v>2617</v>
      </c>
      <c r="E774" s="2" t="s">
        <v>35</v>
      </c>
      <c r="F774" s="2" t="s">
        <v>37</v>
      </c>
      <c r="G774" s="2" t="s">
        <v>35</v>
      </c>
      <c r="H774" s="2" t="s">
        <v>2426</v>
      </c>
      <c r="I774" s="2" t="s">
        <v>61</v>
      </c>
      <c r="J774" s="2" t="s">
        <v>40</v>
      </c>
      <c r="K774" s="2" t="s">
        <v>2609</v>
      </c>
      <c r="L774" s="2" t="s">
        <v>42</v>
      </c>
      <c r="M774" s="2" t="s">
        <v>35</v>
      </c>
      <c r="N774" s="2" t="s">
        <v>35</v>
      </c>
      <c r="O774" s="2" t="s">
        <v>1790</v>
      </c>
      <c r="P774" s="2" t="s">
        <v>35</v>
      </c>
      <c r="Q774" s="2" t="s">
        <v>35</v>
      </c>
    </row>
    <row r="775" spans="1:17" ht="409.6">
      <c r="A775" s="8" t="str">
        <f>HYPERLINK("http://sipi.sic.gov.co/sipi/View.ashx?4531812","SD2022/0139166")</f>
        <v>SD2022/0139166</v>
      </c>
      <c r="B775" s="2" t="s">
        <v>2651</v>
      </c>
      <c r="C775" s="2" t="s">
        <v>35</v>
      </c>
      <c r="D775" s="2" t="s">
        <v>2617</v>
      </c>
      <c r="E775" s="2" t="s">
        <v>35</v>
      </c>
      <c r="F775" s="2" t="s">
        <v>37</v>
      </c>
      <c r="G775" s="2" t="s">
        <v>35</v>
      </c>
      <c r="H775" s="2" t="s">
        <v>2426</v>
      </c>
      <c r="I775" s="2" t="s">
        <v>61</v>
      </c>
      <c r="J775" s="2" t="s">
        <v>40</v>
      </c>
      <c r="K775" s="2" t="s">
        <v>2609</v>
      </c>
      <c r="L775" s="2" t="s">
        <v>42</v>
      </c>
      <c r="M775" s="2" t="s">
        <v>35</v>
      </c>
      <c r="N775" s="2" t="s">
        <v>35</v>
      </c>
      <c r="O775" s="2" t="s">
        <v>1790</v>
      </c>
      <c r="P775" s="2" t="s">
        <v>35</v>
      </c>
      <c r="Q775" s="2" t="s">
        <v>35</v>
      </c>
    </row>
    <row r="776" spans="1:17" ht="409.6">
      <c r="A776" s="8" t="str">
        <f>HYPERLINK("http://sipi.sic.gov.co/sipi/View.ashx?4531857","SD2022/0139172")</f>
        <v>SD2022/0139172</v>
      </c>
      <c r="B776" s="2" t="s">
        <v>2652</v>
      </c>
      <c r="C776" s="2" t="s">
        <v>35</v>
      </c>
      <c r="D776" s="2" t="s">
        <v>2617</v>
      </c>
      <c r="E776" s="2" t="s">
        <v>35</v>
      </c>
      <c r="F776" s="2" t="s">
        <v>37</v>
      </c>
      <c r="G776" s="2" t="s">
        <v>35</v>
      </c>
      <c r="H776" s="2" t="s">
        <v>2426</v>
      </c>
      <c r="I776" s="2" t="s">
        <v>61</v>
      </c>
      <c r="J776" s="2" t="s">
        <v>40</v>
      </c>
      <c r="K776" s="2" t="s">
        <v>2609</v>
      </c>
      <c r="L776" s="2" t="s">
        <v>55</v>
      </c>
      <c r="M776" s="2" t="s">
        <v>35</v>
      </c>
      <c r="N776" s="2" t="s">
        <v>35</v>
      </c>
      <c r="O776" s="2" t="s">
        <v>1790</v>
      </c>
      <c r="P776" s="2" t="s">
        <v>35</v>
      </c>
      <c r="Q776" s="2" t="s">
        <v>35</v>
      </c>
    </row>
    <row r="777" spans="1:17" ht="129.6">
      <c r="A777" s="8" t="str">
        <f>HYPERLINK("http://sipi.sic.gov.co/sipi/View.ashx?4531883","SD2022/0139326")</f>
        <v>SD2022/0139326</v>
      </c>
      <c r="B777" s="2" t="s">
        <v>2653</v>
      </c>
      <c r="C777" s="2" t="s">
        <v>35</v>
      </c>
      <c r="D777" s="2" t="s">
        <v>2595</v>
      </c>
      <c r="E777" s="2" t="s">
        <v>35</v>
      </c>
      <c r="F777" s="2" t="s">
        <v>37</v>
      </c>
      <c r="G777" s="2" t="s">
        <v>2654</v>
      </c>
      <c r="H777" s="2" t="s">
        <v>2655</v>
      </c>
      <c r="I777" s="2" t="s">
        <v>12</v>
      </c>
      <c r="J777" s="2" t="s">
        <v>40</v>
      </c>
      <c r="K777" s="2" t="s">
        <v>2656</v>
      </c>
      <c r="L777" s="2" t="s">
        <v>42</v>
      </c>
      <c r="M777" s="2" t="s">
        <v>2657</v>
      </c>
      <c r="N777" s="2" t="s">
        <v>35</v>
      </c>
      <c r="O777" s="2" t="s">
        <v>1790</v>
      </c>
      <c r="P777" s="2" t="s">
        <v>35</v>
      </c>
      <c r="Q777" s="2" t="s">
        <v>35</v>
      </c>
    </row>
    <row r="778" spans="1:17" ht="409.6">
      <c r="A778" s="8" t="str">
        <f>HYPERLINK("http://sipi.sic.gov.co/sipi/View.ashx?4531894","SD2022/0139182")</f>
        <v>SD2022/0139182</v>
      </c>
      <c r="B778" s="2" t="s">
        <v>2658</v>
      </c>
      <c r="C778" s="2" t="s">
        <v>35</v>
      </c>
      <c r="D778" s="2" t="s">
        <v>2617</v>
      </c>
      <c r="E778" s="2" t="s">
        <v>35</v>
      </c>
      <c r="F778" s="2" t="s">
        <v>37</v>
      </c>
      <c r="G778" s="2" t="s">
        <v>35</v>
      </c>
      <c r="H778" s="2" t="s">
        <v>2426</v>
      </c>
      <c r="I778" s="2" t="s">
        <v>61</v>
      </c>
      <c r="J778" s="2" t="s">
        <v>40</v>
      </c>
      <c r="K778" s="2" t="s">
        <v>2659</v>
      </c>
      <c r="L778" s="2" t="s">
        <v>42</v>
      </c>
      <c r="M778" s="2" t="s">
        <v>35</v>
      </c>
      <c r="N778" s="2" t="s">
        <v>35</v>
      </c>
      <c r="O778" s="2" t="s">
        <v>1790</v>
      </c>
      <c r="P778" s="2" t="s">
        <v>35</v>
      </c>
      <c r="Q778" s="2" t="s">
        <v>35</v>
      </c>
    </row>
    <row r="779" spans="1:17" ht="409.6">
      <c r="A779" s="8" t="str">
        <f>HYPERLINK("http://sipi.sic.gov.co/sipi/View.ashx?4531983","SD2022/0139205")</f>
        <v>SD2022/0139205</v>
      </c>
      <c r="B779" s="2" t="s">
        <v>2660</v>
      </c>
      <c r="C779" s="2" t="s">
        <v>35</v>
      </c>
      <c r="D779" s="2" t="s">
        <v>2595</v>
      </c>
      <c r="E779" s="2" t="s">
        <v>35</v>
      </c>
      <c r="F779" s="2" t="s">
        <v>37</v>
      </c>
      <c r="G779" s="2" t="s">
        <v>35</v>
      </c>
      <c r="H779" s="2" t="s">
        <v>2426</v>
      </c>
      <c r="I779" s="2" t="s">
        <v>61</v>
      </c>
      <c r="J779" s="2" t="s">
        <v>40</v>
      </c>
      <c r="K779" s="2" t="s">
        <v>2661</v>
      </c>
      <c r="L779" s="2" t="s">
        <v>42</v>
      </c>
      <c r="M779" s="2" t="s">
        <v>35</v>
      </c>
      <c r="N779" s="2" t="s">
        <v>35</v>
      </c>
      <c r="O779" s="2" t="s">
        <v>2089</v>
      </c>
      <c r="P779" s="2" t="s">
        <v>35</v>
      </c>
      <c r="Q779" s="2" t="s">
        <v>35</v>
      </c>
    </row>
    <row r="780" spans="1:17" ht="187.2">
      <c r="A780" s="8" t="str">
        <f>HYPERLINK("http://sipi.sic.gov.co/sipi/View.ashx?4533322","SD2022/0139609")</f>
        <v>SD2022/0139609</v>
      </c>
      <c r="B780" s="2" t="s">
        <v>2662</v>
      </c>
      <c r="C780" s="7" t="s">
        <v>35</v>
      </c>
      <c r="D780" s="2" t="s">
        <v>2595</v>
      </c>
      <c r="E780" s="2" t="s">
        <v>35</v>
      </c>
      <c r="F780" s="2" t="s">
        <v>37</v>
      </c>
      <c r="G780" s="2" t="s">
        <v>2663</v>
      </c>
      <c r="H780" s="2" t="s">
        <v>2664</v>
      </c>
      <c r="I780" s="2" t="s">
        <v>12</v>
      </c>
      <c r="J780" s="2" t="s">
        <v>40</v>
      </c>
      <c r="K780" s="2" t="s">
        <v>2665</v>
      </c>
      <c r="L780" s="2" t="s">
        <v>42</v>
      </c>
      <c r="M780" s="2" t="s">
        <v>2666</v>
      </c>
      <c r="N780" s="2" t="s">
        <v>35</v>
      </c>
      <c r="O780" s="2" t="s">
        <v>2149</v>
      </c>
      <c r="P780" s="2" t="s">
        <v>35</v>
      </c>
      <c r="Q780" s="2" t="s">
        <v>35</v>
      </c>
    </row>
    <row r="781" spans="1:17" ht="409.6">
      <c r="A781" s="8" t="str">
        <f>HYPERLINK("http://sipi.sic.gov.co/sipi/View.ashx?4534051","SD2022/0140743")</f>
        <v>SD2022/0140743</v>
      </c>
      <c r="B781" s="2" t="s">
        <v>2667</v>
      </c>
      <c r="C781" s="7" t="s">
        <v>35</v>
      </c>
      <c r="D781" s="2" t="s">
        <v>2275</v>
      </c>
      <c r="E781" s="2" t="s">
        <v>35</v>
      </c>
      <c r="F781" s="2" t="s">
        <v>37</v>
      </c>
      <c r="G781" s="2" t="s">
        <v>35</v>
      </c>
      <c r="H781" s="2" t="s">
        <v>2668</v>
      </c>
      <c r="I781" s="2" t="s">
        <v>2669</v>
      </c>
      <c r="J781" s="2" t="s">
        <v>40</v>
      </c>
      <c r="K781" s="2" t="s">
        <v>2670</v>
      </c>
      <c r="L781" s="2" t="s">
        <v>42</v>
      </c>
      <c r="M781" s="2" t="s">
        <v>35</v>
      </c>
      <c r="N781" s="2" t="s">
        <v>35</v>
      </c>
      <c r="O781" s="2" t="s">
        <v>1409</v>
      </c>
      <c r="P781" s="2" t="s">
        <v>35</v>
      </c>
      <c r="Q781" s="2" t="s">
        <v>35</v>
      </c>
    </row>
    <row r="782" spans="1:17" ht="216">
      <c r="A782" s="8" t="str">
        <f>HYPERLINK("http://sipi.sic.gov.co/sipi/View.ashx?4535262","SD2022/0140170")</f>
        <v>SD2022/0140170</v>
      </c>
      <c r="B782" s="2" t="s">
        <v>2671</v>
      </c>
      <c r="C782" s="7" t="s">
        <v>35</v>
      </c>
      <c r="D782" s="2" t="s">
        <v>2595</v>
      </c>
      <c r="E782" s="2" t="s">
        <v>35</v>
      </c>
      <c r="F782" s="2" t="s">
        <v>37</v>
      </c>
      <c r="G782" s="2" t="s">
        <v>35</v>
      </c>
      <c r="H782" s="2" t="s">
        <v>2552</v>
      </c>
      <c r="I782" s="2" t="s">
        <v>805</v>
      </c>
      <c r="J782" s="2" t="s">
        <v>40</v>
      </c>
      <c r="K782" s="2" t="s">
        <v>2553</v>
      </c>
      <c r="L782" s="2" t="s">
        <v>42</v>
      </c>
      <c r="M782" s="2" t="s">
        <v>2554</v>
      </c>
      <c r="N782" s="2" t="s">
        <v>35</v>
      </c>
      <c r="O782" s="2" t="s">
        <v>1733</v>
      </c>
      <c r="P782" s="2" t="s">
        <v>35</v>
      </c>
      <c r="Q782" s="2" t="s">
        <v>35</v>
      </c>
    </row>
    <row r="783" spans="1:17" ht="57.6">
      <c r="A783" s="8" t="str">
        <f>HYPERLINK("http://sipi.sic.gov.co/sipi/View.ashx?4535463","SD2022/0140186")</f>
        <v>SD2022/0140186</v>
      </c>
      <c r="B783" s="2" t="s">
        <v>2672</v>
      </c>
      <c r="C783" s="2" t="s">
        <v>35</v>
      </c>
      <c r="D783" s="2" t="s">
        <v>2595</v>
      </c>
      <c r="E783" s="2" t="s">
        <v>35</v>
      </c>
      <c r="F783" s="2" t="s">
        <v>37</v>
      </c>
      <c r="G783" s="2" t="s">
        <v>35</v>
      </c>
      <c r="H783" s="2" t="s">
        <v>2673</v>
      </c>
      <c r="I783" s="2" t="s">
        <v>12</v>
      </c>
      <c r="J783" s="2" t="s">
        <v>40</v>
      </c>
      <c r="K783" s="2" t="s">
        <v>2674</v>
      </c>
      <c r="L783" s="2" t="s">
        <v>55</v>
      </c>
      <c r="M783" s="2" t="s">
        <v>35</v>
      </c>
      <c r="N783" s="2" t="s">
        <v>35</v>
      </c>
      <c r="O783" s="2" t="s">
        <v>1733</v>
      </c>
      <c r="P783" s="2" t="s">
        <v>35</v>
      </c>
      <c r="Q783" s="2" t="s">
        <v>35</v>
      </c>
    </row>
    <row r="784" spans="1:17" ht="409.6">
      <c r="A784" s="8" t="str">
        <f>HYPERLINK("http://sipi.sic.gov.co/sipi/View.ashx?4536435","SD2022/0140509")</f>
        <v>SD2022/0140509</v>
      </c>
      <c r="B784" s="2" t="s">
        <v>2675</v>
      </c>
      <c r="C784" s="7" t="s">
        <v>35</v>
      </c>
      <c r="D784" s="2" t="s">
        <v>2275</v>
      </c>
      <c r="E784" s="2" t="s">
        <v>35</v>
      </c>
      <c r="F784" s="2" t="s">
        <v>37</v>
      </c>
      <c r="G784" s="2" t="s">
        <v>2675</v>
      </c>
      <c r="H784" s="2" t="s">
        <v>2676</v>
      </c>
      <c r="I784" s="2" t="s">
        <v>61</v>
      </c>
      <c r="J784" s="2" t="s">
        <v>40</v>
      </c>
      <c r="K784" s="2" t="s">
        <v>2677</v>
      </c>
      <c r="L784" s="2" t="s">
        <v>42</v>
      </c>
      <c r="M784" s="2" t="s">
        <v>35</v>
      </c>
      <c r="N784" s="2" t="s">
        <v>35</v>
      </c>
      <c r="O784" s="2" t="s">
        <v>2149</v>
      </c>
      <c r="P784" s="2" t="s">
        <v>35</v>
      </c>
      <c r="Q784" s="2" t="s">
        <v>35</v>
      </c>
    </row>
    <row r="785" spans="1:17" ht="115.2">
      <c r="A785" s="8" t="str">
        <f>HYPERLINK("http://sipi.sic.gov.co/sipi/View.ashx?4536758","SD2022/0140560")</f>
        <v>SD2022/0140560</v>
      </c>
      <c r="B785" s="2" t="s">
        <v>2678</v>
      </c>
      <c r="C785" s="7" t="s">
        <v>35</v>
      </c>
      <c r="D785" s="2" t="s">
        <v>2275</v>
      </c>
      <c r="E785" s="2" t="s">
        <v>35</v>
      </c>
      <c r="F785" s="2" t="s">
        <v>37</v>
      </c>
      <c r="G785" s="2" t="s">
        <v>2678</v>
      </c>
      <c r="H785" s="2" t="s">
        <v>2679</v>
      </c>
      <c r="I785" s="2" t="s">
        <v>12</v>
      </c>
      <c r="J785" s="2" t="s">
        <v>40</v>
      </c>
      <c r="K785" s="2" t="s">
        <v>41</v>
      </c>
      <c r="L785" s="2" t="s">
        <v>42</v>
      </c>
      <c r="M785" s="2" t="s">
        <v>35</v>
      </c>
      <c r="N785" s="2" t="s">
        <v>35</v>
      </c>
      <c r="O785" s="2" t="s">
        <v>2346</v>
      </c>
      <c r="P785" s="2" t="s">
        <v>35</v>
      </c>
      <c r="Q785" s="2" t="s">
        <v>35</v>
      </c>
    </row>
    <row r="786" spans="1:17" ht="115.2">
      <c r="A786" s="8" t="str">
        <f>HYPERLINK("http://sipi.sic.gov.co/sipi/View.ashx?4538789","SD2022/0142136")</f>
        <v>SD2022/0142136</v>
      </c>
      <c r="B786" s="2" t="s">
        <v>2680</v>
      </c>
      <c r="C786" s="2" t="s">
        <v>35</v>
      </c>
      <c r="D786" s="2" t="s">
        <v>1655</v>
      </c>
      <c r="E786" s="2" t="s">
        <v>35</v>
      </c>
      <c r="F786" s="2" t="s">
        <v>37</v>
      </c>
      <c r="G786" s="2" t="s">
        <v>2680</v>
      </c>
      <c r="H786" s="2" t="s">
        <v>2681</v>
      </c>
      <c r="I786" s="2" t="s">
        <v>12</v>
      </c>
      <c r="J786" s="2" t="s">
        <v>40</v>
      </c>
      <c r="K786" s="2" t="s">
        <v>41</v>
      </c>
      <c r="L786" s="2" t="s">
        <v>42</v>
      </c>
      <c r="M786" s="2" t="s">
        <v>2682</v>
      </c>
      <c r="N786" s="2" t="s">
        <v>35</v>
      </c>
      <c r="O786" s="2" t="s">
        <v>2006</v>
      </c>
      <c r="P786" s="2" t="s">
        <v>35</v>
      </c>
      <c r="Q786" s="2" t="s">
        <v>35</v>
      </c>
    </row>
    <row r="787" spans="1:17" ht="100.8">
      <c r="A787" s="8" t="str">
        <f>HYPERLINK("http://sipi.sic.gov.co/sipi/View.ashx?4538837","SD2022/0141101")</f>
        <v>SD2022/0141101</v>
      </c>
      <c r="B787" s="2" t="s">
        <v>2683</v>
      </c>
      <c r="C787" s="7" t="s">
        <v>35</v>
      </c>
      <c r="D787" s="2" t="s">
        <v>2275</v>
      </c>
      <c r="E787" s="2" t="s">
        <v>35</v>
      </c>
      <c r="F787" s="2" t="s">
        <v>37</v>
      </c>
      <c r="G787" s="2" t="s">
        <v>2683</v>
      </c>
      <c r="H787" s="2" t="s">
        <v>610</v>
      </c>
      <c r="I787" s="2" t="s">
        <v>12</v>
      </c>
      <c r="J787" s="2" t="s">
        <v>40</v>
      </c>
      <c r="K787" s="2" t="s">
        <v>2684</v>
      </c>
      <c r="L787" s="2" t="s">
        <v>42</v>
      </c>
      <c r="M787" s="2" t="s">
        <v>612</v>
      </c>
      <c r="N787" s="2" t="s">
        <v>35</v>
      </c>
      <c r="O787" s="2" t="s">
        <v>1409</v>
      </c>
      <c r="P787" s="2" t="s">
        <v>35</v>
      </c>
      <c r="Q787" s="2" t="s">
        <v>35</v>
      </c>
    </row>
    <row r="788" spans="1:17" ht="201.6">
      <c r="A788" s="8" t="str">
        <f>HYPERLINK("http://sipi.sic.gov.co/sipi/View.ashx?4539136","SD2022/0141196")</f>
        <v>SD2022/0141196</v>
      </c>
      <c r="B788" s="2" t="s">
        <v>2685</v>
      </c>
      <c r="C788" s="7" t="s">
        <v>35</v>
      </c>
      <c r="D788" s="2" t="s">
        <v>2275</v>
      </c>
      <c r="E788" s="2" t="s">
        <v>35</v>
      </c>
      <c r="F788" s="2" t="s">
        <v>37</v>
      </c>
      <c r="G788" s="2" t="s">
        <v>35</v>
      </c>
      <c r="H788" s="2" t="s">
        <v>2686</v>
      </c>
      <c r="I788" s="2" t="s">
        <v>61</v>
      </c>
      <c r="J788" s="2" t="s">
        <v>40</v>
      </c>
      <c r="K788" s="2" t="s">
        <v>686</v>
      </c>
      <c r="L788" s="2" t="s">
        <v>42</v>
      </c>
      <c r="M788" s="2" t="s">
        <v>35</v>
      </c>
      <c r="N788" s="2" t="s">
        <v>35</v>
      </c>
      <c r="O788" s="2" t="s">
        <v>2006</v>
      </c>
      <c r="P788" s="2" t="s">
        <v>35</v>
      </c>
      <c r="Q788" s="2" t="s">
        <v>35</v>
      </c>
    </row>
    <row r="789" spans="1:17" ht="201.6">
      <c r="A789" s="8" t="str">
        <f>HYPERLINK("http://sipi.sic.gov.co/sipi/View.ashx?4540027","SD2022/0141426")</f>
        <v>SD2022/0141426</v>
      </c>
      <c r="B789" s="2" t="s">
        <v>2687</v>
      </c>
      <c r="C789" s="7" t="s">
        <v>35</v>
      </c>
      <c r="D789" s="2" t="s">
        <v>2275</v>
      </c>
      <c r="E789" s="2" t="s">
        <v>35</v>
      </c>
      <c r="F789" s="2" t="s">
        <v>37</v>
      </c>
      <c r="G789" s="2" t="s">
        <v>2688</v>
      </c>
      <c r="H789" s="2" t="s">
        <v>2689</v>
      </c>
      <c r="I789" s="2" t="s">
        <v>444</v>
      </c>
      <c r="J789" s="2" t="s">
        <v>40</v>
      </c>
      <c r="K789" s="2" t="s">
        <v>2690</v>
      </c>
      <c r="L789" s="2" t="s">
        <v>42</v>
      </c>
      <c r="M789" s="2" t="s">
        <v>2691</v>
      </c>
      <c r="N789" s="2" t="s">
        <v>35</v>
      </c>
      <c r="O789" s="2" t="s">
        <v>1476</v>
      </c>
      <c r="P789" s="2" t="s">
        <v>35</v>
      </c>
      <c r="Q789" s="2" t="s">
        <v>35</v>
      </c>
    </row>
    <row r="790" spans="1:17" ht="273.60000000000002">
      <c r="A790" s="8" t="str">
        <f>HYPERLINK("http://sipi.sic.gov.co/sipi/View.ashx?4540659","SD2022/0141634")</f>
        <v>SD2022/0141634</v>
      </c>
      <c r="B790" s="2" t="s">
        <v>2692</v>
      </c>
      <c r="C790" s="7" t="s">
        <v>35</v>
      </c>
      <c r="D790" s="2" t="s">
        <v>2275</v>
      </c>
      <c r="E790" s="2" t="s">
        <v>35</v>
      </c>
      <c r="F790" s="2" t="s">
        <v>37</v>
      </c>
      <c r="G790" s="2" t="s">
        <v>2693</v>
      </c>
      <c r="H790" s="2" t="s">
        <v>2694</v>
      </c>
      <c r="I790" s="2" t="s">
        <v>2695</v>
      </c>
      <c r="J790" s="2" t="s">
        <v>40</v>
      </c>
      <c r="K790" s="2" t="s">
        <v>2696</v>
      </c>
      <c r="L790" s="2" t="s">
        <v>42</v>
      </c>
      <c r="M790" s="2" t="s">
        <v>2697</v>
      </c>
      <c r="N790" s="2" t="s">
        <v>35</v>
      </c>
      <c r="O790" s="2" t="s">
        <v>762</v>
      </c>
      <c r="P790" s="2" t="s">
        <v>35</v>
      </c>
      <c r="Q790" s="2" t="s">
        <v>35</v>
      </c>
    </row>
    <row r="791" spans="1:17" ht="57.6">
      <c r="A791" s="8" t="str">
        <f>HYPERLINK("http://sipi.sic.gov.co/sipi/View.ashx?4542881","SD2022/0142345")</f>
        <v>SD2022/0142345</v>
      </c>
      <c r="B791" s="2" t="s">
        <v>2698</v>
      </c>
      <c r="C791" s="2" t="s">
        <v>35</v>
      </c>
      <c r="D791" s="2" t="s">
        <v>1655</v>
      </c>
      <c r="E791" s="2" t="s">
        <v>35</v>
      </c>
      <c r="F791" s="2" t="s">
        <v>37</v>
      </c>
      <c r="G791" s="2" t="s">
        <v>2698</v>
      </c>
      <c r="H791" s="2" t="s">
        <v>2516</v>
      </c>
      <c r="I791" s="2" t="s">
        <v>12</v>
      </c>
      <c r="J791" s="2" t="s">
        <v>40</v>
      </c>
      <c r="K791" s="2" t="s">
        <v>104</v>
      </c>
      <c r="L791" s="2" t="s">
        <v>42</v>
      </c>
      <c r="M791" s="2" t="s">
        <v>35</v>
      </c>
      <c r="N791" s="2" t="s">
        <v>35</v>
      </c>
      <c r="O791" s="2" t="s">
        <v>2149</v>
      </c>
      <c r="P791" s="2" t="s">
        <v>35</v>
      </c>
      <c r="Q791" s="2" t="s">
        <v>35</v>
      </c>
    </row>
    <row r="792" spans="1:17" ht="57.6">
      <c r="A792" s="8" t="str">
        <f>HYPERLINK("http://sipi.sic.gov.co/sipi/View.ashx?4542928","SD2022/0142373")</f>
        <v>SD2022/0142373</v>
      </c>
      <c r="B792" s="2" t="s">
        <v>2699</v>
      </c>
      <c r="C792" s="2" t="s">
        <v>35</v>
      </c>
      <c r="D792" s="2" t="s">
        <v>1655</v>
      </c>
      <c r="E792" s="2" t="s">
        <v>35</v>
      </c>
      <c r="F792" s="2" t="s">
        <v>37</v>
      </c>
      <c r="G792" s="2" t="s">
        <v>2699</v>
      </c>
      <c r="H792" s="2" t="s">
        <v>2516</v>
      </c>
      <c r="I792" s="2" t="s">
        <v>12</v>
      </c>
      <c r="J792" s="2" t="s">
        <v>40</v>
      </c>
      <c r="K792" s="2" t="s">
        <v>104</v>
      </c>
      <c r="L792" s="2" t="s">
        <v>55</v>
      </c>
      <c r="M792" s="2" t="s">
        <v>35</v>
      </c>
      <c r="N792" s="2" t="s">
        <v>35</v>
      </c>
      <c r="O792" s="2" t="s">
        <v>2149</v>
      </c>
      <c r="P792" s="2" t="s">
        <v>35</v>
      </c>
      <c r="Q792" s="2" t="s">
        <v>35</v>
      </c>
    </row>
    <row r="793" spans="1:17" ht="57.6">
      <c r="A793" s="8" t="str">
        <f>HYPERLINK("http://sipi.sic.gov.co/sipi/View.ashx?4543048","SD2022/0142411")</f>
        <v>SD2022/0142411</v>
      </c>
      <c r="B793" s="2" t="s">
        <v>2700</v>
      </c>
      <c r="C793" s="2" t="s">
        <v>35</v>
      </c>
      <c r="D793" s="2" t="s">
        <v>1655</v>
      </c>
      <c r="E793" s="2" t="s">
        <v>35</v>
      </c>
      <c r="F793" s="2" t="s">
        <v>37</v>
      </c>
      <c r="G793" s="2" t="s">
        <v>2700</v>
      </c>
      <c r="H793" s="2" t="s">
        <v>2516</v>
      </c>
      <c r="I793" s="2" t="s">
        <v>12</v>
      </c>
      <c r="J793" s="2" t="s">
        <v>40</v>
      </c>
      <c r="K793" s="2" t="s">
        <v>104</v>
      </c>
      <c r="L793" s="2" t="s">
        <v>42</v>
      </c>
      <c r="M793" s="2" t="s">
        <v>35</v>
      </c>
      <c r="N793" s="2" t="s">
        <v>35</v>
      </c>
      <c r="O793" s="2" t="s">
        <v>2006</v>
      </c>
      <c r="P793" s="2" t="s">
        <v>35</v>
      </c>
      <c r="Q793" s="2" t="s">
        <v>35</v>
      </c>
    </row>
    <row r="794" spans="1:17" ht="201.6">
      <c r="A794" s="8" t="str">
        <f>HYPERLINK("http://sipi.sic.gov.co/sipi/View.ashx?4543083","SD2022/0142439")</f>
        <v>SD2022/0142439</v>
      </c>
      <c r="B794" s="2" t="s">
        <v>2701</v>
      </c>
      <c r="C794" s="7" t="s">
        <v>35</v>
      </c>
      <c r="D794" s="2" t="s">
        <v>1655</v>
      </c>
      <c r="E794" s="2" t="s">
        <v>35</v>
      </c>
      <c r="F794" s="2" t="s">
        <v>37</v>
      </c>
      <c r="G794" s="2" t="s">
        <v>35</v>
      </c>
      <c r="H794" s="2" t="s">
        <v>2702</v>
      </c>
      <c r="I794" s="2" t="s">
        <v>12</v>
      </c>
      <c r="J794" s="2" t="s">
        <v>40</v>
      </c>
      <c r="K794" s="2" t="s">
        <v>2703</v>
      </c>
      <c r="L794" s="2" t="s">
        <v>42</v>
      </c>
      <c r="M794" s="2" t="s">
        <v>35</v>
      </c>
      <c r="N794" s="2" t="s">
        <v>35</v>
      </c>
      <c r="O794" s="2" t="s">
        <v>2382</v>
      </c>
      <c r="P794" s="2" t="s">
        <v>35</v>
      </c>
      <c r="Q794" s="2" t="s">
        <v>35</v>
      </c>
    </row>
    <row r="795" spans="1:17" ht="409.6">
      <c r="A795" s="8" t="str">
        <f>HYPERLINK("http://sipi.sic.gov.co/sipi/View.ashx?4543280","SD2022/0142652")</f>
        <v>SD2022/0142652</v>
      </c>
      <c r="B795" s="2" t="s">
        <v>2704</v>
      </c>
      <c r="C795" s="7" t="s">
        <v>35</v>
      </c>
      <c r="D795" s="2" t="s">
        <v>1655</v>
      </c>
      <c r="E795" s="2" t="s">
        <v>35</v>
      </c>
      <c r="F795" s="2" t="s">
        <v>37</v>
      </c>
      <c r="G795" s="2" t="s">
        <v>35</v>
      </c>
      <c r="H795" s="2" t="s">
        <v>2705</v>
      </c>
      <c r="I795" s="2" t="s">
        <v>61</v>
      </c>
      <c r="J795" s="2" t="s">
        <v>40</v>
      </c>
      <c r="K795" s="2" t="s">
        <v>2706</v>
      </c>
      <c r="L795" s="2" t="s">
        <v>42</v>
      </c>
      <c r="M795" s="2" t="s">
        <v>35</v>
      </c>
      <c r="N795" s="2" t="s">
        <v>35</v>
      </c>
      <c r="O795" s="2" t="s">
        <v>2382</v>
      </c>
      <c r="P795" s="2" t="s">
        <v>35</v>
      </c>
      <c r="Q795" s="2" t="s">
        <v>35</v>
      </c>
    </row>
    <row r="796" spans="1:17" ht="409.6">
      <c r="A796" s="8" t="str">
        <f>HYPERLINK("http://sipi.sic.gov.co/sipi/View.ashx?4543330","SD2022/0142591")</f>
        <v>SD2022/0142591</v>
      </c>
      <c r="B796" s="2" t="s">
        <v>2707</v>
      </c>
      <c r="C796" s="7" t="s">
        <v>35</v>
      </c>
      <c r="D796" s="2" t="s">
        <v>1655</v>
      </c>
      <c r="E796" s="2" t="s">
        <v>35</v>
      </c>
      <c r="F796" s="2" t="s">
        <v>37</v>
      </c>
      <c r="G796" s="2" t="s">
        <v>2707</v>
      </c>
      <c r="H796" s="2" t="s">
        <v>2596</v>
      </c>
      <c r="I796" s="2" t="s">
        <v>113</v>
      </c>
      <c r="J796" s="2" t="s">
        <v>40</v>
      </c>
      <c r="K796" s="2" t="s">
        <v>2708</v>
      </c>
      <c r="L796" s="2" t="s">
        <v>42</v>
      </c>
      <c r="M796" s="2" t="s">
        <v>612</v>
      </c>
      <c r="N796" s="2" t="s">
        <v>35</v>
      </c>
      <c r="O796" s="2" t="s">
        <v>2382</v>
      </c>
      <c r="P796" s="2" t="s">
        <v>35</v>
      </c>
      <c r="Q796" s="2" t="s">
        <v>35</v>
      </c>
    </row>
    <row r="797" spans="1:17" ht="115.2">
      <c r="A797" s="8" t="str">
        <f>HYPERLINK("http://sipi.sic.gov.co/sipi/View.ashx?4544197","SD2022/0142776")</f>
        <v>SD2022/0142776</v>
      </c>
      <c r="B797" s="2" t="s">
        <v>2709</v>
      </c>
      <c r="C797" s="2" t="s">
        <v>35</v>
      </c>
      <c r="D797" s="2" t="s">
        <v>1655</v>
      </c>
      <c r="E797" s="2" t="s">
        <v>35</v>
      </c>
      <c r="F797" s="2" t="s">
        <v>37</v>
      </c>
      <c r="G797" s="2" t="s">
        <v>2710</v>
      </c>
      <c r="H797" s="2" t="s">
        <v>2711</v>
      </c>
      <c r="I797" s="2" t="s">
        <v>12</v>
      </c>
      <c r="J797" s="2" t="s">
        <v>40</v>
      </c>
      <c r="K797" s="2" t="s">
        <v>41</v>
      </c>
      <c r="L797" s="2" t="s">
        <v>42</v>
      </c>
      <c r="M797" s="2" t="s">
        <v>35</v>
      </c>
      <c r="N797" s="2" t="s">
        <v>35</v>
      </c>
      <c r="O797" s="2" t="s">
        <v>2006</v>
      </c>
      <c r="P797" s="2" t="s">
        <v>35</v>
      </c>
      <c r="Q797" s="2" t="s">
        <v>35</v>
      </c>
    </row>
    <row r="798" spans="1:17" ht="115.2">
      <c r="A798" s="8" t="str">
        <f>HYPERLINK("http://sipi.sic.gov.co/sipi/View.ashx?4544358","SD2022/0142833")</f>
        <v>SD2022/0142833</v>
      </c>
      <c r="B798" s="2" t="s">
        <v>2712</v>
      </c>
      <c r="C798" s="2" t="s">
        <v>35</v>
      </c>
      <c r="D798" s="2" t="s">
        <v>1655</v>
      </c>
      <c r="E798" s="2" t="s">
        <v>35</v>
      </c>
      <c r="F798" s="2" t="s">
        <v>37</v>
      </c>
      <c r="G798" s="2" t="s">
        <v>2710</v>
      </c>
      <c r="H798" s="2" t="s">
        <v>2711</v>
      </c>
      <c r="I798" s="2" t="s">
        <v>12</v>
      </c>
      <c r="J798" s="2" t="s">
        <v>40</v>
      </c>
      <c r="K798" s="2" t="s">
        <v>41</v>
      </c>
      <c r="L798" s="2" t="s">
        <v>42</v>
      </c>
      <c r="M798" s="2" t="s">
        <v>35</v>
      </c>
      <c r="N798" s="2" t="s">
        <v>35</v>
      </c>
      <c r="O798" s="2" t="s">
        <v>2149</v>
      </c>
      <c r="P798" s="2" t="s">
        <v>35</v>
      </c>
      <c r="Q798" s="2" t="s">
        <v>35</v>
      </c>
    </row>
    <row r="799" spans="1:17" ht="115.2">
      <c r="A799" s="8" t="str">
        <f>HYPERLINK("http://sipi.sic.gov.co/sipi/View.ashx?4544485","SD2022/0142883")</f>
        <v>SD2022/0142883</v>
      </c>
      <c r="B799" s="2" t="s">
        <v>2713</v>
      </c>
      <c r="C799" s="2" t="s">
        <v>35</v>
      </c>
      <c r="D799" s="2" t="s">
        <v>1655</v>
      </c>
      <c r="E799" s="2" t="s">
        <v>35</v>
      </c>
      <c r="F799" s="2" t="s">
        <v>37</v>
      </c>
      <c r="G799" s="2" t="s">
        <v>2710</v>
      </c>
      <c r="H799" s="2" t="s">
        <v>2711</v>
      </c>
      <c r="I799" s="2" t="s">
        <v>12</v>
      </c>
      <c r="J799" s="2" t="s">
        <v>40</v>
      </c>
      <c r="K799" s="2" t="s">
        <v>41</v>
      </c>
      <c r="L799" s="2" t="s">
        <v>42</v>
      </c>
      <c r="M799" s="2" t="s">
        <v>35</v>
      </c>
      <c r="N799" s="2" t="s">
        <v>35</v>
      </c>
      <c r="O799" s="2" t="s">
        <v>1733</v>
      </c>
      <c r="P799" s="2" t="s">
        <v>35</v>
      </c>
      <c r="Q799" s="2" t="s">
        <v>35</v>
      </c>
    </row>
    <row r="800" spans="1:17" ht="100.8">
      <c r="A800" s="8" t="str">
        <f>HYPERLINK("http://sipi.sic.gov.co/sipi/View.ashx?4545014","SD2022/0143192")</f>
        <v>SD2022/0143192</v>
      </c>
      <c r="B800" s="2" t="s">
        <v>2714</v>
      </c>
      <c r="C800" s="7" t="s">
        <v>35</v>
      </c>
      <c r="D800" s="2" t="s">
        <v>1655</v>
      </c>
      <c r="E800" s="2" t="s">
        <v>35</v>
      </c>
      <c r="F800" s="2" t="s">
        <v>37</v>
      </c>
      <c r="G800" s="2" t="s">
        <v>2714</v>
      </c>
      <c r="H800" s="2" t="s">
        <v>610</v>
      </c>
      <c r="I800" s="2" t="s">
        <v>12</v>
      </c>
      <c r="J800" s="2" t="s">
        <v>40</v>
      </c>
      <c r="K800" s="2" t="s">
        <v>594</v>
      </c>
      <c r="L800" s="2" t="s">
        <v>42</v>
      </c>
      <c r="M800" s="2" t="s">
        <v>612</v>
      </c>
      <c r="N800" s="2" t="s">
        <v>35</v>
      </c>
      <c r="O800" s="2" t="s">
        <v>2089</v>
      </c>
      <c r="P800" s="2" t="s">
        <v>35</v>
      </c>
      <c r="Q800" s="2" t="s">
        <v>35</v>
      </c>
    </row>
    <row r="801" spans="1:17" ht="201.6">
      <c r="A801" s="8" t="str">
        <f>HYPERLINK("http://sipi.sic.gov.co/sipi/View.ashx?4545223","SD2022/0143157")</f>
        <v>SD2022/0143157</v>
      </c>
      <c r="B801" s="2" t="s">
        <v>2715</v>
      </c>
      <c r="C801" s="7" t="s">
        <v>35</v>
      </c>
      <c r="D801" s="2" t="s">
        <v>1655</v>
      </c>
      <c r="E801" s="2" t="s">
        <v>35</v>
      </c>
      <c r="F801" s="2" t="s">
        <v>37</v>
      </c>
      <c r="G801" s="2" t="s">
        <v>2715</v>
      </c>
      <c r="H801" s="2" t="s">
        <v>610</v>
      </c>
      <c r="I801" s="2" t="s">
        <v>12</v>
      </c>
      <c r="J801" s="2" t="s">
        <v>40</v>
      </c>
      <c r="K801" s="2" t="s">
        <v>2716</v>
      </c>
      <c r="L801" s="2" t="s">
        <v>42</v>
      </c>
      <c r="M801" s="2" t="s">
        <v>612</v>
      </c>
      <c r="N801" s="2" t="s">
        <v>35</v>
      </c>
      <c r="O801" s="2" t="s">
        <v>1303</v>
      </c>
      <c r="P801" s="2" t="s">
        <v>35</v>
      </c>
      <c r="Q801" s="2" t="s">
        <v>35</v>
      </c>
    </row>
    <row r="802" spans="1:17" ht="201.6">
      <c r="A802" s="8" t="str">
        <f>HYPERLINK("http://sipi.sic.gov.co/sipi/View.ashx?4545592","SD2022/0143302")</f>
        <v>SD2022/0143302</v>
      </c>
      <c r="B802" s="2" t="s">
        <v>2717</v>
      </c>
      <c r="C802" s="7" t="s">
        <v>35</v>
      </c>
      <c r="D802" s="2" t="s">
        <v>1655</v>
      </c>
      <c r="E802" s="2" t="s">
        <v>35</v>
      </c>
      <c r="F802" s="2" t="s">
        <v>37</v>
      </c>
      <c r="G802" s="2" t="s">
        <v>35</v>
      </c>
      <c r="H802" s="2" t="s">
        <v>2702</v>
      </c>
      <c r="I802" s="2" t="s">
        <v>12</v>
      </c>
      <c r="J802" s="2" t="s">
        <v>40</v>
      </c>
      <c r="K802" s="2" t="s">
        <v>2703</v>
      </c>
      <c r="L802" s="2" t="s">
        <v>42</v>
      </c>
      <c r="M802" s="2" t="s">
        <v>35</v>
      </c>
      <c r="N802" s="2" t="s">
        <v>35</v>
      </c>
      <c r="O802" s="2" t="s">
        <v>2149</v>
      </c>
      <c r="P802" s="2" t="s">
        <v>35</v>
      </c>
      <c r="Q802" s="2" t="s">
        <v>35</v>
      </c>
    </row>
    <row r="803" spans="1:17" ht="201.6">
      <c r="A803" s="8" t="str">
        <f>HYPERLINK("http://sipi.sic.gov.co/sipi/View.ashx?4545628","SD2022/0143311")</f>
        <v>SD2022/0143311</v>
      </c>
      <c r="B803" s="2" t="s">
        <v>2718</v>
      </c>
      <c r="C803" s="7" t="s">
        <v>35</v>
      </c>
      <c r="D803" s="2" t="s">
        <v>1655</v>
      </c>
      <c r="E803" s="2" t="s">
        <v>35</v>
      </c>
      <c r="F803" s="2" t="s">
        <v>37</v>
      </c>
      <c r="G803" s="2" t="s">
        <v>35</v>
      </c>
      <c r="H803" s="2" t="s">
        <v>2702</v>
      </c>
      <c r="I803" s="2" t="s">
        <v>12</v>
      </c>
      <c r="J803" s="2" t="s">
        <v>40</v>
      </c>
      <c r="K803" s="2" t="s">
        <v>2703</v>
      </c>
      <c r="L803" s="2" t="s">
        <v>42</v>
      </c>
      <c r="M803" s="2" t="s">
        <v>35</v>
      </c>
      <c r="N803" s="2" t="s">
        <v>35</v>
      </c>
      <c r="O803" s="2" t="s">
        <v>2382</v>
      </c>
      <c r="P803" s="2" t="s">
        <v>35</v>
      </c>
      <c r="Q803" s="2" t="s">
        <v>35</v>
      </c>
    </row>
    <row r="804" spans="1:17" ht="201.6">
      <c r="A804" s="8" t="str">
        <f>HYPERLINK("http://sipi.sic.gov.co/sipi/View.ashx?4545712","SD2022/0143348")</f>
        <v>SD2022/0143348</v>
      </c>
      <c r="B804" s="2" t="s">
        <v>2719</v>
      </c>
      <c r="C804" s="7" t="s">
        <v>35</v>
      </c>
      <c r="D804" s="2" t="s">
        <v>1655</v>
      </c>
      <c r="E804" s="2" t="s">
        <v>35</v>
      </c>
      <c r="F804" s="2" t="s">
        <v>37</v>
      </c>
      <c r="G804" s="2" t="s">
        <v>35</v>
      </c>
      <c r="H804" s="2" t="s">
        <v>2702</v>
      </c>
      <c r="I804" s="2" t="s">
        <v>12</v>
      </c>
      <c r="J804" s="2" t="s">
        <v>40</v>
      </c>
      <c r="K804" s="2" t="s">
        <v>2703</v>
      </c>
      <c r="L804" s="2" t="s">
        <v>42</v>
      </c>
      <c r="M804" s="2" t="s">
        <v>35</v>
      </c>
      <c r="N804" s="2" t="s">
        <v>35</v>
      </c>
      <c r="O804" s="2" t="s">
        <v>1303</v>
      </c>
      <c r="P804" s="2" t="s">
        <v>35</v>
      </c>
      <c r="Q804" s="2" t="s">
        <v>35</v>
      </c>
    </row>
    <row r="805" spans="1:17" ht="172.8">
      <c r="A805" s="8" t="str">
        <f>HYPERLINK("http://sipi.sic.gov.co/sipi/View.ashx?4545730","SD2022/0143360")</f>
        <v>SD2022/0143360</v>
      </c>
      <c r="B805" s="2" t="s">
        <v>2720</v>
      </c>
      <c r="C805" s="7" t="s">
        <v>35</v>
      </c>
      <c r="D805" s="2" t="s">
        <v>1655</v>
      </c>
      <c r="E805" s="2" t="s">
        <v>35</v>
      </c>
      <c r="F805" s="2" t="s">
        <v>37</v>
      </c>
      <c r="G805" s="2" t="s">
        <v>35</v>
      </c>
      <c r="H805" s="2" t="s">
        <v>2702</v>
      </c>
      <c r="I805" s="2" t="s">
        <v>12</v>
      </c>
      <c r="J805" s="2" t="s">
        <v>40</v>
      </c>
      <c r="K805" s="2" t="s">
        <v>2721</v>
      </c>
      <c r="L805" s="2" t="s">
        <v>55</v>
      </c>
      <c r="M805" s="2" t="s">
        <v>35</v>
      </c>
      <c r="N805" s="2" t="s">
        <v>35</v>
      </c>
      <c r="O805" s="2" t="s">
        <v>1303</v>
      </c>
      <c r="P805" s="2" t="s">
        <v>35</v>
      </c>
      <c r="Q805" s="2" t="s">
        <v>35</v>
      </c>
    </row>
    <row r="806" spans="1:17" ht="76.8">
      <c r="A806" s="8" t="str">
        <f>HYPERLINK("http://sipi.sic.gov.co/sipi/View.ashx?4545816","SD2022/0143415")</f>
        <v>SD2022/0143415</v>
      </c>
      <c r="B806" s="2" t="s">
        <v>2722</v>
      </c>
      <c r="C806" s="7" t="s">
        <v>35</v>
      </c>
      <c r="D806" s="2" t="s">
        <v>1655</v>
      </c>
      <c r="E806" s="2" t="s">
        <v>35</v>
      </c>
      <c r="F806" s="2" t="s">
        <v>37</v>
      </c>
      <c r="G806" s="2" t="s">
        <v>35</v>
      </c>
      <c r="H806" s="2" t="s">
        <v>2723</v>
      </c>
      <c r="I806" s="2" t="s">
        <v>12</v>
      </c>
      <c r="J806" s="2" t="s">
        <v>40</v>
      </c>
      <c r="K806" s="2" t="s">
        <v>2724</v>
      </c>
      <c r="L806" s="2" t="s">
        <v>42</v>
      </c>
      <c r="M806" s="2" t="s">
        <v>35</v>
      </c>
      <c r="N806" s="2" t="s">
        <v>35</v>
      </c>
      <c r="O806" s="2" t="s">
        <v>2149</v>
      </c>
      <c r="P806" s="2" t="s">
        <v>35</v>
      </c>
      <c r="Q806" s="2" t="s">
        <v>35</v>
      </c>
    </row>
    <row r="807" spans="1:17" ht="158.4">
      <c r="A807" s="8" t="str">
        <f>HYPERLINK("http://sipi.sic.gov.co/sipi/View.ashx?4546344","SD2022/0143549")</f>
        <v>SD2022/0143549</v>
      </c>
      <c r="B807" s="2" t="s">
        <v>2725</v>
      </c>
      <c r="C807" s="7" t="s">
        <v>35</v>
      </c>
      <c r="D807" s="2" t="s">
        <v>2726</v>
      </c>
      <c r="E807" s="2" t="s">
        <v>35</v>
      </c>
      <c r="F807" s="2" t="s">
        <v>37</v>
      </c>
      <c r="G807" s="2" t="s">
        <v>2727</v>
      </c>
      <c r="H807" s="2" t="s">
        <v>2728</v>
      </c>
      <c r="I807" s="2" t="s">
        <v>12</v>
      </c>
      <c r="J807" s="2" t="s">
        <v>40</v>
      </c>
      <c r="K807" s="2" t="s">
        <v>2729</v>
      </c>
      <c r="L807" s="2" t="s">
        <v>42</v>
      </c>
      <c r="M807" s="2" t="s">
        <v>2730</v>
      </c>
      <c r="N807" s="2" t="s">
        <v>35</v>
      </c>
      <c r="O807" s="2" t="s">
        <v>2006</v>
      </c>
      <c r="P807" s="2" t="s">
        <v>35</v>
      </c>
      <c r="Q807" s="2" t="s">
        <v>35</v>
      </c>
    </row>
    <row r="808" spans="1:17" ht="172.8">
      <c r="A808" s="8" t="str">
        <f>HYPERLINK("http://sipi.sic.gov.co/sipi/View.ashx?4546437","SD2022/0143574")</f>
        <v>SD2022/0143574</v>
      </c>
      <c r="B808" s="2" t="s">
        <v>2731</v>
      </c>
      <c r="C808" s="7" t="s">
        <v>35</v>
      </c>
      <c r="D808" s="2" t="s">
        <v>2726</v>
      </c>
      <c r="E808" s="2" t="s">
        <v>35</v>
      </c>
      <c r="F808" s="2" t="s">
        <v>37</v>
      </c>
      <c r="G808" s="2" t="s">
        <v>35</v>
      </c>
      <c r="H808" s="2" t="s">
        <v>2702</v>
      </c>
      <c r="I808" s="2" t="s">
        <v>12</v>
      </c>
      <c r="J808" s="2" t="s">
        <v>40</v>
      </c>
      <c r="K808" s="2" t="s">
        <v>2721</v>
      </c>
      <c r="L808" s="2" t="s">
        <v>42</v>
      </c>
      <c r="M808" s="2" t="s">
        <v>35</v>
      </c>
      <c r="N808" s="2" t="s">
        <v>35</v>
      </c>
      <c r="O808" s="2" t="s">
        <v>1790</v>
      </c>
      <c r="P808" s="2" t="s">
        <v>35</v>
      </c>
      <c r="Q808" s="2" t="s">
        <v>35</v>
      </c>
    </row>
    <row r="809" spans="1:17" ht="172.8">
      <c r="A809" s="8" t="str">
        <f>HYPERLINK("http://sipi.sic.gov.co/sipi/View.ashx?4546450","SD2022/0143580")</f>
        <v>SD2022/0143580</v>
      </c>
      <c r="B809" s="2" t="s">
        <v>2732</v>
      </c>
      <c r="C809" s="7" t="s">
        <v>35</v>
      </c>
      <c r="D809" s="2" t="s">
        <v>2726</v>
      </c>
      <c r="E809" s="2" t="s">
        <v>35</v>
      </c>
      <c r="F809" s="2" t="s">
        <v>37</v>
      </c>
      <c r="G809" s="2" t="s">
        <v>35</v>
      </c>
      <c r="H809" s="2" t="s">
        <v>2702</v>
      </c>
      <c r="I809" s="2" t="s">
        <v>12</v>
      </c>
      <c r="J809" s="2" t="s">
        <v>40</v>
      </c>
      <c r="K809" s="2" t="s">
        <v>2721</v>
      </c>
      <c r="L809" s="2" t="s">
        <v>42</v>
      </c>
      <c r="M809" s="2" t="s">
        <v>35</v>
      </c>
      <c r="N809" s="2" t="s">
        <v>35</v>
      </c>
      <c r="O809" s="2" t="s">
        <v>2382</v>
      </c>
      <c r="P809" s="2" t="s">
        <v>35</v>
      </c>
      <c r="Q809" s="2" t="s">
        <v>35</v>
      </c>
    </row>
    <row r="810" spans="1:17" ht="172.8">
      <c r="A810" s="8" t="str">
        <f>HYPERLINK("http://sipi.sic.gov.co/sipi/View.ashx?4546461","SD2022/0143588")</f>
        <v>SD2022/0143588</v>
      </c>
      <c r="B810" s="2" t="s">
        <v>2733</v>
      </c>
      <c r="C810" s="7" t="s">
        <v>35</v>
      </c>
      <c r="D810" s="2" t="s">
        <v>2726</v>
      </c>
      <c r="E810" s="2" t="s">
        <v>35</v>
      </c>
      <c r="F810" s="2" t="s">
        <v>37</v>
      </c>
      <c r="G810" s="2" t="s">
        <v>2734</v>
      </c>
      <c r="H810" s="2" t="s">
        <v>2735</v>
      </c>
      <c r="I810" s="2" t="s">
        <v>2695</v>
      </c>
      <c r="J810" s="2" t="s">
        <v>40</v>
      </c>
      <c r="K810" s="2" t="s">
        <v>2736</v>
      </c>
      <c r="L810" s="2" t="s">
        <v>42</v>
      </c>
      <c r="M810" s="2" t="s">
        <v>35</v>
      </c>
      <c r="N810" s="2" t="s">
        <v>35</v>
      </c>
      <c r="O810" s="2" t="s">
        <v>2382</v>
      </c>
      <c r="P810" s="2" t="s">
        <v>35</v>
      </c>
      <c r="Q810" s="2" t="s">
        <v>35</v>
      </c>
    </row>
    <row r="811" spans="1:17" ht="288">
      <c r="A811" s="8" t="str">
        <f>HYPERLINK("http://sipi.sic.gov.co/sipi/View.ashx?4546805","SD2022/0143705")</f>
        <v>SD2022/0143705</v>
      </c>
      <c r="B811" s="2" t="s">
        <v>2737</v>
      </c>
      <c r="C811" s="7" t="s">
        <v>35</v>
      </c>
      <c r="D811" s="2" t="s">
        <v>2726</v>
      </c>
      <c r="E811" s="2" t="s">
        <v>35</v>
      </c>
      <c r="F811" s="2" t="s">
        <v>37</v>
      </c>
      <c r="G811" s="2" t="s">
        <v>2738</v>
      </c>
      <c r="H811" s="2" t="s">
        <v>2739</v>
      </c>
      <c r="I811" s="2" t="s">
        <v>61</v>
      </c>
      <c r="J811" s="2" t="s">
        <v>40</v>
      </c>
      <c r="K811" s="2" t="s">
        <v>2740</v>
      </c>
      <c r="L811" s="2" t="s">
        <v>42</v>
      </c>
      <c r="M811" s="2" t="s">
        <v>2741</v>
      </c>
      <c r="N811" s="2" t="s">
        <v>35</v>
      </c>
      <c r="O811" s="2" t="s">
        <v>1790</v>
      </c>
      <c r="P811" s="2" t="s">
        <v>35</v>
      </c>
      <c r="Q811" s="2" t="s">
        <v>35</v>
      </c>
    </row>
    <row r="812" spans="1:17" ht="86.4">
      <c r="A812" s="8" t="str">
        <f>HYPERLINK("http://sipi.sic.gov.co/sipi/View.ashx?4546854","SD2022/0143721")</f>
        <v>SD2022/0143721</v>
      </c>
      <c r="B812" s="2" t="s">
        <v>2742</v>
      </c>
      <c r="C812" s="7" t="s">
        <v>35</v>
      </c>
      <c r="D812" s="2" t="s">
        <v>2726</v>
      </c>
      <c r="E812" s="2" t="s">
        <v>35</v>
      </c>
      <c r="F812" s="2" t="s">
        <v>37</v>
      </c>
      <c r="G812" s="2" t="s">
        <v>2743</v>
      </c>
      <c r="H812" s="2" t="s">
        <v>2744</v>
      </c>
      <c r="I812" s="2" t="s">
        <v>161</v>
      </c>
      <c r="J812" s="2" t="s">
        <v>40</v>
      </c>
      <c r="K812" s="2" t="s">
        <v>2745</v>
      </c>
      <c r="L812" s="2" t="s">
        <v>42</v>
      </c>
      <c r="M812" s="2" t="s">
        <v>35</v>
      </c>
      <c r="N812" s="2" t="s">
        <v>35</v>
      </c>
      <c r="O812" s="2" t="s">
        <v>2006</v>
      </c>
      <c r="P812" s="2" t="s">
        <v>35</v>
      </c>
      <c r="Q812" s="2" t="s">
        <v>35</v>
      </c>
    </row>
    <row r="813" spans="1:17" ht="244.8">
      <c r="A813" s="8" t="str">
        <f>HYPERLINK("http://sipi.sic.gov.co/sipi/View.ashx?4546861","SD2022/0143728")</f>
        <v>SD2022/0143728</v>
      </c>
      <c r="B813" s="2" t="s">
        <v>2746</v>
      </c>
      <c r="C813" s="7" t="s">
        <v>35</v>
      </c>
      <c r="D813" s="2" t="s">
        <v>2726</v>
      </c>
      <c r="E813" s="2" t="s">
        <v>35</v>
      </c>
      <c r="F813" s="2" t="s">
        <v>37</v>
      </c>
      <c r="G813" s="2" t="s">
        <v>2747</v>
      </c>
      <c r="H813" s="2" t="s">
        <v>2739</v>
      </c>
      <c r="I813" s="2" t="s">
        <v>61</v>
      </c>
      <c r="J813" s="2" t="s">
        <v>40</v>
      </c>
      <c r="K813" s="2" t="s">
        <v>2748</v>
      </c>
      <c r="L813" s="2" t="s">
        <v>42</v>
      </c>
      <c r="M813" s="2" t="s">
        <v>2741</v>
      </c>
      <c r="N813" s="2" t="s">
        <v>35</v>
      </c>
      <c r="O813" s="2" t="s">
        <v>2006</v>
      </c>
      <c r="P813" s="2" t="s">
        <v>35</v>
      </c>
      <c r="Q813" s="2" t="s">
        <v>35</v>
      </c>
    </row>
    <row r="814" spans="1:17" ht="115.2">
      <c r="A814" s="8" t="str">
        <f>HYPERLINK("http://sipi.sic.gov.co/sipi/View.ashx?4546883","SD2022/0143730")</f>
        <v>SD2022/0143730</v>
      </c>
      <c r="B814" s="2" t="s">
        <v>2749</v>
      </c>
      <c r="C814" s="2" t="s">
        <v>35</v>
      </c>
      <c r="D814" s="2" t="s">
        <v>2726</v>
      </c>
      <c r="E814" s="2" t="s">
        <v>35</v>
      </c>
      <c r="F814" s="2" t="s">
        <v>37</v>
      </c>
      <c r="G814" s="2" t="s">
        <v>35</v>
      </c>
      <c r="H814" s="2" t="s">
        <v>2750</v>
      </c>
      <c r="I814" s="2" t="s">
        <v>12</v>
      </c>
      <c r="J814" s="2" t="s">
        <v>40</v>
      </c>
      <c r="K814" s="2" t="s">
        <v>41</v>
      </c>
      <c r="L814" s="2" t="s">
        <v>42</v>
      </c>
      <c r="M814" s="2" t="s">
        <v>35</v>
      </c>
      <c r="N814" s="2" t="s">
        <v>35</v>
      </c>
      <c r="O814" s="2" t="s">
        <v>2149</v>
      </c>
      <c r="P814" s="2" t="s">
        <v>35</v>
      </c>
      <c r="Q814" s="2" t="s">
        <v>35</v>
      </c>
    </row>
    <row r="815" spans="1:17" ht="115.2">
      <c r="A815" s="8" t="str">
        <f>HYPERLINK("http://sipi.sic.gov.co/sipi/View.ashx?4546908","SD2022/0143741")</f>
        <v>SD2022/0143741</v>
      </c>
      <c r="B815" s="2" t="s">
        <v>2751</v>
      </c>
      <c r="C815" s="2" t="s">
        <v>35</v>
      </c>
      <c r="D815" s="2" t="s">
        <v>2726</v>
      </c>
      <c r="E815" s="2" t="s">
        <v>35</v>
      </c>
      <c r="F815" s="2" t="s">
        <v>37</v>
      </c>
      <c r="G815" s="2" t="s">
        <v>35</v>
      </c>
      <c r="H815" s="2" t="s">
        <v>2750</v>
      </c>
      <c r="I815" s="2" t="s">
        <v>12</v>
      </c>
      <c r="J815" s="2" t="s">
        <v>40</v>
      </c>
      <c r="K815" s="2" t="s">
        <v>41</v>
      </c>
      <c r="L815" s="2" t="s">
        <v>42</v>
      </c>
      <c r="M815" s="2" t="s">
        <v>35</v>
      </c>
      <c r="N815" s="2" t="s">
        <v>35</v>
      </c>
      <c r="O815" s="2" t="s">
        <v>762</v>
      </c>
      <c r="P815" s="2" t="s">
        <v>35</v>
      </c>
      <c r="Q815" s="2" t="s">
        <v>35</v>
      </c>
    </row>
    <row r="816" spans="1:17" ht="158.4">
      <c r="A816" s="8" t="str">
        <f>HYPERLINK("http://sipi.sic.gov.co/sipi/View.ashx?4547416","SD2022/0143915")</f>
        <v>SD2022/0143915</v>
      </c>
      <c r="B816" s="2" t="s">
        <v>2752</v>
      </c>
      <c r="C816" s="7" t="s">
        <v>35</v>
      </c>
      <c r="D816" s="2" t="s">
        <v>2726</v>
      </c>
      <c r="E816" s="2" t="s">
        <v>35</v>
      </c>
      <c r="F816" s="2" t="s">
        <v>37</v>
      </c>
      <c r="G816" s="2" t="s">
        <v>35</v>
      </c>
      <c r="H816" s="2" t="s">
        <v>2753</v>
      </c>
      <c r="I816" s="2" t="s">
        <v>12</v>
      </c>
      <c r="J816" s="2" t="s">
        <v>40</v>
      </c>
      <c r="K816" s="2" t="s">
        <v>2754</v>
      </c>
      <c r="L816" s="2" t="s">
        <v>42</v>
      </c>
      <c r="M816" s="2" t="s">
        <v>35</v>
      </c>
      <c r="N816" s="2" t="s">
        <v>35</v>
      </c>
      <c r="O816" s="2" t="s">
        <v>1733</v>
      </c>
      <c r="P816" s="2" t="s">
        <v>35</v>
      </c>
      <c r="Q816" s="2" t="s">
        <v>35</v>
      </c>
    </row>
    <row r="817" spans="1:17" ht="216">
      <c r="A817" s="8" t="str">
        <f>HYPERLINK("http://sipi.sic.gov.co/sipi/View.ashx?4547781","SD2022/0144059")</f>
        <v>SD2022/0144059</v>
      </c>
      <c r="B817" s="2" t="s">
        <v>2755</v>
      </c>
      <c r="C817" s="2" t="s">
        <v>35</v>
      </c>
      <c r="D817" s="2" t="s">
        <v>2726</v>
      </c>
      <c r="E817" s="2" t="s">
        <v>35</v>
      </c>
      <c r="F817" s="2" t="s">
        <v>37</v>
      </c>
      <c r="G817" s="2" t="s">
        <v>2755</v>
      </c>
      <c r="H817" s="2" t="s">
        <v>2516</v>
      </c>
      <c r="I817" s="2" t="s">
        <v>12</v>
      </c>
      <c r="J817" s="2" t="s">
        <v>40</v>
      </c>
      <c r="K817" s="2" t="s">
        <v>2756</v>
      </c>
      <c r="L817" s="2" t="s">
        <v>42</v>
      </c>
      <c r="M817" s="2" t="s">
        <v>35</v>
      </c>
      <c r="N817" s="2" t="s">
        <v>35</v>
      </c>
      <c r="O817" s="2" t="s">
        <v>2006</v>
      </c>
      <c r="P817" s="2" t="s">
        <v>35</v>
      </c>
      <c r="Q817" s="2" t="s">
        <v>35</v>
      </c>
    </row>
    <row r="818" spans="1:17" ht="216">
      <c r="A818" s="8" t="str">
        <f>HYPERLINK("http://sipi.sic.gov.co/sipi/View.ashx?4548422","SD2022/0144478")</f>
        <v>SD2022/0144478</v>
      </c>
      <c r="B818" s="2" t="s">
        <v>2757</v>
      </c>
      <c r="C818" s="2" t="s">
        <v>35</v>
      </c>
      <c r="D818" s="2" t="s">
        <v>2726</v>
      </c>
      <c r="E818" s="2" t="s">
        <v>35</v>
      </c>
      <c r="F818" s="2" t="s">
        <v>37</v>
      </c>
      <c r="G818" s="2" t="s">
        <v>2758</v>
      </c>
      <c r="H818" s="2" t="s">
        <v>2434</v>
      </c>
      <c r="I818" s="2" t="s">
        <v>61</v>
      </c>
      <c r="J818" s="2" t="s">
        <v>40</v>
      </c>
      <c r="K818" s="2" t="s">
        <v>2435</v>
      </c>
      <c r="L818" s="2" t="s">
        <v>42</v>
      </c>
      <c r="M818" s="2" t="s">
        <v>35</v>
      </c>
      <c r="N818" s="2" t="s">
        <v>35</v>
      </c>
      <c r="O818" s="2" t="s">
        <v>1733</v>
      </c>
      <c r="P818" s="2" t="s">
        <v>35</v>
      </c>
      <c r="Q818" s="2" t="s">
        <v>35</v>
      </c>
    </row>
    <row r="819" spans="1:17" ht="115.2">
      <c r="A819" s="8" t="str">
        <f>HYPERLINK("http://sipi.sic.gov.co/sipi/View.ashx?4548898","SD2022/0144477")</f>
        <v>SD2022/0144477</v>
      </c>
      <c r="B819" s="2" t="s">
        <v>2759</v>
      </c>
      <c r="C819" s="2" t="s">
        <v>35</v>
      </c>
      <c r="D819" s="2" t="s">
        <v>2726</v>
      </c>
      <c r="E819" s="2" t="s">
        <v>35</v>
      </c>
      <c r="F819" s="2" t="s">
        <v>37</v>
      </c>
      <c r="G819" s="2" t="s">
        <v>2760</v>
      </c>
      <c r="H819" s="2" t="s">
        <v>2358</v>
      </c>
      <c r="I819" s="2" t="s">
        <v>12</v>
      </c>
      <c r="J819" s="2" t="s">
        <v>40</v>
      </c>
      <c r="K819" s="2" t="s">
        <v>41</v>
      </c>
      <c r="L819" s="2" t="s">
        <v>42</v>
      </c>
      <c r="M819" s="2" t="s">
        <v>35</v>
      </c>
      <c r="N819" s="2" t="s">
        <v>35</v>
      </c>
      <c r="O819" s="2" t="s">
        <v>2149</v>
      </c>
      <c r="P819" s="2" t="s">
        <v>35</v>
      </c>
      <c r="Q819" s="2" t="s">
        <v>35</v>
      </c>
    </row>
    <row r="820" spans="1:17" ht="115.2">
      <c r="A820" s="8" t="str">
        <f>HYPERLINK("http://sipi.sic.gov.co/sipi/View.ashx?4549000","SD2022/0144550")</f>
        <v>SD2022/0144550</v>
      </c>
      <c r="B820" s="2" t="s">
        <v>2761</v>
      </c>
      <c r="C820" s="2" t="s">
        <v>35</v>
      </c>
      <c r="D820" s="2" t="s">
        <v>2726</v>
      </c>
      <c r="E820" s="2" t="s">
        <v>35</v>
      </c>
      <c r="F820" s="2" t="s">
        <v>37</v>
      </c>
      <c r="G820" s="2" t="s">
        <v>2762</v>
      </c>
      <c r="H820" s="2" t="s">
        <v>2338</v>
      </c>
      <c r="I820" s="2" t="s">
        <v>12</v>
      </c>
      <c r="J820" s="2" t="s">
        <v>40</v>
      </c>
      <c r="K820" s="2" t="s">
        <v>41</v>
      </c>
      <c r="L820" s="2" t="s">
        <v>42</v>
      </c>
      <c r="M820" s="2" t="s">
        <v>2340</v>
      </c>
      <c r="N820" s="2" t="s">
        <v>35</v>
      </c>
      <c r="O820" s="2" t="s">
        <v>1790</v>
      </c>
      <c r="P820" s="2" t="s">
        <v>35</v>
      </c>
      <c r="Q820" s="2" t="s">
        <v>35</v>
      </c>
    </row>
    <row r="821" spans="1:17" ht="115.2">
      <c r="A821" s="8" t="str">
        <f>HYPERLINK("http://sipi.sic.gov.co/sipi/View.ashx?4555404","SD2023/0001354")</f>
        <v>SD2023/0001354</v>
      </c>
      <c r="B821" s="2" t="s">
        <v>2763</v>
      </c>
      <c r="C821" s="7" t="s">
        <v>35</v>
      </c>
      <c r="D821" s="2" t="s">
        <v>2764</v>
      </c>
      <c r="E821" s="2" t="s">
        <v>35</v>
      </c>
      <c r="F821" s="2" t="s">
        <v>37</v>
      </c>
      <c r="G821" s="2" t="s">
        <v>2765</v>
      </c>
      <c r="H821" s="2" t="s">
        <v>2766</v>
      </c>
      <c r="I821" s="2" t="s">
        <v>12</v>
      </c>
      <c r="J821" s="2" t="s">
        <v>40</v>
      </c>
      <c r="K821" s="2" t="s">
        <v>2767</v>
      </c>
      <c r="L821" s="2" t="s">
        <v>42</v>
      </c>
      <c r="M821" s="2" t="s">
        <v>534</v>
      </c>
      <c r="N821" s="2" t="s">
        <v>35</v>
      </c>
      <c r="O821" s="2" t="s">
        <v>1733</v>
      </c>
      <c r="P821" s="2" t="s">
        <v>35</v>
      </c>
      <c r="Q821" s="2" t="s">
        <v>35</v>
      </c>
    </row>
    <row r="822" spans="1:17" ht="115.2">
      <c r="A822" s="8" t="str">
        <f>HYPERLINK("http://sipi.sic.gov.co/sipi/View.ashx?4556114","SD2023/0001450")</f>
        <v>SD2023/0001450</v>
      </c>
      <c r="B822" s="2" t="s">
        <v>2768</v>
      </c>
      <c r="C822" s="2" t="s">
        <v>35</v>
      </c>
      <c r="D822" s="2" t="s">
        <v>2769</v>
      </c>
      <c r="E822" s="2" t="s">
        <v>35</v>
      </c>
      <c r="F822" s="2" t="s">
        <v>37</v>
      </c>
      <c r="G822" s="2" t="s">
        <v>35</v>
      </c>
      <c r="H822" s="2" t="s">
        <v>1151</v>
      </c>
      <c r="I822" s="2" t="s">
        <v>12</v>
      </c>
      <c r="J822" s="2" t="s">
        <v>40</v>
      </c>
      <c r="K822" s="2" t="s">
        <v>1152</v>
      </c>
      <c r="L822" s="2" t="s">
        <v>42</v>
      </c>
      <c r="M822" s="2" t="s">
        <v>1153</v>
      </c>
      <c r="N822" s="2" t="s">
        <v>35</v>
      </c>
      <c r="O822" s="2" t="s">
        <v>1828</v>
      </c>
      <c r="P822" s="2" t="s">
        <v>35</v>
      </c>
      <c r="Q822" s="2" t="s">
        <v>35</v>
      </c>
    </row>
    <row r="823" spans="1:17" ht="409.6">
      <c r="A823" s="8" t="str">
        <f>HYPERLINK("http://sipi.sic.gov.co/sipi/View.ashx?4556849","SD2023/0002724")</f>
        <v>SD2023/0002724</v>
      </c>
      <c r="B823" s="2" t="s">
        <v>2770</v>
      </c>
      <c r="C823" s="2" t="s">
        <v>35</v>
      </c>
      <c r="D823" s="2" t="s">
        <v>2771</v>
      </c>
      <c r="E823" s="2" t="s">
        <v>35</v>
      </c>
      <c r="F823" s="2" t="s">
        <v>37</v>
      </c>
      <c r="G823" s="2" t="s">
        <v>35</v>
      </c>
      <c r="H823" s="2" t="s">
        <v>2772</v>
      </c>
      <c r="I823" s="2" t="s">
        <v>12</v>
      </c>
      <c r="J823" s="2" t="s">
        <v>40</v>
      </c>
      <c r="K823" s="2" t="s">
        <v>2773</v>
      </c>
      <c r="L823" s="2" t="s">
        <v>42</v>
      </c>
      <c r="M823" s="2" t="s">
        <v>2774</v>
      </c>
      <c r="N823" s="2" t="s">
        <v>35</v>
      </c>
      <c r="O823" s="2" t="s">
        <v>1476</v>
      </c>
      <c r="P823" s="2" t="s">
        <v>35</v>
      </c>
      <c r="Q823" s="2" t="s">
        <v>35</v>
      </c>
    </row>
    <row r="824" spans="1:17" ht="100.8">
      <c r="A824" s="8" t="str">
        <f>HYPERLINK("http://sipi.sic.gov.co/sipi/View.ashx?4557042","SD2023/0001690")</f>
        <v>SD2023/0001690</v>
      </c>
      <c r="B824" s="2" t="s">
        <v>2775</v>
      </c>
      <c r="C824" s="2" t="s">
        <v>35</v>
      </c>
      <c r="D824" s="2" t="s">
        <v>2776</v>
      </c>
      <c r="E824" s="2" t="s">
        <v>35</v>
      </c>
      <c r="F824" s="2" t="s">
        <v>37</v>
      </c>
      <c r="G824" s="2" t="s">
        <v>2777</v>
      </c>
      <c r="H824" s="2" t="s">
        <v>1600</v>
      </c>
      <c r="I824" s="2" t="s">
        <v>12</v>
      </c>
      <c r="J824" s="2" t="s">
        <v>40</v>
      </c>
      <c r="K824" s="2" t="s">
        <v>2778</v>
      </c>
      <c r="L824" s="2" t="s">
        <v>55</v>
      </c>
      <c r="M824" s="2" t="s">
        <v>1322</v>
      </c>
      <c r="N824" s="2" t="s">
        <v>35</v>
      </c>
      <c r="O824" s="2" t="s">
        <v>1828</v>
      </c>
      <c r="P824" s="2" t="s">
        <v>35</v>
      </c>
      <c r="Q824" s="2" t="s">
        <v>35</v>
      </c>
    </row>
    <row r="825" spans="1:17" ht="100.8">
      <c r="A825" s="8" t="str">
        <f>HYPERLINK("http://sipi.sic.gov.co/sipi/View.ashx?4557055","SD2023/0001694")</f>
        <v>SD2023/0001694</v>
      </c>
      <c r="B825" s="2" t="s">
        <v>2779</v>
      </c>
      <c r="C825" s="2" t="s">
        <v>35</v>
      </c>
      <c r="D825" s="2" t="s">
        <v>2776</v>
      </c>
      <c r="E825" s="2" t="s">
        <v>35</v>
      </c>
      <c r="F825" s="2" t="s">
        <v>37</v>
      </c>
      <c r="G825" s="2" t="s">
        <v>2780</v>
      </c>
      <c r="H825" s="2" t="s">
        <v>1600</v>
      </c>
      <c r="I825" s="2" t="s">
        <v>12</v>
      </c>
      <c r="J825" s="2" t="s">
        <v>40</v>
      </c>
      <c r="K825" s="2" t="s">
        <v>2778</v>
      </c>
      <c r="L825" s="2" t="s">
        <v>55</v>
      </c>
      <c r="M825" s="2" t="s">
        <v>1322</v>
      </c>
      <c r="N825" s="2" t="s">
        <v>35</v>
      </c>
      <c r="O825" s="2" t="s">
        <v>1828</v>
      </c>
      <c r="P825" s="2" t="s">
        <v>35</v>
      </c>
      <c r="Q825" s="2" t="s">
        <v>35</v>
      </c>
    </row>
    <row r="826" spans="1:17" ht="115.2">
      <c r="A826" s="8" t="str">
        <f>HYPERLINK("http://sipi.sic.gov.co/sipi/View.ashx?4557147","SD2023/0001712")</f>
        <v>SD2023/0001712</v>
      </c>
      <c r="B826" s="2" t="s">
        <v>2781</v>
      </c>
      <c r="C826" s="2" t="s">
        <v>35</v>
      </c>
      <c r="D826" s="2" t="s">
        <v>2776</v>
      </c>
      <c r="E826" s="2" t="s">
        <v>35</v>
      </c>
      <c r="F826" s="2" t="s">
        <v>37</v>
      </c>
      <c r="G826" s="2" t="s">
        <v>2782</v>
      </c>
      <c r="H826" s="2" t="s">
        <v>1600</v>
      </c>
      <c r="I826" s="2" t="s">
        <v>12</v>
      </c>
      <c r="J826" s="2" t="s">
        <v>40</v>
      </c>
      <c r="K826" s="2" t="s">
        <v>2778</v>
      </c>
      <c r="L826" s="2" t="s">
        <v>42</v>
      </c>
      <c r="M826" s="2" t="s">
        <v>2783</v>
      </c>
      <c r="N826" s="2" t="s">
        <v>35</v>
      </c>
      <c r="O826" s="2" t="s">
        <v>1828</v>
      </c>
      <c r="P826" s="2" t="s">
        <v>35</v>
      </c>
      <c r="Q826" s="2" t="s">
        <v>35</v>
      </c>
    </row>
    <row r="827" spans="1:17" ht="409.6">
      <c r="A827" s="8" t="str">
        <f>HYPERLINK("http://sipi.sic.gov.co/sipi/View.ashx?4558710","SD2023/0002047")</f>
        <v>SD2023/0002047</v>
      </c>
      <c r="B827" s="2" t="s">
        <v>2784</v>
      </c>
      <c r="C827" s="7" t="s">
        <v>35</v>
      </c>
      <c r="D827" s="2" t="s">
        <v>2785</v>
      </c>
      <c r="E827" s="2" t="s">
        <v>35</v>
      </c>
      <c r="F827" s="2" t="s">
        <v>37</v>
      </c>
      <c r="G827" s="2" t="s">
        <v>2786</v>
      </c>
      <c r="H827" s="2" t="s">
        <v>2787</v>
      </c>
      <c r="I827" s="2" t="s">
        <v>61</v>
      </c>
      <c r="J827" s="2" t="s">
        <v>40</v>
      </c>
      <c r="K827" s="2" t="s">
        <v>2788</v>
      </c>
      <c r="L827" s="2" t="s">
        <v>42</v>
      </c>
      <c r="M827" s="2" t="s">
        <v>1037</v>
      </c>
      <c r="N827" s="2" t="s">
        <v>35</v>
      </c>
      <c r="O827" s="2" t="s">
        <v>1476</v>
      </c>
      <c r="P827" s="2" t="s">
        <v>35</v>
      </c>
      <c r="Q827" s="2" t="s">
        <v>35</v>
      </c>
    </row>
    <row r="828" spans="1:17" ht="115.2">
      <c r="A828" s="8" t="str">
        <f>HYPERLINK("http://sipi.sic.gov.co/sipi/View.ashx?4558993","SD2023/0002113")</f>
        <v>SD2023/0002113</v>
      </c>
      <c r="B828" s="2" t="s">
        <v>2789</v>
      </c>
      <c r="C828" s="2" t="s">
        <v>35</v>
      </c>
      <c r="D828" s="2" t="s">
        <v>2785</v>
      </c>
      <c r="E828" s="2" t="s">
        <v>35</v>
      </c>
      <c r="F828" s="2" t="s">
        <v>37</v>
      </c>
      <c r="G828" s="2" t="s">
        <v>2790</v>
      </c>
      <c r="H828" s="2" t="s">
        <v>1600</v>
      </c>
      <c r="I828" s="2" t="s">
        <v>12</v>
      </c>
      <c r="J828" s="2" t="s">
        <v>40</v>
      </c>
      <c r="K828" s="2" t="s">
        <v>2778</v>
      </c>
      <c r="L828" s="2" t="s">
        <v>42</v>
      </c>
      <c r="M828" s="2" t="s">
        <v>2783</v>
      </c>
      <c r="N828" s="2" t="s">
        <v>35</v>
      </c>
      <c r="O828" s="2" t="s">
        <v>1476</v>
      </c>
      <c r="P828" s="2" t="s">
        <v>35</v>
      </c>
      <c r="Q828" s="2" t="s">
        <v>35</v>
      </c>
    </row>
    <row r="829" spans="1:17" ht="115.2">
      <c r="A829" s="8" t="str">
        <f>HYPERLINK("http://sipi.sic.gov.co/sipi/View.ashx?4559008","SD2023/0002114")</f>
        <v>SD2023/0002114</v>
      </c>
      <c r="B829" s="2" t="s">
        <v>2791</v>
      </c>
      <c r="C829" s="2" t="s">
        <v>35</v>
      </c>
      <c r="D829" s="2" t="s">
        <v>2785</v>
      </c>
      <c r="E829" s="2" t="s">
        <v>35</v>
      </c>
      <c r="F829" s="2" t="s">
        <v>37</v>
      </c>
      <c r="G829" s="2" t="s">
        <v>2792</v>
      </c>
      <c r="H829" s="2" t="s">
        <v>1600</v>
      </c>
      <c r="I829" s="2" t="s">
        <v>12</v>
      </c>
      <c r="J829" s="2" t="s">
        <v>40</v>
      </c>
      <c r="K829" s="2" t="s">
        <v>2778</v>
      </c>
      <c r="L829" s="2" t="s">
        <v>42</v>
      </c>
      <c r="M829" s="2" t="s">
        <v>2783</v>
      </c>
      <c r="N829" s="2" t="s">
        <v>35</v>
      </c>
      <c r="O829" s="2" t="s">
        <v>1476</v>
      </c>
      <c r="P829" s="2" t="s">
        <v>35</v>
      </c>
      <c r="Q829" s="2" t="s">
        <v>35</v>
      </c>
    </row>
    <row r="830" spans="1:17" ht="115.2">
      <c r="A830" s="8" t="str">
        <f>HYPERLINK("http://sipi.sic.gov.co/sipi/View.ashx?4559018","SD2023/0002117")</f>
        <v>SD2023/0002117</v>
      </c>
      <c r="B830" s="2" t="s">
        <v>2793</v>
      </c>
      <c r="C830" s="2" t="s">
        <v>35</v>
      </c>
      <c r="D830" s="2" t="s">
        <v>2785</v>
      </c>
      <c r="E830" s="2" t="s">
        <v>35</v>
      </c>
      <c r="F830" s="2" t="s">
        <v>37</v>
      </c>
      <c r="G830" s="2" t="s">
        <v>2794</v>
      </c>
      <c r="H830" s="2" t="s">
        <v>1600</v>
      </c>
      <c r="I830" s="2" t="s">
        <v>12</v>
      </c>
      <c r="J830" s="2" t="s">
        <v>40</v>
      </c>
      <c r="K830" s="2" t="s">
        <v>2778</v>
      </c>
      <c r="L830" s="2" t="s">
        <v>42</v>
      </c>
      <c r="M830" s="2" t="s">
        <v>2783</v>
      </c>
      <c r="N830" s="2" t="s">
        <v>35</v>
      </c>
      <c r="O830" s="2" t="s">
        <v>1476</v>
      </c>
      <c r="P830" s="2" t="s">
        <v>35</v>
      </c>
      <c r="Q830" s="2" t="s">
        <v>35</v>
      </c>
    </row>
    <row r="831" spans="1:17" ht="100.8">
      <c r="A831" s="8" t="str">
        <f>HYPERLINK("http://sipi.sic.gov.co/sipi/View.ashx?4559033","SD2023/0002118")</f>
        <v>SD2023/0002118</v>
      </c>
      <c r="B831" s="2" t="s">
        <v>2795</v>
      </c>
      <c r="C831" s="2" t="s">
        <v>35</v>
      </c>
      <c r="D831" s="2" t="s">
        <v>2785</v>
      </c>
      <c r="E831" s="2" t="s">
        <v>35</v>
      </c>
      <c r="F831" s="2" t="s">
        <v>37</v>
      </c>
      <c r="G831" s="2" t="s">
        <v>2796</v>
      </c>
      <c r="H831" s="2" t="s">
        <v>1600</v>
      </c>
      <c r="I831" s="2" t="s">
        <v>12</v>
      </c>
      <c r="J831" s="2" t="s">
        <v>40</v>
      </c>
      <c r="K831" s="2" t="s">
        <v>2778</v>
      </c>
      <c r="L831" s="2" t="s">
        <v>42</v>
      </c>
      <c r="M831" s="2" t="s">
        <v>1322</v>
      </c>
      <c r="N831" s="2" t="s">
        <v>35</v>
      </c>
      <c r="O831" s="2" t="s">
        <v>1476</v>
      </c>
      <c r="P831" s="2" t="s">
        <v>35</v>
      </c>
      <c r="Q831" s="2" t="s">
        <v>35</v>
      </c>
    </row>
    <row r="832" spans="1:17" ht="115.2">
      <c r="A832" s="8" t="str">
        <f>HYPERLINK("http://sipi.sic.gov.co/sipi/View.ashx?4559054","SD2023/0002120")</f>
        <v>SD2023/0002120</v>
      </c>
      <c r="B832" s="2" t="s">
        <v>2797</v>
      </c>
      <c r="C832" s="2" t="s">
        <v>35</v>
      </c>
      <c r="D832" s="2" t="s">
        <v>2785</v>
      </c>
      <c r="E832" s="2" t="s">
        <v>35</v>
      </c>
      <c r="F832" s="2" t="s">
        <v>37</v>
      </c>
      <c r="G832" s="2" t="s">
        <v>2798</v>
      </c>
      <c r="H832" s="2" t="s">
        <v>1600</v>
      </c>
      <c r="I832" s="2" t="s">
        <v>12</v>
      </c>
      <c r="J832" s="2" t="s">
        <v>40</v>
      </c>
      <c r="K832" s="2" t="s">
        <v>2778</v>
      </c>
      <c r="L832" s="2" t="s">
        <v>42</v>
      </c>
      <c r="M832" s="2" t="s">
        <v>2783</v>
      </c>
      <c r="N832" s="2" t="s">
        <v>35</v>
      </c>
      <c r="O832" s="2" t="s">
        <v>1476</v>
      </c>
      <c r="P832" s="2" t="s">
        <v>35</v>
      </c>
      <c r="Q832" s="2" t="s">
        <v>35</v>
      </c>
    </row>
    <row r="833" spans="1:17" ht="244.8">
      <c r="A833" s="8" t="str">
        <f>HYPERLINK("http://sipi.sic.gov.co/sipi/View.ashx?4559366","SD2023/0002209")</f>
        <v>SD2023/0002209</v>
      </c>
      <c r="B833" s="2" t="s">
        <v>2799</v>
      </c>
      <c r="C833" s="2" t="s">
        <v>35</v>
      </c>
      <c r="D833" s="2" t="s">
        <v>2785</v>
      </c>
      <c r="E833" s="2" t="s">
        <v>35</v>
      </c>
      <c r="F833" s="2" t="s">
        <v>37</v>
      </c>
      <c r="G833" s="2" t="s">
        <v>2800</v>
      </c>
      <c r="H833" s="2" t="s">
        <v>2801</v>
      </c>
      <c r="I833" s="2" t="s">
        <v>444</v>
      </c>
      <c r="J833" s="2" t="s">
        <v>40</v>
      </c>
      <c r="K833" s="2" t="s">
        <v>2802</v>
      </c>
      <c r="L833" s="2" t="s">
        <v>42</v>
      </c>
      <c r="M833" s="2" t="s">
        <v>186</v>
      </c>
      <c r="N833" s="2" t="s">
        <v>35</v>
      </c>
      <c r="O833" s="2" t="s">
        <v>762</v>
      </c>
      <c r="P833" s="2" t="s">
        <v>35</v>
      </c>
      <c r="Q833" s="2" t="s">
        <v>35</v>
      </c>
    </row>
    <row r="834" spans="1:17" ht="244.8">
      <c r="A834" s="8" t="str">
        <f>HYPERLINK("http://sipi.sic.gov.co/sipi/View.ashx?4559455","SD2023/0002241")</f>
        <v>SD2023/0002241</v>
      </c>
      <c r="B834" s="2" t="s">
        <v>2803</v>
      </c>
      <c r="C834" s="2" t="s">
        <v>35</v>
      </c>
      <c r="D834" s="2" t="s">
        <v>2785</v>
      </c>
      <c r="E834" s="2" t="s">
        <v>35</v>
      </c>
      <c r="F834" s="2" t="s">
        <v>37</v>
      </c>
      <c r="G834" s="2" t="s">
        <v>2804</v>
      </c>
      <c r="H834" s="2" t="s">
        <v>2801</v>
      </c>
      <c r="I834" s="2" t="s">
        <v>444</v>
      </c>
      <c r="J834" s="2" t="s">
        <v>40</v>
      </c>
      <c r="K834" s="2" t="s">
        <v>2802</v>
      </c>
      <c r="L834" s="2" t="s">
        <v>42</v>
      </c>
      <c r="M834" s="2" t="s">
        <v>186</v>
      </c>
      <c r="N834" s="2" t="s">
        <v>35</v>
      </c>
      <c r="O834" s="2" t="s">
        <v>1733</v>
      </c>
      <c r="P834" s="2" t="s">
        <v>35</v>
      </c>
      <c r="Q834" s="2" t="s">
        <v>35</v>
      </c>
    </row>
    <row r="835" spans="1:17" ht="144">
      <c r="A835" s="8" t="str">
        <f>HYPERLINK("http://sipi.sic.gov.co/sipi/View.ashx?4561485","SD2023/0002644")</f>
        <v>SD2023/0002644</v>
      </c>
      <c r="B835" s="2" t="s">
        <v>2805</v>
      </c>
      <c r="C835" s="7" t="s">
        <v>35</v>
      </c>
      <c r="D835" s="2" t="s">
        <v>2771</v>
      </c>
      <c r="E835" s="2" t="s">
        <v>35</v>
      </c>
      <c r="F835" s="2" t="s">
        <v>37</v>
      </c>
      <c r="G835" s="2" t="s">
        <v>2806</v>
      </c>
      <c r="H835" s="2" t="s">
        <v>2807</v>
      </c>
      <c r="I835" s="2" t="s">
        <v>61</v>
      </c>
      <c r="J835" s="2" t="s">
        <v>40</v>
      </c>
      <c r="K835" s="2" t="s">
        <v>2808</v>
      </c>
      <c r="L835" s="2" t="s">
        <v>42</v>
      </c>
      <c r="M835" s="2" t="s">
        <v>2809</v>
      </c>
      <c r="N835" s="2" t="s">
        <v>35</v>
      </c>
      <c r="O835" s="2" t="s">
        <v>1476</v>
      </c>
      <c r="P835" s="2" t="s">
        <v>35</v>
      </c>
      <c r="Q835" s="2" t="s">
        <v>35</v>
      </c>
    </row>
    <row r="836" spans="1:17" ht="409.6">
      <c r="A836" s="8" t="str">
        <f>HYPERLINK("http://sipi.sic.gov.co/sipi/View.ashx?4567421","SD2023/0004305")</f>
        <v>SD2023/0004305</v>
      </c>
      <c r="B836" s="2" t="s">
        <v>2810</v>
      </c>
      <c r="C836" s="7" t="s">
        <v>35</v>
      </c>
      <c r="D836" s="2" t="s">
        <v>2811</v>
      </c>
      <c r="E836" s="2" t="s">
        <v>35</v>
      </c>
      <c r="F836" s="2" t="s">
        <v>37</v>
      </c>
      <c r="G836" s="2" t="s">
        <v>35</v>
      </c>
      <c r="H836" s="2" t="s">
        <v>2812</v>
      </c>
      <c r="I836" s="2" t="s">
        <v>12</v>
      </c>
      <c r="J836" s="2" t="s">
        <v>40</v>
      </c>
      <c r="K836" s="2" t="s">
        <v>2363</v>
      </c>
      <c r="L836" s="2" t="s">
        <v>42</v>
      </c>
      <c r="M836" s="2" t="s">
        <v>2813</v>
      </c>
      <c r="N836" s="2" t="s">
        <v>35</v>
      </c>
      <c r="O836" s="2" t="s">
        <v>1476</v>
      </c>
      <c r="P836" s="2" t="s">
        <v>35</v>
      </c>
      <c r="Q836" s="2" t="s">
        <v>35</v>
      </c>
    </row>
    <row r="837" spans="1:17" ht="57.6">
      <c r="A837" s="8" t="str">
        <f>HYPERLINK("http://sipi.sic.gov.co/sipi/View.ashx?4569323","SD2023/0004832")</f>
        <v>SD2023/0004832</v>
      </c>
      <c r="B837" s="2" t="s">
        <v>2814</v>
      </c>
      <c r="C837" s="2" t="s">
        <v>35</v>
      </c>
      <c r="D837" s="2" t="s">
        <v>2815</v>
      </c>
      <c r="E837" s="2" t="s">
        <v>35</v>
      </c>
      <c r="F837" s="2" t="s">
        <v>37</v>
      </c>
      <c r="G837" s="2" t="s">
        <v>35</v>
      </c>
      <c r="H837" s="2" t="s">
        <v>2816</v>
      </c>
      <c r="I837" s="2" t="s">
        <v>12</v>
      </c>
      <c r="J837" s="2" t="s">
        <v>40</v>
      </c>
      <c r="K837" s="2" t="s">
        <v>809</v>
      </c>
      <c r="L837" s="2" t="s">
        <v>42</v>
      </c>
      <c r="M837" s="2" t="s">
        <v>35</v>
      </c>
      <c r="N837" s="2" t="s">
        <v>35</v>
      </c>
      <c r="O837" s="2" t="s">
        <v>2292</v>
      </c>
      <c r="P837" s="2" t="s">
        <v>35</v>
      </c>
      <c r="Q837" s="2" t="s">
        <v>35</v>
      </c>
    </row>
    <row r="838" spans="1:17" ht="129.6">
      <c r="A838" s="8" t="str">
        <f>HYPERLINK("http://sipi.sic.gov.co/sipi/View.ashx?4571089","SD2023/0005264")</f>
        <v>SD2023/0005264</v>
      </c>
      <c r="B838" s="2" t="s">
        <v>2817</v>
      </c>
      <c r="C838" s="2" t="s">
        <v>35</v>
      </c>
      <c r="D838" s="2" t="s">
        <v>2818</v>
      </c>
      <c r="E838" s="2" t="s">
        <v>35</v>
      </c>
      <c r="F838" s="2" t="s">
        <v>37</v>
      </c>
      <c r="G838" s="2" t="s">
        <v>2819</v>
      </c>
      <c r="H838" s="2" t="s">
        <v>2820</v>
      </c>
      <c r="I838" s="2" t="s">
        <v>805</v>
      </c>
      <c r="J838" s="2" t="s">
        <v>40</v>
      </c>
      <c r="K838" s="2" t="s">
        <v>2821</v>
      </c>
      <c r="L838" s="2" t="s">
        <v>42</v>
      </c>
      <c r="M838" s="2" t="s">
        <v>417</v>
      </c>
      <c r="N838" s="2" t="s">
        <v>35</v>
      </c>
      <c r="O838" s="2" t="s">
        <v>1733</v>
      </c>
      <c r="P838" s="2" t="s">
        <v>35</v>
      </c>
      <c r="Q838" s="2" t="s">
        <v>35</v>
      </c>
    </row>
    <row r="839" spans="1:17" ht="72">
      <c r="A839" s="8" t="str">
        <f>HYPERLINK("http://sipi.sic.gov.co/sipi/View.ashx?4574036","SD2023/0006006")</f>
        <v>SD2023/0006006</v>
      </c>
      <c r="B839" s="2" t="s">
        <v>2822</v>
      </c>
      <c r="C839" s="2" t="s">
        <v>35</v>
      </c>
      <c r="D839" s="2" t="s">
        <v>2823</v>
      </c>
      <c r="E839" s="2" t="s">
        <v>35</v>
      </c>
      <c r="F839" s="2" t="s">
        <v>37</v>
      </c>
      <c r="G839" s="2" t="s">
        <v>2822</v>
      </c>
      <c r="H839" s="2" t="s">
        <v>2824</v>
      </c>
      <c r="I839" s="2" t="s">
        <v>12</v>
      </c>
      <c r="J839" s="2" t="s">
        <v>40</v>
      </c>
      <c r="K839" s="2" t="s">
        <v>2825</v>
      </c>
      <c r="L839" s="2" t="s">
        <v>42</v>
      </c>
      <c r="M839" s="2" t="s">
        <v>35</v>
      </c>
      <c r="N839" s="2" t="s">
        <v>35</v>
      </c>
      <c r="O839" s="2" t="s">
        <v>2149</v>
      </c>
      <c r="P839" s="2" t="s">
        <v>35</v>
      </c>
      <c r="Q839" s="2" t="s">
        <v>35</v>
      </c>
    </row>
    <row r="840" spans="1:17" ht="409.6">
      <c r="A840" s="8" t="str">
        <f>HYPERLINK("http://sipi.sic.gov.co/sipi/View.ashx?4575150","SD2023/0006356")</f>
        <v>SD2023/0006356</v>
      </c>
      <c r="B840" s="2" t="s">
        <v>2826</v>
      </c>
      <c r="C840" s="7" t="s">
        <v>35</v>
      </c>
      <c r="D840" s="2" t="s">
        <v>2827</v>
      </c>
      <c r="E840" s="2" t="s">
        <v>35</v>
      </c>
      <c r="F840" s="2" t="s">
        <v>37</v>
      </c>
      <c r="G840" s="2" t="s">
        <v>2828</v>
      </c>
      <c r="H840" s="2" t="s">
        <v>2829</v>
      </c>
      <c r="I840" s="2" t="s">
        <v>71</v>
      </c>
      <c r="J840" s="2" t="s">
        <v>40</v>
      </c>
      <c r="K840" s="2" t="s">
        <v>2830</v>
      </c>
      <c r="L840" s="2" t="s">
        <v>42</v>
      </c>
      <c r="M840" s="2" t="s">
        <v>35</v>
      </c>
      <c r="N840" s="2" t="s">
        <v>35</v>
      </c>
      <c r="O840" s="2" t="s">
        <v>2473</v>
      </c>
      <c r="P840" s="2" t="s">
        <v>35</v>
      </c>
      <c r="Q840" s="2" t="s">
        <v>35</v>
      </c>
    </row>
    <row r="841" spans="1:17" ht="100.8">
      <c r="A841" s="8" t="str">
        <f>HYPERLINK("http://sipi.sic.gov.co/sipi/View.ashx?4576596","SD2023/0008567")</f>
        <v>SD2023/0008567</v>
      </c>
      <c r="B841" s="2" t="s">
        <v>2831</v>
      </c>
      <c r="C841" s="7" t="s">
        <v>35</v>
      </c>
      <c r="D841" s="2" t="s">
        <v>1424</v>
      </c>
      <c r="E841" s="2" t="s">
        <v>35</v>
      </c>
      <c r="F841" s="2" t="s">
        <v>37</v>
      </c>
      <c r="G841" s="2" t="s">
        <v>2832</v>
      </c>
      <c r="H841" s="2" t="s">
        <v>2833</v>
      </c>
      <c r="I841" s="2" t="s">
        <v>12</v>
      </c>
      <c r="J841" s="2" t="s">
        <v>40</v>
      </c>
      <c r="K841" s="2" t="s">
        <v>2834</v>
      </c>
      <c r="L841" s="2" t="s">
        <v>42</v>
      </c>
      <c r="M841" s="2" t="s">
        <v>35</v>
      </c>
      <c r="N841" s="2" t="s">
        <v>35</v>
      </c>
      <c r="O841" s="2" t="s">
        <v>2835</v>
      </c>
      <c r="P841" s="2" t="s">
        <v>35</v>
      </c>
      <c r="Q841" s="2" t="s">
        <v>35</v>
      </c>
    </row>
    <row r="842" spans="1:17" ht="115.2">
      <c r="A842" s="8" t="str">
        <f>HYPERLINK("http://sipi.sic.gov.co/sipi/View.ashx?4578075","SD2023/0007207")</f>
        <v>SD2023/0007207</v>
      </c>
      <c r="B842" s="2" t="s">
        <v>2836</v>
      </c>
      <c r="C842" s="2" t="s">
        <v>35</v>
      </c>
      <c r="D842" s="2" t="s">
        <v>2837</v>
      </c>
      <c r="E842" s="2" t="s">
        <v>35</v>
      </c>
      <c r="F842" s="2" t="s">
        <v>37</v>
      </c>
      <c r="G842" s="2" t="s">
        <v>2836</v>
      </c>
      <c r="H842" s="2" t="s">
        <v>2838</v>
      </c>
      <c r="I842" s="2" t="s">
        <v>12</v>
      </c>
      <c r="J842" s="2" t="s">
        <v>40</v>
      </c>
      <c r="K842" s="2" t="s">
        <v>2839</v>
      </c>
      <c r="L842" s="2" t="s">
        <v>55</v>
      </c>
      <c r="M842" s="2" t="s">
        <v>2840</v>
      </c>
      <c r="N842" s="2" t="s">
        <v>35</v>
      </c>
      <c r="O842" s="2" t="s">
        <v>762</v>
      </c>
      <c r="P842" s="2" t="s">
        <v>35</v>
      </c>
      <c r="Q842" s="2" t="s">
        <v>35</v>
      </c>
    </row>
    <row r="843" spans="1:17" ht="115.2">
      <c r="A843" s="8" t="str">
        <f>HYPERLINK("http://sipi.sic.gov.co/sipi/View.ashx?4578102","SD2023/0007214")</f>
        <v>SD2023/0007214</v>
      </c>
      <c r="B843" s="2" t="s">
        <v>2841</v>
      </c>
      <c r="C843" s="2" t="s">
        <v>35</v>
      </c>
      <c r="D843" s="2" t="s">
        <v>2837</v>
      </c>
      <c r="E843" s="2" t="s">
        <v>35</v>
      </c>
      <c r="F843" s="2" t="s">
        <v>37</v>
      </c>
      <c r="G843" s="2" t="s">
        <v>2841</v>
      </c>
      <c r="H843" s="2" t="s">
        <v>2838</v>
      </c>
      <c r="I843" s="2" t="s">
        <v>12</v>
      </c>
      <c r="J843" s="2" t="s">
        <v>40</v>
      </c>
      <c r="K843" s="2" t="s">
        <v>2839</v>
      </c>
      <c r="L843" s="2" t="s">
        <v>55</v>
      </c>
      <c r="M843" s="2" t="s">
        <v>2840</v>
      </c>
      <c r="N843" s="2" t="s">
        <v>35</v>
      </c>
      <c r="O843" s="2" t="s">
        <v>762</v>
      </c>
      <c r="P843" s="2" t="s">
        <v>35</v>
      </c>
      <c r="Q843" s="2" t="s">
        <v>35</v>
      </c>
    </row>
    <row r="844" spans="1:17" ht="115.2">
      <c r="A844" s="8" t="str">
        <f>HYPERLINK("http://sipi.sic.gov.co/sipi/View.ashx?4578310","SD2023/0007288")</f>
        <v>SD2023/0007288</v>
      </c>
      <c r="B844" s="2" t="s">
        <v>2842</v>
      </c>
      <c r="C844" s="7" t="s">
        <v>35</v>
      </c>
      <c r="D844" s="2" t="s">
        <v>2837</v>
      </c>
      <c r="E844" s="2" t="s">
        <v>35</v>
      </c>
      <c r="F844" s="2" t="s">
        <v>37</v>
      </c>
      <c r="G844" s="2" t="s">
        <v>2842</v>
      </c>
      <c r="H844" s="2" t="s">
        <v>2843</v>
      </c>
      <c r="I844" s="2" t="s">
        <v>12</v>
      </c>
      <c r="J844" s="2" t="s">
        <v>40</v>
      </c>
      <c r="K844" s="2" t="s">
        <v>41</v>
      </c>
      <c r="L844" s="2" t="s">
        <v>55</v>
      </c>
      <c r="M844" s="2" t="s">
        <v>2844</v>
      </c>
      <c r="N844" s="2" t="s">
        <v>35</v>
      </c>
      <c r="O844" s="2" t="s">
        <v>2292</v>
      </c>
      <c r="P844" s="2" t="s">
        <v>35</v>
      </c>
      <c r="Q844" s="2" t="s">
        <v>35</v>
      </c>
    </row>
    <row r="845" spans="1:17" ht="187.2">
      <c r="A845" s="8" t="str">
        <f>HYPERLINK("http://sipi.sic.gov.co/sipi/View.ashx?4583118","SD2023/0008498")</f>
        <v>SD2023/0008498</v>
      </c>
      <c r="B845" s="2" t="s">
        <v>2845</v>
      </c>
      <c r="C845" s="7" t="s">
        <v>35</v>
      </c>
      <c r="D845" s="2" t="s">
        <v>1424</v>
      </c>
      <c r="E845" s="2" t="s">
        <v>35</v>
      </c>
      <c r="F845" s="2" t="s">
        <v>37</v>
      </c>
      <c r="G845" s="2" t="s">
        <v>2845</v>
      </c>
      <c r="H845" s="2" t="s">
        <v>2846</v>
      </c>
      <c r="I845" s="2" t="s">
        <v>12</v>
      </c>
      <c r="J845" s="2" t="s">
        <v>40</v>
      </c>
      <c r="K845" s="2" t="s">
        <v>2847</v>
      </c>
      <c r="L845" s="2" t="s">
        <v>42</v>
      </c>
      <c r="M845" s="2" t="s">
        <v>2848</v>
      </c>
      <c r="N845" s="2" t="s">
        <v>35</v>
      </c>
      <c r="O845" s="2" t="s">
        <v>1409</v>
      </c>
      <c r="P845" s="2" t="s">
        <v>35</v>
      </c>
      <c r="Q845" s="2" t="s">
        <v>35</v>
      </c>
    </row>
    <row r="846" spans="1:17" ht="100.8">
      <c r="A846" s="8" t="str">
        <f>HYPERLINK("http://sipi.sic.gov.co/sipi/View.ashx?4586041","SD2023/0009172")</f>
        <v>SD2023/0009172</v>
      </c>
      <c r="B846" s="2" t="s">
        <v>2849</v>
      </c>
      <c r="C846" s="7" t="s">
        <v>35</v>
      </c>
      <c r="D846" s="2" t="s">
        <v>2850</v>
      </c>
      <c r="E846" s="2" t="s">
        <v>35</v>
      </c>
      <c r="F846" s="2" t="s">
        <v>37</v>
      </c>
      <c r="G846" s="2" t="s">
        <v>2851</v>
      </c>
      <c r="H846" s="2" t="s">
        <v>2852</v>
      </c>
      <c r="I846" s="2" t="s">
        <v>12</v>
      </c>
      <c r="J846" s="2" t="s">
        <v>40</v>
      </c>
      <c r="K846" s="2" t="s">
        <v>2853</v>
      </c>
      <c r="L846" s="2" t="s">
        <v>42</v>
      </c>
      <c r="M846" s="2" t="s">
        <v>440</v>
      </c>
      <c r="N846" s="2" t="s">
        <v>35</v>
      </c>
      <c r="O846" s="2" t="s">
        <v>762</v>
      </c>
      <c r="P846" s="2" t="s">
        <v>35</v>
      </c>
      <c r="Q846" s="2" t="s">
        <v>35</v>
      </c>
    </row>
    <row r="847" spans="1:17" ht="144">
      <c r="A847" s="8" t="str">
        <f>HYPERLINK("http://sipi.sic.gov.co/sipi/View.ashx?4586166","SD2023/0011447")</f>
        <v>SD2023/0011447</v>
      </c>
      <c r="B847" s="2" t="s">
        <v>2854</v>
      </c>
      <c r="C847" s="2" t="s">
        <v>35</v>
      </c>
      <c r="D847" s="2" t="s">
        <v>2855</v>
      </c>
      <c r="E847" s="2" t="s">
        <v>35</v>
      </c>
      <c r="F847" s="2" t="s">
        <v>37</v>
      </c>
      <c r="G847" s="2" t="s">
        <v>2856</v>
      </c>
      <c r="H847" s="2" t="s">
        <v>2857</v>
      </c>
      <c r="I847" s="2" t="s">
        <v>12</v>
      </c>
      <c r="J847" s="2" t="s">
        <v>40</v>
      </c>
      <c r="K847" s="2" t="s">
        <v>2858</v>
      </c>
      <c r="L847" s="2" t="s">
        <v>42</v>
      </c>
      <c r="M847" s="2" t="s">
        <v>838</v>
      </c>
      <c r="N847" s="2" t="s">
        <v>35</v>
      </c>
      <c r="O847" s="2" t="s">
        <v>1303</v>
      </c>
      <c r="P847" s="2" t="s">
        <v>35</v>
      </c>
      <c r="Q847" s="2" t="s">
        <v>35</v>
      </c>
    </row>
    <row r="848" spans="1:17" ht="100.8">
      <c r="A848" s="8" t="str">
        <f>HYPERLINK("http://sipi.sic.gov.co/sipi/View.ashx?4587145","SD2023/0009168")</f>
        <v>SD2023/0009168</v>
      </c>
      <c r="B848" s="2" t="s">
        <v>2859</v>
      </c>
      <c r="C848" s="7" t="s">
        <v>35</v>
      </c>
      <c r="D848" s="2" t="s">
        <v>2850</v>
      </c>
      <c r="E848" s="2" t="s">
        <v>35</v>
      </c>
      <c r="F848" s="2" t="s">
        <v>37</v>
      </c>
      <c r="G848" s="2" t="s">
        <v>2860</v>
      </c>
      <c r="H848" s="2" t="s">
        <v>2852</v>
      </c>
      <c r="I848" s="2" t="s">
        <v>12</v>
      </c>
      <c r="J848" s="2" t="s">
        <v>40</v>
      </c>
      <c r="K848" s="2" t="s">
        <v>2853</v>
      </c>
      <c r="L848" s="2" t="s">
        <v>42</v>
      </c>
      <c r="M848" s="2" t="s">
        <v>440</v>
      </c>
      <c r="N848" s="2" t="s">
        <v>35</v>
      </c>
      <c r="O848" s="2" t="s">
        <v>2346</v>
      </c>
      <c r="P848" s="2" t="s">
        <v>35</v>
      </c>
      <c r="Q848" s="2" t="s">
        <v>35</v>
      </c>
    </row>
    <row r="849" spans="1:17" ht="144">
      <c r="A849" s="8" t="str">
        <f>HYPERLINK("http://sipi.sic.gov.co/sipi/View.ashx?4590256","SD2023/0010335")</f>
        <v>SD2023/0010335</v>
      </c>
      <c r="B849" s="2" t="s">
        <v>2861</v>
      </c>
      <c r="C849" s="7" t="s">
        <v>35</v>
      </c>
      <c r="D849" s="2" t="s">
        <v>2862</v>
      </c>
      <c r="E849" s="2" t="s">
        <v>35</v>
      </c>
      <c r="F849" s="2" t="s">
        <v>37</v>
      </c>
      <c r="G849" s="2" t="s">
        <v>2863</v>
      </c>
      <c r="H849" s="2" t="s">
        <v>2864</v>
      </c>
      <c r="I849" s="2" t="s">
        <v>250</v>
      </c>
      <c r="J849" s="2" t="s">
        <v>40</v>
      </c>
      <c r="K849" s="2" t="s">
        <v>2865</v>
      </c>
      <c r="L849" s="2" t="s">
        <v>55</v>
      </c>
      <c r="M849" s="2" t="s">
        <v>2866</v>
      </c>
      <c r="N849" s="2" t="s">
        <v>35</v>
      </c>
      <c r="O849" s="2" t="s">
        <v>2006</v>
      </c>
      <c r="P849" s="2" t="s">
        <v>35</v>
      </c>
      <c r="Q849" s="2" t="s">
        <v>35</v>
      </c>
    </row>
    <row r="850" spans="1:17" ht="144">
      <c r="A850" s="8" t="str">
        <f>HYPERLINK("http://sipi.sic.gov.co/sipi/View.ashx?4590404","SD2023/0012387")</f>
        <v>SD2023/0012387</v>
      </c>
      <c r="B850" s="2" t="s">
        <v>2867</v>
      </c>
      <c r="C850" s="2" t="s">
        <v>35</v>
      </c>
      <c r="D850" s="2" t="s">
        <v>2868</v>
      </c>
      <c r="E850" s="2" t="s">
        <v>35</v>
      </c>
      <c r="F850" s="2" t="s">
        <v>37</v>
      </c>
      <c r="G850" s="2" t="s">
        <v>2867</v>
      </c>
      <c r="H850" s="2" t="s">
        <v>2869</v>
      </c>
      <c r="I850" s="2" t="s">
        <v>12</v>
      </c>
      <c r="J850" s="2" t="s">
        <v>40</v>
      </c>
      <c r="K850" s="2" t="s">
        <v>2870</v>
      </c>
      <c r="L850" s="2" t="s">
        <v>55</v>
      </c>
      <c r="M850" s="2" t="s">
        <v>2871</v>
      </c>
      <c r="N850" s="2" t="s">
        <v>35</v>
      </c>
      <c r="O850" s="2" t="s">
        <v>2346</v>
      </c>
      <c r="P850" s="2" t="s">
        <v>35</v>
      </c>
      <c r="Q850" s="2" t="s">
        <v>35</v>
      </c>
    </row>
    <row r="851" spans="1:17" ht="115.2">
      <c r="A851" s="8" t="str">
        <f>HYPERLINK("http://sipi.sic.gov.co/sipi/View.ashx?4591212","SD2023/0010243")</f>
        <v>SD2023/0010243</v>
      </c>
      <c r="B851" s="2" t="s">
        <v>2872</v>
      </c>
      <c r="C851" s="7" t="s">
        <v>35</v>
      </c>
      <c r="D851" s="2" t="s">
        <v>2862</v>
      </c>
      <c r="E851" s="2" t="s">
        <v>35</v>
      </c>
      <c r="F851" s="2" t="s">
        <v>37</v>
      </c>
      <c r="G851" s="2" t="s">
        <v>2873</v>
      </c>
      <c r="H851" s="2" t="s">
        <v>2874</v>
      </c>
      <c r="I851" s="2" t="s">
        <v>12</v>
      </c>
      <c r="J851" s="2" t="s">
        <v>40</v>
      </c>
      <c r="K851" s="2" t="s">
        <v>2224</v>
      </c>
      <c r="L851" s="2" t="s">
        <v>42</v>
      </c>
      <c r="M851" s="2" t="s">
        <v>168</v>
      </c>
      <c r="N851" s="2" t="s">
        <v>35</v>
      </c>
      <c r="O851" s="2" t="s">
        <v>2346</v>
      </c>
      <c r="P851" s="2" t="s">
        <v>35</v>
      </c>
      <c r="Q851" s="2" t="s">
        <v>35</v>
      </c>
    </row>
    <row r="852" spans="1:17" ht="187.2">
      <c r="A852" s="8" t="str">
        <f>HYPERLINK("http://sipi.sic.gov.co/sipi/View.ashx?4591896","SD2023/0013828")</f>
        <v>SD2023/0013828</v>
      </c>
      <c r="B852" s="2" t="s">
        <v>2875</v>
      </c>
      <c r="C852" s="7" t="s">
        <v>35</v>
      </c>
      <c r="D852" s="2" t="s">
        <v>2876</v>
      </c>
      <c r="E852" s="2" t="s">
        <v>35</v>
      </c>
      <c r="F852" s="2" t="s">
        <v>37</v>
      </c>
      <c r="G852" s="2" t="s">
        <v>35</v>
      </c>
      <c r="H852" s="2" t="s">
        <v>279</v>
      </c>
      <c r="I852" s="2" t="s">
        <v>12</v>
      </c>
      <c r="J852" s="2" t="s">
        <v>40</v>
      </c>
      <c r="K852" s="2" t="s">
        <v>2877</v>
      </c>
      <c r="L852" s="2" t="s">
        <v>42</v>
      </c>
      <c r="M852" s="2" t="s">
        <v>281</v>
      </c>
      <c r="N852" s="2" t="s">
        <v>35</v>
      </c>
      <c r="O852" s="2" t="s">
        <v>2089</v>
      </c>
      <c r="P852" s="2" t="s">
        <v>35</v>
      </c>
      <c r="Q852" s="2" t="s">
        <v>35</v>
      </c>
    </row>
    <row r="853" spans="1:17" ht="100.8">
      <c r="A853" s="8" t="str">
        <f>HYPERLINK("http://sipi.sic.gov.co/sipi/View.ashx?4593621","SD2023/0010875")</f>
        <v>SD2023/0010875</v>
      </c>
      <c r="B853" s="2" t="s">
        <v>2878</v>
      </c>
      <c r="C853" s="2" t="s">
        <v>35</v>
      </c>
      <c r="D853" s="2" t="s">
        <v>2879</v>
      </c>
      <c r="E853" s="2" t="s">
        <v>35</v>
      </c>
      <c r="F853" s="2" t="s">
        <v>37</v>
      </c>
      <c r="G853" s="2" t="s">
        <v>2878</v>
      </c>
      <c r="H853" s="2" t="s">
        <v>2880</v>
      </c>
      <c r="I853" s="2" t="s">
        <v>12</v>
      </c>
      <c r="J853" s="2" t="s">
        <v>40</v>
      </c>
      <c r="K853" s="2" t="s">
        <v>2881</v>
      </c>
      <c r="L853" s="2" t="s">
        <v>42</v>
      </c>
      <c r="M853" s="2" t="s">
        <v>471</v>
      </c>
      <c r="N853" s="2" t="s">
        <v>35</v>
      </c>
      <c r="O853" s="2" t="s">
        <v>762</v>
      </c>
      <c r="P853" s="2" t="s">
        <v>35</v>
      </c>
      <c r="Q853" s="2" t="s">
        <v>35</v>
      </c>
    </row>
    <row r="854" spans="1:17" ht="187.2">
      <c r="A854" s="8" t="str">
        <f>HYPERLINK("http://sipi.sic.gov.co/sipi/View.ashx?4593979","SD2023/0011112")</f>
        <v>SD2023/0011112</v>
      </c>
      <c r="B854" s="2" t="s">
        <v>2882</v>
      </c>
      <c r="C854" s="7" t="s">
        <v>35</v>
      </c>
      <c r="D854" s="2" t="s">
        <v>2879</v>
      </c>
      <c r="E854" s="2" t="s">
        <v>35</v>
      </c>
      <c r="F854" s="2" t="s">
        <v>37</v>
      </c>
      <c r="G854" s="2" t="s">
        <v>2883</v>
      </c>
      <c r="H854" s="2" t="s">
        <v>1275</v>
      </c>
      <c r="I854" s="2" t="s">
        <v>12</v>
      </c>
      <c r="J854" s="2" t="s">
        <v>40</v>
      </c>
      <c r="K854" s="2" t="s">
        <v>1276</v>
      </c>
      <c r="L854" s="2" t="s">
        <v>42</v>
      </c>
      <c r="M854" s="2" t="s">
        <v>1277</v>
      </c>
      <c r="N854" s="2" t="s">
        <v>35</v>
      </c>
      <c r="O854" s="2" t="s">
        <v>2041</v>
      </c>
      <c r="P854" s="2" t="s">
        <v>35</v>
      </c>
      <c r="Q854" s="2" t="s">
        <v>35</v>
      </c>
    </row>
    <row r="855" spans="1:17" ht="244.8">
      <c r="A855" s="8" t="str">
        <f>HYPERLINK("http://sipi.sic.gov.co/sipi/View.ashx?4595037","SD2023/0011229")</f>
        <v>SD2023/0011229</v>
      </c>
      <c r="B855" s="2" t="s">
        <v>2884</v>
      </c>
      <c r="C855" s="2" t="s">
        <v>35</v>
      </c>
      <c r="D855" s="2" t="s">
        <v>2855</v>
      </c>
      <c r="E855" s="2" t="s">
        <v>35</v>
      </c>
      <c r="F855" s="2" t="s">
        <v>37</v>
      </c>
      <c r="G855" s="2" t="s">
        <v>2885</v>
      </c>
      <c r="H855" s="2" t="s">
        <v>2886</v>
      </c>
      <c r="I855" s="2" t="s">
        <v>12</v>
      </c>
      <c r="J855" s="2" t="s">
        <v>40</v>
      </c>
      <c r="K855" s="2" t="s">
        <v>2887</v>
      </c>
      <c r="L855" s="2" t="s">
        <v>55</v>
      </c>
      <c r="M855" s="2" t="s">
        <v>2888</v>
      </c>
      <c r="N855" s="2" t="s">
        <v>35</v>
      </c>
      <c r="O855" s="2" t="s">
        <v>1303</v>
      </c>
      <c r="P855" s="2" t="s">
        <v>35</v>
      </c>
      <c r="Q855" s="2" t="s">
        <v>35</v>
      </c>
    </row>
    <row r="856" spans="1:17" ht="187.2">
      <c r="A856" s="8" t="str">
        <f>HYPERLINK("http://sipi.sic.gov.co/sipi/View.ashx?4595250","SD2023/0011267")</f>
        <v>SD2023/0011267</v>
      </c>
      <c r="B856" s="2" t="s">
        <v>2889</v>
      </c>
      <c r="C856" s="2" t="s">
        <v>35</v>
      </c>
      <c r="D856" s="2" t="s">
        <v>2855</v>
      </c>
      <c r="E856" s="2" t="s">
        <v>35</v>
      </c>
      <c r="F856" s="2" t="s">
        <v>37</v>
      </c>
      <c r="G856" s="2" t="s">
        <v>2890</v>
      </c>
      <c r="H856" s="2" t="s">
        <v>2886</v>
      </c>
      <c r="I856" s="2" t="s">
        <v>12</v>
      </c>
      <c r="J856" s="2" t="s">
        <v>40</v>
      </c>
      <c r="K856" s="2" t="s">
        <v>2891</v>
      </c>
      <c r="L856" s="2" t="s">
        <v>42</v>
      </c>
      <c r="M856" s="2" t="s">
        <v>2888</v>
      </c>
      <c r="N856" s="2" t="s">
        <v>35</v>
      </c>
      <c r="O856" s="2" t="s">
        <v>1303</v>
      </c>
      <c r="P856" s="2" t="s">
        <v>35</v>
      </c>
      <c r="Q856" s="2" t="s">
        <v>35</v>
      </c>
    </row>
    <row r="857" spans="1:17" ht="129.6">
      <c r="A857" s="8" t="str">
        <f>HYPERLINK("http://sipi.sic.gov.co/sipi/View.ashx?4595589","SD2023/0011324")</f>
        <v>SD2023/0011324</v>
      </c>
      <c r="B857" s="2" t="s">
        <v>2892</v>
      </c>
      <c r="C857" s="2" t="s">
        <v>35</v>
      </c>
      <c r="D857" s="2" t="s">
        <v>2855</v>
      </c>
      <c r="E857" s="2" t="s">
        <v>35</v>
      </c>
      <c r="F857" s="2" t="s">
        <v>37</v>
      </c>
      <c r="G857" s="2" t="s">
        <v>35</v>
      </c>
      <c r="H857" s="2" t="s">
        <v>1478</v>
      </c>
      <c r="I857" s="2" t="s">
        <v>12</v>
      </c>
      <c r="J857" s="2" t="s">
        <v>40</v>
      </c>
      <c r="K857" s="2" t="s">
        <v>785</v>
      </c>
      <c r="L857" s="2" t="s">
        <v>42</v>
      </c>
      <c r="M857" s="2" t="s">
        <v>371</v>
      </c>
      <c r="N857" s="2" t="s">
        <v>35</v>
      </c>
      <c r="O857" s="2" t="s">
        <v>762</v>
      </c>
      <c r="P857" s="2" t="s">
        <v>35</v>
      </c>
      <c r="Q857" s="2" t="s">
        <v>35</v>
      </c>
    </row>
    <row r="858" spans="1:17" ht="129.6">
      <c r="A858" s="8" t="str">
        <f>HYPERLINK("http://sipi.sic.gov.co/sipi/View.ashx?4595668","SD2023/0013891")</f>
        <v>SD2023/0013891</v>
      </c>
      <c r="B858" s="2" t="s">
        <v>2893</v>
      </c>
      <c r="C858" s="7" t="s">
        <v>35</v>
      </c>
      <c r="D858" s="2" t="s">
        <v>2876</v>
      </c>
      <c r="E858" s="2" t="s">
        <v>35</v>
      </c>
      <c r="F858" s="2" t="s">
        <v>37</v>
      </c>
      <c r="G858" s="2" t="s">
        <v>2894</v>
      </c>
      <c r="H858" s="2" t="s">
        <v>2895</v>
      </c>
      <c r="I858" s="2" t="s">
        <v>61</v>
      </c>
      <c r="J858" s="2" t="s">
        <v>40</v>
      </c>
      <c r="K858" s="2" t="s">
        <v>2896</v>
      </c>
      <c r="L858" s="2" t="s">
        <v>42</v>
      </c>
      <c r="M858" s="2" t="s">
        <v>2897</v>
      </c>
      <c r="N858" s="2" t="s">
        <v>35</v>
      </c>
      <c r="O858" s="2" t="s">
        <v>2175</v>
      </c>
      <c r="P858" s="2" t="s">
        <v>35</v>
      </c>
      <c r="Q858" s="2" t="s">
        <v>35</v>
      </c>
    </row>
    <row r="859" spans="1:17" ht="187.2">
      <c r="A859" s="8" t="str">
        <f>HYPERLINK("http://sipi.sic.gov.co/sipi/View.ashx?4595815","SD2023/0011369")</f>
        <v>SD2023/0011369</v>
      </c>
      <c r="B859" s="2" t="s">
        <v>2898</v>
      </c>
      <c r="C859" s="2" t="s">
        <v>35</v>
      </c>
      <c r="D859" s="2" t="s">
        <v>2855</v>
      </c>
      <c r="E859" s="2" t="s">
        <v>35</v>
      </c>
      <c r="F859" s="2" t="s">
        <v>37</v>
      </c>
      <c r="G859" s="2" t="s">
        <v>2899</v>
      </c>
      <c r="H859" s="2" t="s">
        <v>1762</v>
      </c>
      <c r="I859" s="2" t="s">
        <v>12</v>
      </c>
      <c r="J859" s="2" t="s">
        <v>40</v>
      </c>
      <c r="K859" s="2" t="s">
        <v>1763</v>
      </c>
      <c r="L859" s="2" t="s">
        <v>42</v>
      </c>
      <c r="M859" s="2" t="s">
        <v>252</v>
      </c>
      <c r="N859" s="2" t="s">
        <v>35</v>
      </c>
      <c r="O859" s="2" t="s">
        <v>1691</v>
      </c>
      <c r="P859" s="2" t="s">
        <v>35</v>
      </c>
      <c r="Q859" s="2" t="s">
        <v>35</v>
      </c>
    </row>
    <row r="860" spans="1:17" ht="187.2">
      <c r="A860" s="8" t="str">
        <f>HYPERLINK("http://sipi.sic.gov.co/sipi/View.ashx?4595894","SD2023/0011391")</f>
        <v>SD2023/0011391</v>
      </c>
      <c r="B860" s="2" t="s">
        <v>2900</v>
      </c>
      <c r="C860" s="2" t="s">
        <v>35</v>
      </c>
      <c r="D860" s="2" t="s">
        <v>2855</v>
      </c>
      <c r="E860" s="2" t="s">
        <v>35</v>
      </c>
      <c r="F860" s="2" t="s">
        <v>37</v>
      </c>
      <c r="G860" s="2" t="s">
        <v>2901</v>
      </c>
      <c r="H860" s="2" t="s">
        <v>1762</v>
      </c>
      <c r="I860" s="2" t="s">
        <v>12</v>
      </c>
      <c r="J860" s="2" t="s">
        <v>40</v>
      </c>
      <c r="K860" s="2" t="s">
        <v>1763</v>
      </c>
      <c r="L860" s="2" t="s">
        <v>42</v>
      </c>
      <c r="M860" s="2" t="s">
        <v>252</v>
      </c>
      <c r="N860" s="2" t="s">
        <v>35</v>
      </c>
      <c r="O860" s="2" t="s">
        <v>762</v>
      </c>
      <c r="P860" s="2" t="s">
        <v>35</v>
      </c>
      <c r="Q860" s="2" t="s">
        <v>35</v>
      </c>
    </row>
    <row r="861" spans="1:17" ht="409.6">
      <c r="A861" s="8" t="str">
        <f>HYPERLINK("http://sipi.sic.gov.co/sipi/View.ashx?4596128","SD2023/0012571")</f>
        <v>SD2023/0012571</v>
      </c>
      <c r="B861" s="2" t="s">
        <v>2902</v>
      </c>
      <c r="C861" s="7" t="s">
        <v>35</v>
      </c>
      <c r="D861" s="2" t="s">
        <v>2868</v>
      </c>
      <c r="E861" s="2" t="s">
        <v>35</v>
      </c>
      <c r="F861" s="2" t="s">
        <v>37</v>
      </c>
      <c r="G861" s="2" t="s">
        <v>2902</v>
      </c>
      <c r="H861" s="2" t="s">
        <v>2903</v>
      </c>
      <c r="I861" s="2" t="s">
        <v>1121</v>
      </c>
      <c r="J861" s="2" t="s">
        <v>40</v>
      </c>
      <c r="K861" s="2" t="s">
        <v>2904</v>
      </c>
      <c r="L861" s="2" t="s">
        <v>42</v>
      </c>
      <c r="M861" s="2" t="s">
        <v>2905</v>
      </c>
      <c r="N861" s="2" t="s">
        <v>35</v>
      </c>
      <c r="O861" s="2" t="s">
        <v>1691</v>
      </c>
      <c r="P861" s="2" t="s">
        <v>35</v>
      </c>
      <c r="Q861" s="2" t="s">
        <v>35</v>
      </c>
    </row>
    <row r="862" spans="1:17" ht="76.8">
      <c r="A862" s="8" t="str">
        <f>HYPERLINK("http://sipi.sic.gov.co/sipi/View.ashx?4596264","SD2023/0011478")</f>
        <v>SD2023/0011478</v>
      </c>
      <c r="B862" s="2" t="s">
        <v>2906</v>
      </c>
      <c r="C862" s="7" t="s">
        <v>35</v>
      </c>
      <c r="D862" s="2" t="s">
        <v>2855</v>
      </c>
      <c r="E862" s="2" t="s">
        <v>35</v>
      </c>
      <c r="F862" s="2" t="s">
        <v>37</v>
      </c>
      <c r="G862" s="2" t="s">
        <v>35</v>
      </c>
      <c r="H862" s="2" t="s">
        <v>2907</v>
      </c>
      <c r="I862" s="2" t="s">
        <v>12</v>
      </c>
      <c r="J862" s="2" t="s">
        <v>40</v>
      </c>
      <c r="K862" s="2" t="s">
        <v>309</v>
      </c>
      <c r="L862" s="2" t="s">
        <v>55</v>
      </c>
      <c r="M862" s="2" t="s">
        <v>35</v>
      </c>
      <c r="N862" s="2" t="s">
        <v>35</v>
      </c>
      <c r="O862" s="2" t="s">
        <v>1303</v>
      </c>
      <c r="P862" s="2" t="s">
        <v>35</v>
      </c>
      <c r="Q862" s="2" t="s">
        <v>35</v>
      </c>
    </row>
    <row r="863" spans="1:17" ht="129.6">
      <c r="A863" s="8" t="str">
        <f>HYPERLINK("http://sipi.sic.gov.co/sipi/View.ashx?4596584","SD2023/0011539")</f>
        <v>SD2023/0011539</v>
      </c>
      <c r="B863" s="2" t="s">
        <v>2908</v>
      </c>
      <c r="C863" s="2" t="s">
        <v>35</v>
      </c>
      <c r="D863" s="2" t="s">
        <v>2909</v>
      </c>
      <c r="E863" s="2" t="s">
        <v>35</v>
      </c>
      <c r="F863" s="2" t="s">
        <v>37</v>
      </c>
      <c r="G863" s="2" t="s">
        <v>2908</v>
      </c>
      <c r="H863" s="2" t="s">
        <v>2910</v>
      </c>
      <c r="I863" s="2" t="s">
        <v>12</v>
      </c>
      <c r="J863" s="2" t="s">
        <v>40</v>
      </c>
      <c r="K863" s="2" t="s">
        <v>41</v>
      </c>
      <c r="L863" s="2" t="s">
        <v>42</v>
      </c>
      <c r="M863" s="2" t="s">
        <v>2911</v>
      </c>
      <c r="N863" s="2" t="s">
        <v>35</v>
      </c>
      <c r="O863" s="2" t="s">
        <v>762</v>
      </c>
      <c r="P863" s="2" t="s">
        <v>35</v>
      </c>
      <c r="Q863" s="2" t="s">
        <v>35</v>
      </c>
    </row>
    <row r="864" spans="1:17" ht="129.6">
      <c r="A864" s="8" t="str">
        <f>HYPERLINK("http://sipi.sic.gov.co/sipi/View.ashx?4596597","SD2023/0011542")</f>
        <v>SD2023/0011542</v>
      </c>
      <c r="B864" s="2" t="s">
        <v>2912</v>
      </c>
      <c r="C864" s="2" t="s">
        <v>35</v>
      </c>
      <c r="D864" s="2" t="s">
        <v>2909</v>
      </c>
      <c r="E864" s="2" t="s">
        <v>35</v>
      </c>
      <c r="F864" s="2" t="s">
        <v>37</v>
      </c>
      <c r="G864" s="2" t="s">
        <v>2912</v>
      </c>
      <c r="H864" s="2" t="s">
        <v>2910</v>
      </c>
      <c r="I864" s="2" t="s">
        <v>12</v>
      </c>
      <c r="J864" s="2" t="s">
        <v>40</v>
      </c>
      <c r="K864" s="2" t="s">
        <v>41</v>
      </c>
      <c r="L864" s="2" t="s">
        <v>42</v>
      </c>
      <c r="M864" s="2" t="s">
        <v>2911</v>
      </c>
      <c r="N864" s="2" t="s">
        <v>35</v>
      </c>
      <c r="O864" s="2" t="s">
        <v>762</v>
      </c>
      <c r="P864" s="2" t="s">
        <v>35</v>
      </c>
      <c r="Q864" s="2" t="s">
        <v>35</v>
      </c>
    </row>
    <row r="865" spans="1:17" ht="100.8">
      <c r="A865" s="8" t="str">
        <f>HYPERLINK("http://sipi.sic.gov.co/sipi/View.ashx?4599161","SD2023/0012184")</f>
        <v>SD2023/0012184</v>
      </c>
      <c r="B865" s="2" t="s">
        <v>2913</v>
      </c>
      <c r="C865" s="2" t="s">
        <v>35</v>
      </c>
      <c r="D865" s="2" t="s">
        <v>1409</v>
      </c>
      <c r="E865" s="2" t="s">
        <v>35</v>
      </c>
      <c r="F865" s="2" t="s">
        <v>37</v>
      </c>
      <c r="G865" s="2" t="s">
        <v>35</v>
      </c>
      <c r="H865" s="2" t="s">
        <v>2914</v>
      </c>
      <c r="I865" s="2" t="s">
        <v>12</v>
      </c>
      <c r="J865" s="2" t="s">
        <v>40</v>
      </c>
      <c r="K865" s="2" t="s">
        <v>602</v>
      </c>
      <c r="L865" s="2" t="s">
        <v>42</v>
      </c>
      <c r="M865" s="2" t="s">
        <v>290</v>
      </c>
      <c r="N865" s="2" t="s">
        <v>35</v>
      </c>
      <c r="O865" s="2" t="s">
        <v>1303</v>
      </c>
      <c r="P865" s="2" t="s">
        <v>2032</v>
      </c>
      <c r="Q865" s="2" t="s">
        <v>35</v>
      </c>
    </row>
    <row r="866" spans="1:17" ht="129.6">
      <c r="A866" s="8" t="str">
        <f>HYPERLINK("http://sipi.sic.gov.co/sipi/View.ashx?4602339","SD2023/0012832")</f>
        <v>SD2023/0012832</v>
      </c>
      <c r="B866" s="2" t="s">
        <v>2915</v>
      </c>
      <c r="C866" s="2" t="s">
        <v>35</v>
      </c>
      <c r="D866" s="2" t="s">
        <v>2916</v>
      </c>
      <c r="E866" s="2" t="s">
        <v>35</v>
      </c>
      <c r="F866" s="2" t="s">
        <v>37</v>
      </c>
      <c r="G866" s="2" t="s">
        <v>35</v>
      </c>
      <c r="H866" s="2" t="s">
        <v>2917</v>
      </c>
      <c r="I866" s="2" t="s">
        <v>12</v>
      </c>
      <c r="J866" s="2" t="s">
        <v>40</v>
      </c>
      <c r="K866" s="2" t="s">
        <v>2918</v>
      </c>
      <c r="L866" s="2" t="s">
        <v>55</v>
      </c>
      <c r="M866" s="2" t="s">
        <v>2919</v>
      </c>
      <c r="N866" s="2" t="s">
        <v>35</v>
      </c>
      <c r="O866" s="2" t="s">
        <v>1303</v>
      </c>
      <c r="P866" s="2" t="s">
        <v>35</v>
      </c>
      <c r="Q866" s="2" t="s">
        <v>35</v>
      </c>
    </row>
    <row r="867" spans="1:17" ht="129.6">
      <c r="A867" s="8" t="str">
        <f>HYPERLINK("http://sipi.sic.gov.co/sipi/View.ashx?4603602","SD2023/0013119")</f>
        <v>SD2023/0013119</v>
      </c>
      <c r="B867" s="2" t="s">
        <v>2920</v>
      </c>
      <c r="C867" s="7" t="s">
        <v>35</v>
      </c>
      <c r="D867" s="2" t="s">
        <v>2921</v>
      </c>
      <c r="E867" s="2" t="s">
        <v>35</v>
      </c>
      <c r="F867" s="2" t="s">
        <v>37</v>
      </c>
      <c r="G867" s="2" t="s">
        <v>2920</v>
      </c>
      <c r="H867" s="2" t="s">
        <v>2922</v>
      </c>
      <c r="I867" s="2" t="s">
        <v>12</v>
      </c>
      <c r="J867" s="2" t="s">
        <v>40</v>
      </c>
      <c r="K867" s="2" t="s">
        <v>2923</v>
      </c>
      <c r="L867" s="2" t="s">
        <v>42</v>
      </c>
      <c r="M867" s="2" t="s">
        <v>35</v>
      </c>
      <c r="N867" s="2" t="s">
        <v>35</v>
      </c>
      <c r="O867" s="2" t="s">
        <v>2041</v>
      </c>
      <c r="P867" s="2" t="s">
        <v>35</v>
      </c>
      <c r="Q867" s="2" t="s">
        <v>35</v>
      </c>
    </row>
    <row r="868" spans="1:17" ht="158.4">
      <c r="A868" s="8" t="str">
        <f>HYPERLINK("http://sipi.sic.gov.co/sipi/View.ashx?4604635","SD2023/0013463")</f>
        <v>SD2023/0013463</v>
      </c>
      <c r="B868" s="2" t="s">
        <v>2924</v>
      </c>
      <c r="C868" s="2" t="s">
        <v>35</v>
      </c>
      <c r="D868" s="2" t="s">
        <v>2921</v>
      </c>
      <c r="E868" s="2" t="s">
        <v>35</v>
      </c>
      <c r="F868" s="2" t="s">
        <v>37</v>
      </c>
      <c r="G868" s="2" t="s">
        <v>2925</v>
      </c>
      <c r="H868" s="2" t="s">
        <v>2926</v>
      </c>
      <c r="I868" s="2" t="s">
        <v>12</v>
      </c>
      <c r="J868" s="2" t="s">
        <v>40</v>
      </c>
      <c r="K868" s="2" t="s">
        <v>2927</v>
      </c>
      <c r="L868" s="2" t="s">
        <v>42</v>
      </c>
      <c r="M868" s="2" t="s">
        <v>2928</v>
      </c>
      <c r="N868" s="2" t="s">
        <v>35</v>
      </c>
      <c r="O868" s="2" t="s">
        <v>2292</v>
      </c>
      <c r="P868" s="2" t="s">
        <v>35</v>
      </c>
      <c r="Q868" s="2" t="s">
        <v>35</v>
      </c>
    </row>
    <row r="869" spans="1:17" ht="115.2">
      <c r="A869" s="8" t="str">
        <f>HYPERLINK("http://sipi.sic.gov.co/sipi/View.ashx?4606411","SD2023/0013880")</f>
        <v>SD2023/0013880</v>
      </c>
      <c r="B869" s="2" t="s">
        <v>2929</v>
      </c>
      <c r="C869" s="7" t="s">
        <v>35</v>
      </c>
      <c r="D869" s="2" t="s">
        <v>2876</v>
      </c>
      <c r="E869" s="2" t="s">
        <v>35</v>
      </c>
      <c r="F869" s="2" t="s">
        <v>37</v>
      </c>
      <c r="G869" s="2" t="s">
        <v>2930</v>
      </c>
      <c r="H869" s="2" t="s">
        <v>2931</v>
      </c>
      <c r="I869" s="2" t="s">
        <v>12</v>
      </c>
      <c r="J869" s="2" t="s">
        <v>40</v>
      </c>
      <c r="K869" s="2" t="s">
        <v>2932</v>
      </c>
      <c r="L869" s="2" t="s">
        <v>42</v>
      </c>
      <c r="M869" s="2" t="s">
        <v>534</v>
      </c>
      <c r="N869" s="2" t="s">
        <v>35</v>
      </c>
      <c r="O869" s="2" t="s">
        <v>1733</v>
      </c>
      <c r="P869" s="2" t="s">
        <v>35</v>
      </c>
      <c r="Q869" s="2" t="s">
        <v>35</v>
      </c>
    </row>
    <row r="870" spans="1:17" ht="158.4">
      <c r="A870" s="8" t="str">
        <f>HYPERLINK("http://sipi.sic.gov.co/sipi/View.ashx?4607587","SD2023/0014255")</f>
        <v>SD2023/0014255</v>
      </c>
      <c r="B870" s="2" t="s">
        <v>2933</v>
      </c>
      <c r="C870" s="2" t="s">
        <v>35</v>
      </c>
      <c r="D870" s="2" t="s">
        <v>2934</v>
      </c>
      <c r="E870" s="2" t="s">
        <v>35</v>
      </c>
      <c r="F870" s="2" t="s">
        <v>37</v>
      </c>
      <c r="G870" s="2" t="s">
        <v>35</v>
      </c>
      <c r="H870" s="2" t="s">
        <v>2935</v>
      </c>
      <c r="I870" s="2" t="s">
        <v>12</v>
      </c>
      <c r="J870" s="2" t="s">
        <v>40</v>
      </c>
      <c r="K870" s="2" t="s">
        <v>790</v>
      </c>
      <c r="L870" s="2" t="s">
        <v>42</v>
      </c>
      <c r="M870" s="2" t="s">
        <v>2936</v>
      </c>
      <c r="N870" s="2" t="s">
        <v>35</v>
      </c>
      <c r="O870" s="2" t="s">
        <v>1733</v>
      </c>
      <c r="P870" s="2" t="s">
        <v>35</v>
      </c>
      <c r="Q870" s="2" t="s">
        <v>35</v>
      </c>
    </row>
    <row r="871" spans="1:17" ht="187.2">
      <c r="A871" s="8" t="str">
        <f>HYPERLINK("http://sipi.sic.gov.co/sipi/View.ashx?4608283","SD2023/0014449")</f>
        <v>SD2023/0014449</v>
      </c>
      <c r="B871" s="2" t="s">
        <v>2937</v>
      </c>
      <c r="C871" s="7" t="s">
        <v>35</v>
      </c>
      <c r="D871" s="2" t="s">
        <v>2934</v>
      </c>
      <c r="E871" s="2" t="s">
        <v>35</v>
      </c>
      <c r="F871" s="2" t="s">
        <v>37</v>
      </c>
      <c r="G871" s="2" t="s">
        <v>35</v>
      </c>
      <c r="H871" s="2" t="s">
        <v>2938</v>
      </c>
      <c r="I871" s="2" t="s">
        <v>12</v>
      </c>
      <c r="J871" s="2" t="s">
        <v>40</v>
      </c>
      <c r="K871" s="2" t="s">
        <v>949</v>
      </c>
      <c r="L871" s="2" t="s">
        <v>42</v>
      </c>
      <c r="M871" s="2" t="s">
        <v>371</v>
      </c>
      <c r="N871" s="2" t="s">
        <v>35</v>
      </c>
      <c r="O871" s="2" t="s">
        <v>2346</v>
      </c>
      <c r="P871" s="2" t="s">
        <v>35</v>
      </c>
      <c r="Q871" s="2" t="s">
        <v>35</v>
      </c>
    </row>
    <row r="872" spans="1:17" ht="115.2">
      <c r="A872" s="8" t="str">
        <f>HYPERLINK("http://sipi.sic.gov.co/sipi/View.ashx?4608522","SD2023/0014499")</f>
        <v>SD2023/0014499</v>
      </c>
      <c r="B872" s="2" t="s">
        <v>2939</v>
      </c>
      <c r="C872" s="2" t="s">
        <v>35</v>
      </c>
      <c r="D872" s="2" t="s">
        <v>2940</v>
      </c>
      <c r="E872" s="2" t="s">
        <v>35</v>
      </c>
      <c r="F872" s="2" t="s">
        <v>37</v>
      </c>
      <c r="G872" s="2" t="s">
        <v>35</v>
      </c>
      <c r="H872" s="2" t="s">
        <v>2941</v>
      </c>
      <c r="I872" s="2" t="s">
        <v>12</v>
      </c>
      <c r="J872" s="2" t="s">
        <v>40</v>
      </c>
      <c r="K872" s="2" t="s">
        <v>41</v>
      </c>
      <c r="L872" s="2" t="s">
        <v>55</v>
      </c>
      <c r="M872" s="2" t="s">
        <v>547</v>
      </c>
      <c r="N872" s="2" t="s">
        <v>35</v>
      </c>
      <c r="O872" s="2" t="s">
        <v>2292</v>
      </c>
      <c r="P872" s="2" t="s">
        <v>35</v>
      </c>
      <c r="Q872" s="2" t="s">
        <v>35</v>
      </c>
    </row>
    <row r="873" spans="1:17" ht="129.6">
      <c r="A873" s="8" t="str">
        <f>HYPERLINK("http://sipi.sic.gov.co/sipi/View.ashx?4608997","SD2023/0014612")</f>
        <v>SD2023/0014612</v>
      </c>
      <c r="B873" s="2" t="s">
        <v>2942</v>
      </c>
      <c r="C873" s="2" t="s">
        <v>35</v>
      </c>
      <c r="D873" s="2" t="s">
        <v>2940</v>
      </c>
      <c r="E873" s="2" t="s">
        <v>35</v>
      </c>
      <c r="F873" s="2" t="s">
        <v>37</v>
      </c>
      <c r="G873" s="2" t="s">
        <v>35</v>
      </c>
      <c r="H873" s="2" t="s">
        <v>2943</v>
      </c>
      <c r="I873" s="2" t="s">
        <v>12</v>
      </c>
      <c r="J873" s="2" t="s">
        <v>40</v>
      </c>
      <c r="K873" s="2" t="s">
        <v>41</v>
      </c>
      <c r="L873" s="2" t="s">
        <v>42</v>
      </c>
      <c r="M873" s="2" t="s">
        <v>2944</v>
      </c>
      <c r="N873" s="2" t="s">
        <v>35</v>
      </c>
      <c r="O873" s="2" t="s">
        <v>2292</v>
      </c>
      <c r="P873" s="2" t="s">
        <v>35</v>
      </c>
      <c r="Q873" s="2" t="s">
        <v>35</v>
      </c>
    </row>
    <row r="874" spans="1:17" ht="115.2">
      <c r="A874" s="8" t="str">
        <f>HYPERLINK("http://sipi.sic.gov.co/sipi/View.ashx?4610020","SD2023/0014979")</f>
        <v>SD2023/0014979</v>
      </c>
      <c r="B874" s="2" t="s">
        <v>2945</v>
      </c>
      <c r="C874" s="2" t="s">
        <v>35</v>
      </c>
      <c r="D874" s="2" t="s">
        <v>2940</v>
      </c>
      <c r="E874" s="2" t="s">
        <v>35</v>
      </c>
      <c r="F874" s="2" t="s">
        <v>37</v>
      </c>
      <c r="G874" s="2" t="s">
        <v>2946</v>
      </c>
      <c r="H874" s="2" t="s">
        <v>2947</v>
      </c>
      <c r="I874" s="2" t="s">
        <v>12</v>
      </c>
      <c r="J874" s="2" t="s">
        <v>40</v>
      </c>
      <c r="K874" s="2" t="s">
        <v>41</v>
      </c>
      <c r="L874" s="2" t="s">
        <v>42</v>
      </c>
      <c r="M874" s="2" t="s">
        <v>2948</v>
      </c>
      <c r="N874" s="2" t="s">
        <v>35</v>
      </c>
      <c r="O874" s="2" t="s">
        <v>1733</v>
      </c>
      <c r="P874" s="2" t="s">
        <v>35</v>
      </c>
      <c r="Q874" s="2" t="s">
        <v>35</v>
      </c>
    </row>
    <row r="875" spans="1:17" ht="115.2">
      <c r="A875" s="8" t="str">
        <f>HYPERLINK("http://sipi.sic.gov.co/sipi/View.ashx?4610025","SD2023/0014982")</f>
        <v>SD2023/0014982</v>
      </c>
      <c r="B875" s="2" t="s">
        <v>2949</v>
      </c>
      <c r="C875" s="2" t="s">
        <v>35</v>
      </c>
      <c r="D875" s="2" t="s">
        <v>2940</v>
      </c>
      <c r="E875" s="2" t="s">
        <v>35</v>
      </c>
      <c r="F875" s="2" t="s">
        <v>37</v>
      </c>
      <c r="G875" s="2" t="s">
        <v>2950</v>
      </c>
      <c r="H875" s="2" t="s">
        <v>2947</v>
      </c>
      <c r="I875" s="2" t="s">
        <v>12</v>
      </c>
      <c r="J875" s="2" t="s">
        <v>40</v>
      </c>
      <c r="K875" s="2" t="s">
        <v>41</v>
      </c>
      <c r="L875" s="2" t="s">
        <v>42</v>
      </c>
      <c r="M875" s="2" t="s">
        <v>2948</v>
      </c>
      <c r="N875" s="2" t="s">
        <v>35</v>
      </c>
      <c r="O875" s="2" t="s">
        <v>1733</v>
      </c>
      <c r="P875" s="2" t="s">
        <v>35</v>
      </c>
      <c r="Q875" s="2" t="s">
        <v>35</v>
      </c>
    </row>
    <row r="876" spans="1:17" ht="115.2">
      <c r="A876" s="8" t="str">
        <f>HYPERLINK("http://sipi.sic.gov.co/sipi/View.ashx?4610038","SD2023/0014984")</f>
        <v>SD2023/0014984</v>
      </c>
      <c r="B876" s="2" t="s">
        <v>2951</v>
      </c>
      <c r="C876" s="2" t="s">
        <v>35</v>
      </c>
      <c r="D876" s="2" t="s">
        <v>2940</v>
      </c>
      <c r="E876" s="2" t="s">
        <v>35</v>
      </c>
      <c r="F876" s="2" t="s">
        <v>37</v>
      </c>
      <c r="G876" s="2" t="s">
        <v>2952</v>
      </c>
      <c r="H876" s="2" t="s">
        <v>2947</v>
      </c>
      <c r="I876" s="2" t="s">
        <v>12</v>
      </c>
      <c r="J876" s="2" t="s">
        <v>40</v>
      </c>
      <c r="K876" s="2" t="s">
        <v>41</v>
      </c>
      <c r="L876" s="2" t="s">
        <v>42</v>
      </c>
      <c r="M876" s="2" t="s">
        <v>2948</v>
      </c>
      <c r="N876" s="2" t="s">
        <v>35</v>
      </c>
      <c r="O876" s="2" t="s">
        <v>1733</v>
      </c>
      <c r="P876" s="2" t="s">
        <v>35</v>
      </c>
      <c r="Q876" s="2" t="s">
        <v>35</v>
      </c>
    </row>
    <row r="877" spans="1:17" ht="187.2">
      <c r="A877" s="8" t="str">
        <f>HYPERLINK("http://sipi.sic.gov.co/sipi/View.ashx?4611142","SD2023/0015182")</f>
        <v>SD2023/0015182</v>
      </c>
      <c r="B877" s="2" t="s">
        <v>2953</v>
      </c>
      <c r="C877" s="2" t="s">
        <v>35</v>
      </c>
      <c r="D877" s="2" t="s">
        <v>1303</v>
      </c>
      <c r="E877" s="2" t="s">
        <v>35</v>
      </c>
      <c r="F877" s="2" t="s">
        <v>37</v>
      </c>
      <c r="G877" s="2" t="s">
        <v>2954</v>
      </c>
      <c r="H877" s="2" t="s">
        <v>1762</v>
      </c>
      <c r="I877" s="2" t="s">
        <v>12</v>
      </c>
      <c r="J877" s="2" t="s">
        <v>40</v>
      </c>
      <c r="K877" s="2" t="s">
        <v>2955</v>
      </c>
      <c r="L877" s="2" t="s">
        <v>42</v>
      </c>
      <c r="M877" s="2" t="s">
        <v>252</v>
      </c>
      <c r="N877" s="2" t="s">
        <v>35</v>
      </c>
      <c r="O877" s="2" t="s">
        <v>2346</v>
      </c>
      <c r="P877" s="2" t="s">
        <v>35</v>
      </c>
      <c r="Q877" s="2" t="s">
        <v>35</v>
      </c>
    </row>
    <row r="878" spans="1:17" ht="302.39999999999998">
      <c r="A878" s="8" t="str">
        <f>HYPERLINK("http://sipi.sic.gov.co/sipi/View.ashx?4611194","SD2023/0015973")</f>
        <v>SD2023/0015973</v>
      </c>
      <c r="B878" s="2" t="s">
        <v>2956</v>
      </c>
      <c r="C878" s="7" t="s">
        <v>35</v>
      </c>
      <c r="D878" s="2" t="s">
        <v>2957</v>
      </c>
      <c r="E878" s="2" t="s">
        <v>35</v>
      </c>
      <c r="F878" s="2" t="s">
        <v>37</v>
      </c>
      <c r="G878" s="2" t="s">
        <v>35</v>
      </c>
      <c r="H878" s="2" t="s">
        <v>2958</v>
      </c>
      <c r="I878" s="2" t="s">
        <v>2959</v>
      </c>
      <c r="J878" s="2" t="s">
        <v>40</v>
      </c>
      <c r="K878" s="2" t="s">
        <v>2960</v>
      </c>
      <c r="L878" s="2" t="s">
        <v>42</v>
      </c>
      <c r="M878" s="2" t="s">
        <v>2961</v>
      </c>
      <c r="N878" s="2" t="s">
        <v>35</v>
      </c>
      <c r="O878" s="2" t="s">
        <v>1691</v>
      </c>
      <c r="P878" s="2" t="s">
        <v>35</v>
      </c>
      <c r="Q878" s="2" t="s">
        <v>35</v>
      </c>
    </row>
    <row r="879" spans="1:17" ht="187.2">
      <c r="A879" s="8" t="str">
        <f>HYPERLINK("http://sipi.sic.gov.co/sipi/View.ashx?4611594","SD2023/0015286")</f>
        <v>SD2023/0015286</v>
      </c>
      <c r="B879" s="2" t="s">
        <v>2962</v>
      </c>
      <c r="C879" s="2" t="s">
        <v>35</v>
      </c>
      <c r="D879" s="2" t="s">
        <v>1303</v>
      </c>
      <c r="E879" s="2" t="s">
        <v>35</v>
      </c>
      <c r="F879" s="2" t="s">
        <v>37</v>
      </c>
      <c r="G879" s="2" t="s">
        <v>2963</v>
      </c>
      <c r="H879" s="2" t="s">
        <v>1762</v>
      </c>
      <c r="I879" s="2" t="s">
        <v>12</v>
      </c>
      <c r="J879" s="2" t="s">
        <v>40</v>
      </c>
      <c r="K879" s="2" t="s">
        <v>2955</v>
      </c>
      <c r="L879" s="2" t="s">
        <v>42</v>
      </c>
      <c r="M879" s="2" t="s">
        <v>252</v>
      </c>
      <c r="N879" s="2" t="s">
        <v>35</v>
      </c>
      <c r="O879" s="2" t="s">
        <v>762</v>
      </c>
      <c r="P879" s="2" t="s">
        <v>35</v>
      </c>
      <c r="Q879" s="2" t="s">
        <v>35</v>
      </c>
    </row>
    <row r="880" spans="1:17" ht="158.4">
      <c r="A880" s="8" t="str">
        <f>HYPERLINK("http://sipi.sic.gov.co/sipi/View.ashx?4614967","SD2023/0016070")</f>
        <v>SD2023/0016070</v>
      </c>
      <c r="B880" s="2" t="s">
        <v>2964</v>
      </c>
      <c r="C880" s="7" t="s">
        <v>35</v>
      </c>
      <c r="D880" s="2" t="s">
        <v>2957</v>
      </c>
      <c r="E880" s="2" t="s">
        <v>35</v>
      </c>
      <c r="F880" s="2" t="s">
        <v>37</v>
      </c>
      <c r="G880" s="2" t="s">
        <v>2965</v>
      </c>
      <c r="H880" s="2" t="s">
        <v>317</v>
      </c>
      <c r="I880" s="2" t="s">
        <v>12</v>
      </c>
      <c r="J880" s="2" t="s">
        <v>40</v>
      </c>
      <c r="K880" s="2" t="s">
        <v>2966</v>
      </c>
      <c r="L880" s="2" t="s">
        <v>42</v>
      </c>
      <c r="M880" s="2" t="s">
        <v>319</v>
      </c>
      <c r="N880" s="2" t="s">
        <v>35</v>
      </c>
      <c r="O880" s="2" t="s">
        <v>2346</v>
      </c>
      <c r="P880" s="2" t="s">
        <v>35</v>
      </c>
      <c r="Q880" s="2" t="s">
        <v>35</v>
      </c>
    </row>
    <row r="881" spans="1:17" ht="115.2">
      <c r="A881" s="8" t="str">
        <f>HYPERLINK("http://sipi.sic.gov.co/sipi/View.ashx?4615301","SD2023/0016150")</f>
        <v>SD2023/0016150</v>
      </c>
      <c r="B881" s="2" t="s">
        <v>2967</v>
      </c>
      <c r="C881" s="2" t="s">
        <v>35</v>
      </c>
      <c r="D881" s="2" t="s">
        <v>2957</v>
      </c>
      <c r="E881" s="2" t="s">
        <v>35</v>
      </c>
      <c r="F881" s="2" t="s">
        <v>37</v>
      </c>
      <c r="G881" s="2" t="s">
        <v>2968</v>
      </c>
      <c r="H881" s="2" t="s">
        <v>1454</v>
      </c>
      <c r="I881" s="2" t="s">
        <v>12</v>
      </c>
      <c r="J881" s="2" t="s">
        <v>40</v>
      </c>
      <c r="K881" s="2" t="s">
        <v>1455</v>
      </c>
      <c r="L881" s="2" t="s">
        <v>42</v>
      </c>
      <c r="M881" s="2" t="s">
        <v>1456</v>
      </c>
      <c r="N881" s="2" t="s">
        <v>35</v>
      </c>
      <c r="O881" s="2" t="s">
        <v>2089</v>
      </c>
      <c r="P881" s="2" t="s">
        <v>35</v>
      </c>
      <c r="Q881" s="2" t="s">
        <v>35</v>
      </c>
    </row>
    <row r="882" spans="1:17" ht="115.2">
      <c r="A882" s="8" t="str">
        <f>HYPERLINK("http://sipi.sic.gov.co/sipi/View.ashx?4615849","SD2023/0016828")</f>
        <v>SD2023/0016828</v>
      </c>
      <c r="B882" s="2" t="s">
        <v>2969</v>
      </c>
      <c r="C882" s="2" t="s">
        <v>35</v>
      </c>
      <c r="D882" s="2" t="s">
        <v>2970</v>
      </c>
      <c r="E882" s="2" t="s">
        <v>35</v>
      </c>
      <c r="F882" s="2" t="s">
        <v>37</v>
      </c>
      <c r="G882" s="2" t="s">
        <v>2969</v>
      </c>
      <c r="H882" s="2" t="s">
        <v>1188</v>
      </c>
      <c r="I882" s="2" t="s">
        <v>12</v>
      </c>
      <c r="J882" s="2" t="s">
        <v>40</v>
      </c>
      <c r="K882" s="2" t="s">
        <v>41</v>
      </c>
      <c r="L882" s="2" t="s">
        <v>55</v>
      </c>
      <c r="M882" s="2" t="s">
        <v>1190</v>
      </c>
      <c r="N882" s="2" t="s">
        <v>35</v>
      </c>
      <c r="O882" s="2" t="s">
        <v>2346</v>
      </c>
      <c r="P882" s="2" t="s">
        <v>35</v>
      </c>
      <c r="Q882" s="2" t="s">
        <v>35</v>
      </c>
    </row>
    <row r="883" spans="1:17" ht="115.2">
      <c r="A883" s="8" t="str">
        <f>HYPERLINK("http://sipi.sic.gov.co/sipi/View.ashx?4615850","SD2023/0016829")</f>
        <v>SD2023/0016829</v>
      </c>
      <c r="B883" s="2" t="s">
        <v>2971</v>
      </c>
      <c r="C883" s="2" t="s">
        <v>35</v>
      </c>
      <c r="D883" s="2" t="s">
        <v>2970</v>
      </c>
      <c r="E883" s="2" t="s">
        <v>35</v>
      </c>
      <c r="F883" s="2" t="s">
        <v>37</v>
      </c>
      <c r="G883" s="2" t="s">
        <v>2971</v>
      </c>
      <c r="H883" s="2" t="s">
        <v>1188</v>
      </c>
      <c r="I883" s="2" t="s">
        <v>12</v>
      </c>
      <c r="J883" s="2" t="s">
        <v>40</v>
      </c>
      <c r="K883" s="2" t="s">
        <v>41</v>
      </c>
      <c r="L883" s="2" t="s">
        <v>42</v>
      </c>
      <c r="M883" s="2" t="s">
        <v>1190</v>
      </c>
      <c r="N883" s="2" t="s">
        <v>35</v>
      </c>
      <c r="O883" s="2" t="s">
        <v>2346</v>
      </c>
      <c r="P883" s="2" t="s">
        <v>35</v>
      </c>
      <c r="Q883" s="2" t="s">
        <v>35</v>
      </c>
    </row>
    <row r="884" spans="1:17" ht="115.2">
      <c r="A884" s="8" t="str">
        <f>HYPERLINK("http://sipi.sic.gov.co/sipi/View.ashx?4615854","SD2023/0016831")</f>
        <v>SD2023/0016831</v>
      </c>
      <c r="B884" s="2" t="s">
        <v>2972</v>
      </c>
      <c r="C884" s="2" t="s">
        <v>35</v>
      </c>
      <c r="D884" s="2" t="s">
        <v>2970</v>
      </c>
      <c r="E884" s="2" t="s">
        <v>35</v>
      </c>
      <c r="F884" s="2" t="s">
        <v>37</v>
      </c>
      <c r="G884" s="2" t="s">
        <v>2972</v>
      </c>
      <c r="H884" s="2" t="s">
        <v>1188</v>
      </c>
      <c r="I884" s="2" t="s">
        <v>12</v>
      </c>
      <c r="J884" s="2" t="s">
        <v>40</v>
      </c>
      <c r="K884" s="2" t="s">
        <v>41</v>
      </c>
      <c r="L884" s="2" t="s">
        <v>42</v>
      </c>
      <c r="M884" s="2" t="s">
        <v>1190</v>
      </c>
      <c r="N884" s="2" t="s">
        <v>35</v>
      </c>
      <c r="O884" s="2" t="s">
        <v>2346</v>
      </c>
      <c r="P884" s="2" t="s">
        <v>35</v>
      </c>
      <c r="Q884" s="2" t="s">
        <v>35</v>
      </c>
    </row>
    <row r="885" spans="1:17" ht="115.2">
      <c r="A885" s="8" t="str">
        <f>HYPERLINK("http://sipi.sic.gov.co/sipi/View.ashx?4615861","SD2023/0016833")</f>
        <v>SD2023/0016833</v>
      </c>
      <c r="B885" s="2" t="s">
        <v>2973</v>
      </c>
      <c r="C885" s="2" t="s">
        <v>35</v>
      </c>
      <c r="D885" s="2" t="s">
        <v>2970</v>
      </c>
      <c r="E885" s="2" t="s">
        <v>35</v>
      </c>
      <c r="F885" s="2" t="s">
        <v>37</v>
      </c>
      <c r="G885" s="2" t="s">
        <v>2973</v>
      </c>
      <c r="H885" s="2" t="s">
        <v>1188</v>
      </c>
      <c r="I885" s="2" t="s">
        <v>12</v>
      </c>
      <c r="J885" s="2" t="s">
        <v>40</v>
      </c>
      <c r="K885" s="2" t="s">
        <v>41</v>
      </c>
      <c r="L885" s="2" t="s">
        <v>42</v>
      </c>
      <c r="M885" s="2" t="s">
        <v>1190</v>
      </c>
      <c r="N885" s="2" t="s">
        <v>35</v>
      </c>
      <c r="O885" s="2" t="s">
        <v>2346</v>
      </c>
      <c r="P885" s="2" t="s">
        <v>35</v>
      </c>
      <c r="Q885" s="2" t="s">
        <v>35</v>
      </c>
    </row>
    <row r="886" spans="1:17" ht="115.2">
      <c r="A886" s="8" t="str">
        <f>HYPERLINK("http://sipi.sic.gov.co/sipi/View.ashx?4615864","SD2023/0016837")</f>
        <v>SD2023/0016837</v>
      </c>
      <c r="B886" s="2" t="s">
        <v>2974</v>
      </c>
      <c r="C886" s="2" t="s">
        <v>35</v>
      </c>
      <c r="D886" s="2" t="s">
        <v>2970</v>
      </c>
      <c r="E886" s="2" t="s">
        <v>35</v>
      </c>
      <c r="F886" s="2" t="s">
        <v>37</v>
      </c>
      <c r="G886" s="2" t="s">
        <v>2974</v>
      </c>
      <c r="H886" s="2" t="s">
        <v>1188</v>
      </c>
      <c r="I886" s="2" t="s">
        <v>12</v>
      </c>
      <c r="J886" s="2" t="s">
        <v>40</v>
      </c>
      <c r="K886" s="2" t="s">
        <v>41</v>
      </c>
      <c r="L886" s="2" t="s">
        <v>42</v>
      </c>
      <c r="M886" s="2" t="s">
        <v>1190</v>
      </c>
      <c r="N886" s="2" t="s">
        <v>35</v>
      </c>
      <c r="O886" s="2" t="s">
        <v>2346</v>
      </c>
      <c r="P886" s="2" t="s">
        <v>35</v>
      </c>
      <c r="Q886" s="2" t="s">
        <v>35</v>
      </c>
    </row>
    <row r="887" spans="1:17" ht="115.2">
      <c r="A887" s="8" t="str">
        <f>HYPERLINK("http://sipi.sic.gov.co/sipi/View.ashx?4615865","SD2023/0016838")</f>
        <v>SD2023/0016838</v>
      </c>
      <c r="B887" s="2" t="s">
        <v>2975</v>
      </c>
      <c r="C887" s="2" t="s">
        <v>35</v>
      </c>
      <c r="D887" s="2" t="s">
        <v>2970</v>
      </c>
      <c r="E887" s="2" t="s">
        <v>35</v>
      </c>
      <c r="F887" s="2" t="s">
        <v>37</v>
      </c>
      <c r="G887" s="2" t="s">
        <v>2975</v>
      </c>
      <c r="H887" s="2" t="s">
        <v>1188</v>
      </c>
      <c r="I887" s="2" t="s">
        <v>12</v>
      </c>
      <c r="J887" s="2" t="s">
        <v>40</v>
      </c>
      <c r="K887" s="2" t="s">
        <v>41</v>
      </c>
      <c r="L887" s="2" t="s">
        <v>42</v>
      </c>
      <c r="M887" s="2" t="s">
        <v>1190</v>
      </c>
      <c r="N887" s="2" t="s">
        <v>35</v>
      </c>
      <c r="O887" s="2" t="s">
        <v>10</v>
      </c>
      <c r="P887" s="2" t="s">
        <v>35</v>
      </c>
      <c r="Q887" s="2" t="s">
        <v>35</v>
      </c>
    </row>
    <row r="888" spans="1:17" ht="115.2">
      <c r="A888" s="8" t="str">
        <f>HYPERLINK("http://sipi.sic.gov.co/sipi/View.ashx?4615867","SD2023/0016840")</f>
        <v>SD2023/0016840</v>
      </c>
      <c r="B888" s="2" t="s">
        <v>2976</v>
      </c>
      <c r="C888" s="2" t="s">
        <v>35</v>
      </c>
      <c r="D888" s="2" t="s">
        <v>2970</v>
      </c>
      <c r="E888" s="2" t="s">
        <v>35</v>
      </c>
      <c r="F888" s="2" t="s">
        <v>37</v>
      </c>
      <c r="G888" s="2" t="s">
        <v>2976</v>
      </c>
      <c r="H888" s="2" t="s">
        <v>1188</v>
      </c>
      <c r="I888" s="2" t="s">
        <v>12</v>
      </c>
      <c r="J888" s="2" t="s">
        <v>40</v>
      </c>
      <c r="K888" s="2" t="s">
        <v>41</v>
      </c>
      <c r="L888" s="2" t="s">
        <v>42</v>
      </c>
      <c r="M888" s="2" t="s">
        <v>1190</v>
      </c>
      <c r="N888" s="2" t="s">
        <v>35</v>
      </c>
      <c r="O888" s="2" t="s">
        <v>10</v>
      </c>
      <c r="P888" s="2" t="s">
        <v>35</v>
      </c>
      <c r="Q888" s="2" t="s">
        <v>35</v>
      </c>
    </row>
    <row r="889" spans="1:17" ht="187.2">
      <c r="A889" s="8" t="str">
        <f>HYPERLINK("http://sipi.sic.gov.co/sipi/View.ashx?4616391","SD2023/0019560")</f>
        <v>SD2023/0019560</v>
      </c>
      <c r="B889" s="2" t="s">
        <v>2977</v>
      </c>
      <c r="C889" s="2" t="s">
        <v>35</v>
      </c>
      <c r="D889" s="2" t="s">
        <v>2978</v>
      </c>
      <c r="E889" s="2" t="s">
        <v>35</v>
      </c>
      <c r="F889" s="2" t="s">
        <v>37</v>
      </c>
      <c r="G889" s="2" t="s">
        <v>35</v>
      </c>
      <c r="H889" s="2" t="s">
        <v>2979</v>
      </c>
      <c r="I889" s="2" t="s">
        <v>12</v>
      </c>
      <c r="J889" s="2" t="s">
        <v>40</v>
      </c>
      <c r="K889" s="2" t="s">
        <v>2980</v>
      </c>
      <c r="L889" s="2" t="s">
        <v>42</v>
      </c>
      <c r="M889" s="2" t="s">
        <v>2981</v>
      </c>
      <c r="N889" s="2" t="s">
        <v>35</v>
      </c>
      <c r="O889" s="2" t="s">
        <v>2089</v>
      </c>
      <c r="P889" s="2" t="s">
        <v>35</v>
      </c>
      <c r="Q889" s="2" t="s">
        <v>35</v>
      </c>
    </row>
    <row r="890" spans="1:17" ht="100.8">
      <c r="A890" s="8" t="str">
        <f>HYPERLINK("http://sipi.sic.gov.co/sipi/View.ashx?4617964","SD2023/0016976")</f>
        <v>SD2023/0016976</v>
      </c>
      <c r="B890" s="2" t="s">
        <v>2982</v>
      </c>
      <c r="C890" s="2" t="s">
        <v>35</v>
      </c>
      <c r="D890" s="2" t="s">
        <v>2983</v>
      </c>
      <c r="E890" s="2" t="s">
        <v>35</v>
      </c>
      <c r="F890" s="2" t="s">
        <v>37</v>
      </c>
      <c r="G890" s="2" t="s">
        <v>2982</v>
      </c>
      <c r="H890" s="2" t="s">
        <v>2880</v>
      </c>
      <c r="I890" s="2" t="s">
        <v>12</v>
      </c>
      <c r="J890" s="2" t="s">
        <v>40</v>
      </c>
      <c r="K890" s="2" t="s">
        <v>2984</v>
      </c>
      <c r="L890" s="2" t="s">
        <v>42</v>
      </c>
      <c r="M890" s="2" t="s">
        <v>471</v>
      </c>
      <c r="N890" s="2" t="s">
        <v>35</v>
      </c>
      <c r="O890" s="2" t="s">
        <v>2089</v>
      </c>
      <c r="P890" s="2" t="s">
        <v>35</v>
      </c>
      <c r="Q890" s="2" t="s">
        <v>35</v>
      </c>
    </row>
    <row r="891" spans="1:17" ht="115.2">
      <c r="A891" s="8" t="str">
        <f>HYPERLINK("http://sipi.sic.gov.co/sipi/View.ashx?4618014","SD2023/0016980")</f>
        <v>SD2023/0016980</v>
      </c>
      <c r="B891" s="2" t="s">
        <v>2985</v>
      </c>
      <c r="C891" s="2" t="s">
        <v>35</v>
      </c>
      <c r="D891" s="2" t="s">
        <v>2983</v>
      </c>
      <c r="E891" s="2" t="s">
        <v>35</v>
      </c>
      <c r="F891" s="2" t="s">
        <v>37</v>
      </c>
      <c r="G891" s="2" t="s">
        <v>2986</v>
      </c>
      <c r="H891" s="2" t="s">
        <v>1454</v>
      </c>
      <c r="I891" s="2" t="s">
        <v>12</v>
      </c>
      <c r="J891" s="2" t="s">
        <v>40</v>
      </c>
      <c r="K891" s="2" t="s">
        <v>1455</v>
      </c>
      <c r="L891" s="2" t="s">
        <v>42</v>
      </c>
      <c r="M891" s="2" t="s">
        <v>1456</v>
      </c>
      <c r="N891" s="2" t="s">
        <v>35</v>
      </c>
      <c r="O891" s="2" t="s">
        <v>2089</v>
      </c>
      <c r="P891" s="2" t="s">
        <v>35</v>
      </c>
      <c r="Q891" s="2" t="s">
        <v>35</v>
      </c>
    </row>
    <row r="892" spans="1:17" ht="409.6">
      <c r="A892" s="8" t="str">
        <f>HYPERLINK("http://sipi.sic.gov.co/sipi/View.ashx?4619375","SD2023/0017442")</f>
        <v>SD2023/0017442</v>
      </c>
      <c r="B892" s="2" t="s">
        <v>2987</v>
      </c>
      <c r="C892" s="7" t="s">
        <v>35</v>
      </c>
      <c r="D892" s="2" t="s">
        <v>2988</v>
      </c>
      <c r="E892" s="2" t="s">
        <v>35</v>
      </c>
      <c r="F892" s="2" t="s">
        <v>37</v>
      </c>
      <c r="G892" s="2" t="s">
        <v>2989</v>
      </c>
      <c r="H892" s="2" t="s">
        <v>2990</v>
      </c>
      <c r="I892" s="2" t="s">
        <v>2991</v>
      </c>
      <c r="J892" s="2" t="s">
        <v>40</v>
      </c>
      <c r="K892" s="2" t="s">
        <v>2992</v>
      </c>
      <c r="L892" s="2" t="s">
        <v>42</v>
      </c>
      <c r="M892" s="2" t="s">
        <v>2993</v>
      </c>
      <c r="N892" s="2" t="s">
        <v>35</v>
      </c>
      <c r="O892" s="2" t="s">
        <v>2089</v>
      </c>
      <c r="P892" s="2" t="s">
        <v>35</v>
      </c>
      <c r="Q892" s="2" t="s">
        <v>35</v>
      </c>
    </row>
    <row r="893" spans="1:17" ht="129.6">
      <c r="A893" s="8" t="str">
        <f>HYPERLINK("http://sipi.sic.gov.co/sipi/View.ashx?4619778","SD2023/0017377")</f>
        <v>SD2023/0017377</v>
      </c>
      <c r="B893" s="2" t="s">
        <v>2994</v>
      </c>
      <c r="C893" s="2" t="s">
        <v>35</v>
      </c>
      <c r="D893" s="2" t="s">
        <v>2041</v>
      </c>
      <c r="E893" s="2" t="s">
        <v>35</v>
      </c>
      <c r="F893" s="2" t="s">
        <v>37</v>
      </c>
      <c r="G893" s="2" t="s">
        <v>2994</v>
      </c>
      <c r="H893" s="2" t="s">
        <v>2995</v>
      </c>
      <c r="I893" s="2" t="s">
        <v>12</v>
      </c>
      <c r="J893" s="2" t="s">
        <v>40</v>
      </c>
      <c r="K893" s="2" t="s">
        <v>2996</v>
      </c>
      <c r="L893" s="2" t="s">
        <v>42</v>
      </c>
      <c r="M893" s="2" t="s">
        <v>2997</v>
      </c>
      <c r="N893" s="2" t="s">
        <v>35</v>
      </c>
      <c r="O893" s="2" t="s">
        <v>2089</v>
      </c>
      <c r="P893" s="2" t="s">
        <v>35</v>
      </c>
      <c r="Q893" s="2" t="s">
        <v>35</v>
      </c>
    </row>
    <row r="894" spans="1:17" ht="100.8">
      <c r="A894" s="8" t="str">
        <f>HYPERLINK("http://sipi.sic.gov.co/sipi/View.ashx?4620014","SD2023/0017449")</f>
        <v>SD2023/0017449</v>
      </c>
      <c r="B894" s="2" t="s">
        <v>2998</v>
      </c>
      <c r="C894" s="2" t="s">
        <v>35</v>
      </c>
      <c r="D894" s="2" t="s">
        <v>2988</v>
      </c>
      <c r="E894" s="2" t="s">
        <v>35</v>
      </c>
      <c r="F894" s="2" t="s">
        <v>37</v>
      </c>
      <c r="G894" s="2" t="s">
        <v>2998</v>
      </c>
      <c r="H894" s="2" t="s">
        <v>2999</v>
      </c>
      <c r="I894" s="2" t="s">
        <v>12</v>
      </c>
      <c r="J894" s="2" t="s">
        <v>40</v>
      </c>
      <c r="K894" s="2" t="s">
        <v>3000</v>
      </c>
      <c r="L894" s="2" t="s">
        <v>42</v>
      </c>
      <c r="M894" s="2" t="s">
        <v>3001</v>
      </c>
      <c r="N894" s="2" t="s">
        <v>35</v>
      </c>
      <c r="O894" s="2" t="s">
        <v>2089</v>
      </c>
      <c r="P894" s="2" t="s">
        <v>35</v>
      </c>
      <c r="Q894" s="2" t="s">
        <v>35</v>
      </c>
    </row>
    <row r="895" spans="1:17" ht="216">
      <c r="A895" s="8" t="str">
        <f>HYPERLINK("http://sipi.sic.gov.co/sipi/View.ashx?4620029","SD2023/0017462")</f>
        <v>SD2023/0017462</v>
      </c>
      <c r="B895" s="2" t="s">
        <v>3002</v>
      </c>
      <c r="C895" s="2" t="s">
        <v>35</v>
      </c>
      <c r="D895" s="2" t="s">
        <v>2988</v>
      </c>
      <c r="E895" s="2" t="s">
        <v>35</v>
      </c>
      <c r="F895" s="2" t="s">
        <v>37</v>
      </c>
      <c r="G895" s="2" t="s">
        <v>3003</v>
      </c>
      <c r="H895" s="2" t="s">
        <v>3004</v>
      </c>
      <c r="I895" s="2" t="s">
        <v>3005</v>
      </c>
      <c r="J895" s="2" t="s">
        <v>40</v>
      </c>
      <c r="K895" s="2" t="s">
        <v>3006</v>
      </c>
      <c r="L895" s="2" t="s">
        <v>42</v>
      </c>
      <c r="M895" s="2" t="s">
        <v>440</v>
      </c>
      <c r="N895" s="2" t="s">
        <v>35</v>
      </c>
      <c r="O895" s="2" t="s">
        <v>2346</v>
      </c>
      <c r="P895" s="2" t="s">
        <v>35</v>
      </c>
      <c r="Q895" s="2" t="s">
        <v>35</v>
      </c>
    </row>
    <row r="896" spans="1:17" ht="100.8">
      <c r="A896" s="8" t="str">
        <f>HYPERLINK("http://sipi.sic.gov.co/sipi/View.ashx?4620123","SD2023/0018110")</f>
        <v>SD2023/0018110</v>
      </c>
      <c r="B896" s="2" t="s">
        <v>3007</v>
      </c>
      <c r="C896" s="7" t="s">
        <v>35</v>
      </c>
      <c r="D896" s="2" t="s">
        <v>2041</v>
      </c>
      <c r="E896" s="2" t="s">
        <v>35</v>
      </c>
      <c r="F896" s="2" t="s">
        <v>37</v>
      </c>
      <c r="G896" s="2" t="s">
        <v>3008</v>
      </c>
      <c r="H896" s="2" t="s">
        <v>3009</v>
      </c>
      <c r="I896" s="2" t="s">
        <v>12</v>
      </c>
      <c r="J896" s="2" t="s">
        <v>40</v>
      </c>
      <c r="K896" s="2" t="s">
        <v>3010</v>
      </c>
      <c r="L896" s="2" t="s">
        <v>42</v>
      </c>
      <c r="M896" s="2" t="s">
        <v>3011</v>
      </c>
      <c r="N896" s="2" t="s">
        <v>35</v>
      </c>
      <c r="O896" s="2" t="s">
        <v>762</v>
      </c>
      <c r="P896" s="2" t="s">
        <v>35</v>
      </c>
      <c r="Q896" s="2" t="s">
        <v>35</v>
      </c>
    </row>
    <row r="897" spans="1:17" ht="259.2">
      <c r="A897" s="8" t="str">
        <f>HYPERLINK("http://sipi.sic.gov.co/sipi/View.ashx?4622084","SD2023/0018375")</f>
        <v>SD2023/0018375</v>
      </c>
      <c r="B897" s="2" t="s">
        <v>3012</v>
      </c>
      <c r="C897" s="7" t="s">
        <v>35</v>
      </c>
      <c r="D897" s="2" t="s">
        <v>3013</v>
      </c>
      <c r="E897" s="2" t="s">
        <v>35</v>
      </c>
      <c r="F897" s="2" t="s">
        <v>37</v>
      </c>
      <c r="G897" s="2" t="s">
        <v>3012</v>
      </c>
      <c r="H897" s="2" t="s">
        <v>3014</v>
      </c>
      <c r="I897" s="2" t="s">
        <v>195</v>
      </c>
      <c r="J897" s="2" t="s">
        <v>40</v>
      </c>
      <c r="K897" s="2" t="s">
        <v>3015</v>
      </c>
      <c r="L897" s="2" t="s">
        <v>42</v>
      </c>
      <c r="M897" s="2" t="s">
        <v>3016</v>
      </c>
      <c r="N897" s="2" t="s">
        <v>35</v>
      </c>
      <c r="O897" s="2" t="s">
        <v>1733</v>
      </c>
      <c r="P897" s="2" t="s">
        <v>35</v>
      </c>
      <c r="Q897" s="2" t="s">
        <v>35</v>
      </c>
    </row>
    <row r="898" spans="1:17" ht="172.8">
      <c r="A898" s="8" t="str">
        <f>HYPERLINK("http://sipi.sic.gov.co/sipi/View.ashx?4623519","SD2023/0018414")</f>
        <v>SD2023/0018414</v>
      </c>
      <c r="B898" s="2" t="s">
        <v>3017</v>
      </c>
      <c r="C898" s="2" t="s">
        <v>35</v>
      </c>
      <c r="D898" s="2" t="s">
        <v>3013</v>
      </c>
      <c r="E898" s="2" t="s">
        <v>35</v>
      </c>
      <c r="F898" s="2" t="s">
        <v>37</v>
      </c>
      <c r="G898" s="2" t="s">
        <v>3018</v>
      </c>
      <c r="H898" s="2" t="s">
        <v>3019</v>
      </c>
      <c r="I898" s="2" t="s">
        <v>12</v>
      </c>
      <c r="J898" s="2" t="s">
        <v>40</v>
      </c>
      <c r="K898" s="2" t="s">
        <v>3020</v>
      </c>
      <c r="L898" s="2" t="s">
        <v>42</v>
      </c>
      <c r="M898" s="2" t="s">
        <v>3021</v>
      </c>
      <c r="N898" s="2" t="s">
        <v>35</v>
      </c>
      <c r="O898" s="2" t="s">
        <v>3022</v>
      </c>
      <c r="P898" s="2" t="s">
        <v>35</v>
      </c>
      <c r="Q898" s="2" t="s">
        <v>35</v>
      </c>
    </row>
    <row r="899" spans="1:17" ht="129.6">
      <c r="A899" s="8" t="str">
        <f>HYPERLINK("http://sipi.sic.gov.co/sipi/View.ashx?4623988","SD2023/0018605")</f>
        <v>SD2023/0018605</v>
      </c>
      <c r="B899" s="2" t="s">
        <v>3023</v>
      </c>
      <c r="C899" s="2" t="s">
        <v>35</v>
      </c>
      <c r="D899" s="2" t="s">
        <v>3024</v>
      </c>
      <c r="E899" s="2" t="s">
        <v>35</v>
      </c>
      <c r="F899" s="2" t="s">
        <v>37</v>
      </c>
      <c r="G899" s="2" t="s">
        <v>374</v>
      </c>
      <c r="H899" s="2" t="s">
        <v>3025</v>
      </c>
      <c r="I899" s="2" t="s">
        <v>12</v>
      </c>
      <c r="J899" s="2" t="s">
        <v>40</v>
      </c>
      <c r="K899" s="2" t="s">
        <v>3026</v>
      </c>
      <c r="L899" s="2" t="s">
        <v>42</v>
      </c>
      <c r="M899" s="2" t="s">
        <v>3027</v>
      </c>
      <c r="N899" s="2" t="s">
        <v>35</v>
      </c>
      <c r="O899" s="2" t="s">
        <v>2382</v>
      </c>
      <c r="P899" s="2" t="s">
        <v>35</v>
      </c>
      <c r="Q899" s="2" t="s">
        <v>35</v>
      </c>
    </row>
    <row r="900" spans="1:17" ht="100.8">
      <c r="A900" s="8" t="str">
        <f>HYPERLINK("http://sipi.sic.gov.co/sipi/View.ashx?4624750","SD2023/0018790")</f>
        <v>SD2023/0018790</v>
      </c>
      <c r="B900" s="2" t="s">
        <v>3028</v>
      </c>
      <c r="C900" s="2" t="s">
        <v>35</v>
      </c>
      <c r="D900" s="2" t="s">
        <v>3024</v>
      </c>
      <c r="E900" s="2" t="s">
        <v>35</v>
      </c>
      <c r="F900" s="2" t="s">
        <v>37</v>
      </c>
      <c r="G900" s="2" t="s">
        <v>3028</v>
      </c>
      <c r="H900" s="2" t="s">
        <v>3029</v>
      </c>
      <c r="I900" s="2" t="s">
        <v>12</v>
      </c>
      <c r="J900" s="2" t="s">
        <v>40</v>
      </c>
      <c r="K900" s="2" t="s">
        <v>1894</v>
      </c>
      <c r="L900" s="2" t="s">
        <v>42</v>
      </c>
      <c r="M900" s="2" t="s">
        <v>471</v>
      </c>
      <c r="N900" s="2" t="s">
        <v>35</v>
      </c>
      <c r="O900" s="2" t="s">
        <v>2382</v>
      </c>
      <c r="P900" s="2" t="s">
        <v>35</v>
      </c>
      <c r="Q900" s="2" t="s">
        <v>35</v>
      </c>
    </row>
    <row r="901" spans="1:17" ht="115.2">
      <c r="A901" s="8" t="str">
        <f>HYPERLINK("http://sipi.sic.gov.co/sipi/View.ashx?4626372","SD2023/0019249")</f>
        <v>SD2023/0019249</v>
      </c>
      <c r="B901" s="2" t="s">
        <v>3030</v>
      </c>
      <c r="C901" s="2" t="s">
        <v>35</v>
      </c>
      <c r="D901" s="2" t="s">
        <v>3031</v>
      </c>
      <c r="E901" s="2" t="s">
        <v>35</v>
      </c>
      <c r="F901" s="2" t="s">
        <v>37</v>
      </c>
      <c r="G901" s="2" t="s">
        <v>35</v>
      </c>
      <c r="H901" s="2" t="s">
        <v>3032</v>
      </c>
      <c r="I901" s="2" t="s">
        <v>12</v>
      </c>
      <c r="J901" s="2" t="s">
        <v>40</v>
      </c>
      <c r="K901" s="2" t="s">
        <v>41</v>
      </c>
      <c r="L901" s="2" t="s">
        <v>55</v>
      </c>
      <c r="M901" s="2" t="s">
        <v>343</v>
      </c>
      <c r="N901" s="2" t="s">
        <v>35</v>
      </c>
      <c r="O901" s="2" t="s">
        <v>10</v>
      </c>
      <c r="P901" s="2" t="s">
        <v>35</v>
      </c>
      <c r="Q901" s="2" t="s">
        <v>35</v>
      </c>
    </row>
    <row r="902" spans="1:17" ht="144">
      <c r="A902" s="8" t="str">
        <f>HYPERLINK("http://sipi.sic.gov.co/sipi/View.ashx?4628636","SD2023/0020469")</f>
        <v>SD2023/0020469</v>
      </c>
      <c r="B902" s="2" t="s">
        <v>3033</v>
      </c>
      <c r="C902" s="7" t="s">
        <v>35</v>
      </c>
      <c r="D902" s="2" t="s">
        <v>3034</v>
      </c>
      <c r="E902" s="2" t="s">
        <v>35</v>
      </c>
      <c r="F902" s="2" t="s">
        <v>37</v>
      </c>
      <c r="G902" s="2" t="s">
        <v>3035</v>
      </c>
      <c r="H902" s="2" t="s">
        <v>831</v>
      </c>
      <c r="I902" s="2" t="s">
        <v>12</v>
      </c>
      <c r="J902" s="2" t="s">
        <v>40</v>
      </c>
      <c r="K902" s="2" t="s">
        <v>3036</v>
      </c>
      <c r="L902" s="2" t="s">
        <v>55</v>
      </c>
      <c r="M902" s="2" t="s">
        <v>2220</v>
      </c>
      <c r="N902" s="2" t="s">
        <v>35</v>
      </c>
      <c r="O902" s="2" t="s">
        <v>2346</v>
      </c>
      <c r="P902" s="2" t="s">
        <v>35</v>
      </c>
      <c r="Q902" s="2" t="s">
        <v>35</v>
      </c>
    </row>
    <row r="903" spans="1:17" ht="115.2">
      <c r="A903" s="8" t="str">
        <f>HYPERLINK("http://sipi.sic.gov.co/sipi/View.ashx?4629989","SD2023/0020881")</f>
        <v>SD2023/0020881</v>
      </c>
      <c r="B903" s="2" t="s">
        <v>3037</v>
      </c>
      <c r="C903" s="2" t="s">
        <v>35</v>
      </c>
      <c r="D903" s="2" t="s">
        <v>3038</v>
      </c>
      <c r="E903" s="2" t="s">
        <v>35</v>
      </c>
      <c r="F903" s="2" t="s">
        <v>37</v>
      </c>
      <c r="G903" s="2" t="s">
        <v>3039</v>
      </c>
      <c r="H903" s="2" t="s">
        <v>3040</v>
      </c>
      <c r="I903" s="2" t="s">
        <v>12</v>
      </c>
      <c r="J903" s="2" t="s">
        <v>40</v>
      </c>
      <c r="K903" s="2" t="s">
        <v>3041</v>
      </c>
      <c r="L903" s="2" t="s">
        <v>42</v>
      </c>
      <c r="M903" s="2" t="s">
        <v>35</v>
      </c>
      <c r="N903" s="2" t="s">
        <v>35</v>
      </c>
      <c r="O903" s="2" t="s">
        <v>2089</v>
      </c>
      <c r="P903" s="2" t="s">
        <v>35</v>
      </c>
      <c r="Q903" s="2" t="s">
        <v>35</v>
      </c>
    </row>
    <row r="904" spans="1:17" ht="100.8">
      <c r="A904" s="8" t="str">
        <f>HYPERLINK("http://sipi.sic.gov.co/sipi/View.ashx?4633233","SD2023/0021244")</f>
        <v>SD2023/0021244</v>
      </c>
      <c r="B904" s="2" t="s">
        <v>3042</v>
      </c>
      <c r="C904" s="7" t="s">
        <v>35</v>
      </c>
      <c r="D904" s="2" t="s">
        <v>1790</v>
      </c>
      <c r="E904" s="2" t="s">
        <v>35</v>
      </c>
      <c r="F904" s="2" t="s">
        <v>37</v>
      </c>
      <c r="G904" s="2" t="s">
        <v>3042</v>
      </c>
      <c r="H904" s="2" t="s">
        <v>3043</v>
      </c>
      <c r="I904" s="2" t="s">
        <v>12</v>
      </c>
      <c r="J904" s="2" t="s">
        <v>40</v>
      </c>
      <c r="K904" s="2" t="s">
        <v>3044</v>
      </c>
      <c r="L904" s="2" t="s">
        <v>42</v>
      </c>
      <c r="M904" s="2" t="s">
        <v>35</v>
      </c>
      <c r="N904" s="2" t="s">
        <v>35</v>
      </c>
      <c r="O904" s="2" t="s">
        <v>2377</v>
      </c>
      <c r="P904" s="2" t="s">
        <v>35</v>
      </c>
      <c r="Q904" s="2" t="s">
        <v>35</v>
      </c>
    </row>
    <row r="905" spans="1:17" ht="144">
      <c r="A905" s="8" t="str">
        <f>HYPERLINK("http://sipi.sic.gov.co/sipi/View.ashx?4635558","SD2023/0021841")</f>
        <v>SD2023/0021841</v>
      </c>
      <c r="B905" s="2" t="s">
        <v>3045</v>
      </c>
      <c r="C905" s="2" t="s">
        <v>35</v>
      </c>
      <c r="D905" s="2" t="s">
        <v>2089</v>
      </c>
      <c r="E905" s="2" t="s">
        <v>35</v>
      </c>
      <c r="F905" s="2" t="s">
        <v>37</v>
      </c>
      <c r="G905" s="2" t="s">
        <v>3046</v>
      </c>
      <c r="H905" s="2" t="s">
        <v>3047</v>
      </c>
      <c r="I905" s="2" t="s">
        <v>12</v>
      </c>
      <c r="J905" s="2" t="s">
        <v>40</v>
      </c>
      <c r="K905" s="2" t="s">
        <v>3048</v>
      </c>
      <c r="L905" s="2" t="s">
        <v>42</v>
      </c>
      <c r="M905" s="2" t="s">
        <v>364</v>
      </c>
      <c r="N905" s="2" t="s">
        <v>35</v>
      </c>
      <c r="O905" s="2" t="s">
        <v>2292</v>
      </c>
      <c r="P905" s="2" t="s">
        <v>35</v>
      </c>
      <c r="Q905" s="2" t="s">
        <v>35</v>
      </c>
    </row>
    <row r="906" spans="1:17" ht="409.6">
      <c r="A906" s="8" t="str">
        <f>HYPERLINK("http://sipi.sic.gov.co/sipi/View.ashx?4635577","SD2023/0021856")</f>
        <v>SD2023/0021856</v>
      </c>
      <c r="B906" s="2" t="s">
        <v>3049</v>
      </c>
      <c r="C906" s="2" t="s">
        <v>35</v>
      </c>
      <c r="D906" s="2" t="s">
        <v>2089</v>
      </c>
      <c r="E906" s="2" t="s">
        <v>35</v>
      </c>
      <c r="F906" s="2" t="s">
        <v>37</v>
      </c>
      <c r="G906" s="2" t="s">
        <v>3050</v>
      </c>
      <c r="H906" s="2" t="s">
        <v>3051</v>
      </c>
      <c r="I906" s="2" t="s">
        <v>3052</v>
      </c>
      <c r="J906" s="2" t="s">
        <v>40</v>
      </c>
      <c r="K906" s="2" t="s">
        <v>3053</v>
      </c>
      <c r="L906" s="2" t="s">
        <v>55</v>
      </c>
      <c r="M906" s="2" t="s">
        <v>168</v>
      </c>
      <c r="N906" s="2" t="s">
        <v>35</v>
      </c>
      <c r="O906" s="2" t="s">
        <v>2346</v>
      </c>
      <c r="P906" s="2" t="s">
        <v>35</v>
      </c>
      <c r="Q906" s="2" t="s">
        <v>35</v>
      </c>
    </row>
    <row r="907" spans="1:17" ht="129.6">
      <c r="A907" s="8" t="str">
        <f>HYPERLINK("http://sipi.sic.gov.co/sipi/View.ashx?4640038","SD2023/0023017")</f>
        <v>SD2023/0023017</v>
      </c>
      <c r="B907" s="2" t="s">
        <v>3054</v>
      </c>
      <c r="C907" s="2" t="s">
        <v>35</v>
      </c>
      <c r="D907" s="2" t="s">
        <v>3055</v>
      </c>
      <c r="E907" s="2" t="s">
        <v>35</v>
      </c>
      <c r="F907" s="2" t="s">
        <v>37</v>
      </c>
      <c r="G907" s="2" t="s">
        <v>3056</v>
      </c>
      <c r="H907" s="2" t="s">
        <v>1120</v>
      </c>
      <c r="I907" s="2" t="s">
        <v>1121</v>
      </c>
      <c r="J907" s="2" t="s">
        <v>40</v>
      </c>
      <c r="K907" s="2" t="s">
        <v>3057</v>
      </c>
      <c r="L907" s="2" t="s">
        <v>42</v>
      </c>
      <c r="M907" s="2" t="s">
        <v>833</v>
      </c>
      <c r="N907" s="2" t="s">
        <v>35</v>
      </c>
      <c r="O907" s="2" t="s">
        <v>1947</v>
      </c>
      <c r="P907" s="2" t="s">
        <v>35</v>
      </c>
      <c r="Q907" s="2" t="s">
        <v>35</v>
      </c>
    </row>
    <row r="908" spans="1:17" ht="409.6">
      <c r="A908" s="8" t="str">
        <f>HYPERLINK("http://sipi.sic.gov.co/sipi/View.ashx?4641909","SD2023/0023543")</f>
        <v>SD2023/0023543</v>
      </c>
      <c r="B908" s="2" t="s">
        <v>3058</v>
      </c>
      <c r="C908" s="7" t="s">
        <v>35</v>
      </c>
      <c r="D908" s="2" t="s">
        <v>3059</v>
      </c>
      <c r="E908" s="2" t="s">
        <v>35</v>
      </c>
      <c r="F908" s="2" t="s">
        <v>37</v>
      </c>
      <c r="G908" s="2" t="s">
        <v>35</v>
      </c>
      <c r="H908" s="2" t="s">
        <v>3060</v>
      </c>
      <c r="I908" s="2" t="s">
        <v>149</v>
      </c>
      <c r="J908" s="2" t="s">
        <v>40</v>
      </c>
      <c r="K908" s="2" t="s">
        <v>3061</v>
      </c>
      <c r="L908" s="2" t="s">
        <v>42</v>
      </c>
      <c r="M908" s="2" t="s">
        <v>1076</v>
      </c>
      <c r="N908" s="2" t="s">
        <v>35</v>
      </c>
      <c r="O908" s="2" t="s">
        <v>1286</v>
      </c>
      <c r="P908" s="2" t="s">
        <v>35</v>
      </c>
      <c r="Q908" s="2" t="s">
        <v>35</v>
      </c>
    </row>
    <row r="909" spans="1:17" ht="409.6">
      <c r="A909" s="8" t="str">
        <f>HYPERLINK("http://sipi.sic.gov.co/sipi/View.ashx?4644649","SD2023/0024725")</f>
        <v>SD2023/0024725</v>
      </c>
      <c r="B909" s="2" t="s">
        <v>3062</v>
      </c>
      <c r="C909" s="2" t="s">
        <v>35</v>
      </c>
      <c r="D909" s="2" t="s">
        <v>3063</v>
      </c>
      <c r="E909" s="2" t="s">
        <v>35</v>
      </c>
      <c r="F909" s="2" t="s">
        <v>37</v>
      </c>
      <c r="G909" s="2" t="s">
        <v>3062</v>
      </c>
      <c r="H909" s="2" t="s">
        <v>3064</v>
      </c>
      <c r="I909" s="2" t="s">
        <v>991</v>
      </c>
      <c r="J909" s="2" t="s">
        <v>40</v>
      </c>
      <c r="K909" s="2" t="s">
        <v>3065</v>
      </c>
      <c r="L909" s="2" t="s">
        <v>42</v>
      </c>
      <c r="M909" s="2" t="s">
        <v>155</v>
      </c>
      <c r="N909" s="2" t="s">
        <v>35</v>
      </c>
      <c r="O909" s="2" t="s">
        <v>2346</v>
      </c>
      <c r="P909" s="2" t="s">
        <v>35</v>
      </c>
      <c r="Q909" s="2" t="s">
        <v>35</v>
      </c>
    </row>
    <row r="910" spans="1:17" ht="409.6">
      <c r="A910" s="8" t="str">
        <f>HYPERLINK("http://sipi.sic.gov.co/sipi/View.ashx?4645017","SD2023/0025114")</f>
        <v>SD2023/0025114</v>
      </c>
      <c r="B910" s="2" t="s">
        <v>3066</v>
      </c>
      <c r="C910" s="2" t="s">
        <v>35</v>
      </c>
      <c r="D910" s="2" t="s">
        <v>3067</v>
      </c>
      <c r="E910" s="2" t="s">
        <v>35</v>
      </c>
      <c r="F910" s="2" t="s">
        <v>37</v>
      </c>
      <c r="G910" s="2" t="s">
        <v>3066</v>
      </c>
      <c r="H910" s="2" t="s">
        <v>3068</v>
      </c>
      <c r="I910" s="2" t="s">
        <v>991</v>
      </c>
      <c r="J910" s="2" t="s">
        <v>40</v>
      </c>
      <c r="K910" s="2" t="s">
        <v>3069</v>
      </c>
      <c r="L910" s="2" t="s">
        <v>55</v>
      </c>
      <c r="M910" s="2" t="s">
        <v>3070</v>
      </c>
      <c r="N910" s="2" t="s">
        <v>35</v>
      </c>
      <c r="O910" s="2" t="s">
        <v>2346</v>
      </c>
      <c r="P910" s="2" t="s">
        <v>35</v>
      </c>
      <c r="Q910" s="2" t="s">
        <v>35</v>
      </c>
    </row>
    <row r="911" spans="1:17" ht="187.2">
      <c r="A911" s="8" t="str">
        <f>HYPERLINK("http://sipi.sic.gov.co/sipi/View.ashx?4645559","SD2023/0024316")</f>
        <v>SD2023/0024316</v>
      </c>
      <c r="B911" s="2" t="s">
        <v>3071</v>
      </c>
      <c r="C911" s="7" t="s">
        <v>35</v>
      </c>
      <c r="D911" s="2" t="s">
        <v>1790</v>
      </c>
      <c r="E911" s="2" t="s">
        <v>35</v>
      </c>
      <c r="F911" s="2" t="s">
        <v>37</v>
      </c>
      <c r="G911" s="2" t="s">
        <v>35</v>
      </c>
      <c r="H911" s="2" t="s">
        <v>2938</v>
      </c>
      <c r="I911" s="2" t="s">
        <v>12</v>
      </c>
      <c r="J911" s="2" t="s">
        <v>40</v>
      </c>
      <c r="K911" s="2" t="s">
        <v>949</v>
      </c>
      <c r="L911" s="2" t="s">
        <v>42</v>
      </c>
      <c r="M911" s="2" t="s">
        <v>371</v>
      </c>
      <c r="N911" s="2" t="s">
        <v>35</v>
      </c>
      <c r="O911" s="2" t="s">
        <v>762</v>
      </c>
      <c r="P911" s="2" t="s">
        <v>35</v>
      </c>
      <c r="Q911" s="2" t="s">
        <v>35</v>
      </c>
    </row>
    <row r="912" spans="1:17" ht="144">
      <c r="A912" s="8" t="str">
        <f>HYPERLINK("http://sipi.sic.gov.co/sipi/View.ashx?4645657","SD2023/0024340")</f>
        <v>SD2023/0024340</v>
      </c>
      <c r="B912" s="2" t="s">
        <v>3072</v>
      </c>
      <c r="C912" s="2" t="s">
        <v>35</v>
      </c>
      <c r="D912" s="2" t="s">
        <v>1790</v>
      </c>
      <c r="E912" s="2" t="s">
        <v>35</v>
      </c>
      <c r="F912" s="2" t="s">
        <v>37</v>
      </c>
      <c r="G912" s="2" t="s">
        <v>3072</v>
      </c>
      <c r="H912" s="2" t="s">
        <v>3073</v>
      </c>
      <c r="I912" s="2" t="s">
        <v>12</v>
      </c>
      <c r="J912" s="2" t="s">
        <v>40</v>
      </c>
      <c r="K912" s="2" t="s">
        <v>3074</v>
      </c>
      <c r="L912" s="2" t="s">
        <v>42</v>
      </c>
      <c r="M912" s="2" t="s">
        <v>507</v>
      </c>
      <c r="N912" s="2" t="s">
        <v>35</v>
      </c>
      <c r="O912" s="2" t="s">
        <v>3075</v>
      </c>
      <c r="P912" s="2" t="s">
        <v>35</v>
      </c>
      <c r="Q912" s="2" t="s">
        <v>35</v>
      </c>
    </row>
    <row r="913" spans="1:17" ht="129.6">
      <c r="A913" s="8" t="str">
        <f>HYPERLINK("http://sipi.sic.gov.co/sipi/View.ashx?4646481","SD2023/0025032")</f>
        <v>SD2023/0025032</v>
      </c>
      <c r="B913" s="2" t="s">
        <v>3076</v>
      </c>
      <c r="C913" s="2" t="s">
        <v>35</v>
      </c>
      <c r="D913" s="2" t="s">
        <v>3063</v>
      </c>
      <c r="E913" s="2" t="s">
        <v>35</v>
      </c>
      <c r="F913" s="2" t="s">
        <v>37</v>
      </c>
      <c r="G913" s="2" t="s">
        <v>3076</v>
      </c>
      <c r="H913" s="2" t="s">
        <v>3025</v>
      </c>
      <c r="I913" s="2" t="s">
        <v>12</v>
      </c>
      <c r="J913" s="2" t="s">
        <v>40</v>
      </c>
      <c r="K913" s="2" t="s">
        <v>2224</v>
      </c>
      <c r="L913" s="2" t="s">
        <v>42</v>
      </c>
      <c r="M913" s="2" t="s">
        <v>3027</v>
      </c>
      <c r="N913" s="2" t="s">
        <v>35</v>
      </c>
      <c r="O913" s="2" t="s">
        <v>2382</v>
      </c>
      <c r="P913" s="2" t="s">
        <v>35</v>
      </c>
      <c r="Q913" s="2" t="s">
        <v>35</v>
      </c>
    </row>
    <row r="914" spans="1:17" ht="129.6">
      <c r="A914" s="8" t="str">
        <f>HYPERLINK("http://sipi.sic.gov.co/sipi/View.ashx?4648423","SD2023/0025501")</f>
        <v>SD2023/0025501</v>
      </c>
      <c r="B914" s="2" t="s">
        <v>3077</v>
      </c>
      <c r="C914" s="2" t="s">
        <v>35</v>
      </c>
      <c r="D914" s="2" t="s">
        <v>3067</v>
      </c>
      <c r="E914" s="2" t="s">
        <v>35</v>
      </c>
      <c r="F914" s="2" t="s">
        <v>37</v>
      </c>
      <c r="G914" s="2" t="s">
        <v>3077</v>
      </c>
      <c r="H914" s="2" t="s">
        <v>3025</v>
      </c>
      <c r="I914" s="2" t="s">
        <v>12</v>
      </c>
      <c r="J914" s="2" t="s">
        <v>40</v>
      </c>
      <c r="K914" s="2" t="s">
        <v>2224</v>
      </c>
      <c r="L914" s="2" t="s">
        <v>55</v>
      </c>
      <c r="M914" s="2" t="s">
        <v>3027</v>
      </c>
      <c r="N914" s="2" t="s">
        <v>35</v>
      </c>
      <c r="O914" s="2" t="s">
        <v>2382</v>
      </c>
      <c r="P914" s="2" t="s">
        <v>35</v>
      </c>
      <c r="Q914" s="2" t="s">
        <v>35</v>
      </c>
    </row>
    <row r="915" spans="1:17" ht="129.6">
      <c r="A915" s="8" t="str">
        <f>HYPERLINK("http://sipi.sic.gov.co/sipi/View.ashx?4648948","SD2023/0025503")</f>
        <v>SD2023/0025503</v>
      </c>
      <c r="B915" s="2" t="s">
        <v>3078</v>
      </c>
      <c r="C915" s="2" t="s">
        <v>35</v>
      </c>
      <c r="D915" s="2" t="s">
        <v>3067</v>
      </c>
      <c r="E915" s="2" t="s">
        <v>35</v>
      </c>
      <c r="F915" s="2" t="s">
        <v>37</v>
      </c>
      <c r="G915" s="2" t="s">
        <v>3078</v>
      </c>
      <c r="H915" s="2" t="s">
        <v>3025</v>
      </c>
      <c r="I915" s="2" t="s">
        <v>12</v>
      </c>
      <c r="J915" s="2" t="s">
        <v>40</v>
      </c>
      <c r="K915" s="2" t="s">
        <v>3079</v>
      </c>
      <c r="L915" s="2" t="s">
        <v>55</v>
      </c>
      <c r="M915" s="2" t="s">
        <v>3027</v>
      </c>
      <c r="N915" s="2" t="s">
        <v>35</v>
      </c>
      <c r="O915" s="2" t="s">
        <v>2382</v>
      </c>
      <c r="P915" s="2" t="s">
        <v>35</v>
      </c>
      <c r="Q915" s="2" t="s">
        <v>35</v>
      </c>
    </row>
    <row r="916" spans="1:17" ht="100.8">
      <c r="A916" s="8" t="str">
        <f>HYPERLINK("http://sipi.sic.gov.co/sipi/View.ashx?4651149","SD2023/0025849")</f>
        <v>SD2023/0025849</v>
      </c>
      <c r="B916" s="2" t="s">
        <v>3080</v>
      </c>
      <c r="C916" s="2" t="s">
        <v>35</v>
      </c>
      <c r="D916" s="2" t="s">
        <v>3081</v>
      </c>
      <c r="E916" s="2" t="s">
        <v>35</v>
      </c>
      <c r="F916" s="2" t="s">
        <v>37</v>
      </c>
      <c r="G916" s="2" t="s">
        <v>3082</v>
      </c>
      <c r="H916" s="2" t="s">
        <v>3004</v>
      </c>
      <c r="I916" s="2" t="s">
        <v>195</v>
      </c>
      <c r="J916" s="2" t="s">
        <v>40</v>
      </c>
      <c r="K916" s="2" t="s">
        <v>3083</v>
      </c>
      <c r="L916" s="2" t="s">
        <v>42</v>
      </c>
      <c r="M916" s="2" t="s">
        <v>440</v>
      </c>
      <c r="N916" s="2" t="s">
        <v>35</v>
      </c>
      <c r="O916" s="2" t="s">
        <v>2045</v>
      </c>
      <c r="P916" s="2" t="s">
        <v>35</v>
      </c>
      <c r="Q916" s="2" t="s">
        <v>35</v>
      </c>
    </row>
    <row r="917" spans="1:17" ht="129.6">
      <c r="A917" s="8" t="str">
        <f>HYPERLINK("http://sipi.sic.gov.co/sipi/View.ashx?4651424","SD2023/0026350")</f>
        <v>SD2023/0026350</v>
      </c>
      <c r="B917" s="2" t="s">
        <v>3084</v>
      </c>
      <c r="C917" s="2" t="s">
        <v>35</v>
      </c>
      <c r="D917" s="2" t="s">
        <v>3085</v>
      </c>
      <c r="E917" s="2" t="s">
        <v>35</v>
      </c>
      <c r="F917" s="2" t="s">
        <v>37</v>
      </c>
      <c r="G917" s="2" t="s">
        <v>3086</v>
      </c>
      <c r="H917" s="2" t="s">
        <v>3087</v>
      </c>
      <c r="I917" s="2" t="s">
        <v>12</v>
      </c>
      <c r="J917" s="2" t="s">
        <v>40</v>
      </c>
      <c r="K917" s="2" t="s">
        <v>3088</v>
      </c>
      <c r="L917" s="2" t="s">
        <v>55</v>
      </c>
      <c r="M917" s="2" t="s">
        <v>515</v>
      </c>
      <c r="N917" s="2" t="s">
        <v>35</v>
      </c>
      <c r="O917" s="2" t="s">
        <v>762</v>
      </c>
      <c r="P917" s="2" t="s">
        <v>35</v>
      </c>
      <c r="Q917" s="2" t="s">
        <v>35</v>
      </c>
    </row>
    <row r="918" spans="1:17" ht="273.60000000000002">
      <c r="A918" s="8" t="str">
        <f>HYPERLINK("http://sipi.sic.gov.co/sipi/View.ashx?4651532","SD2023/0039419")</f>
        <v>SD2023/0039419</v>
      </c>
      <c r="B918" s="2" t="s">
        <v>3089</v>
      </c>
      <c r="C918" s="7" t="s">
        <v>35</v>
      </c>
      <c r="D918" s="2" t="s">
        <v>3090</v>
      </c>
      <c r="E918" s="2" t="s">
        <v>35</v>
      </c>
      <c r="F918" s="2" t="s">
        <v>37</v>
      </c>
      <c r="G918" s="2" t="s">
        <v>3091</v>
      </c>
      <c r="H918" s="2" t="s">
        <v>3092</v>
      </c>
      <c r="I918" s="2" t="s">
        <v>3093</v>
      </c>
      <c r="J918" s="2" t="s">
        <v>40</v>
      </c>
      <c r="K918" s="2" t="s">
        <v>3094</v>
      </c>
      <c r="L918" s="2" t="s">
        <v>55</v>
      </c>
      <c r="M918" s="2" t="s">
        <v>3095</v>
      </c>
      <c r="N918" s="2" t="s">
        <v>35</v>
      </c>
      <c r="O918" s="2" t="s">
        <v>1691</v>
      </c>
      <c r="P918" s="2" t="s">
        <v>35</v>
      </c>
      <c r="Q918" s="2" t="s">
        <v>35</v>
      </c>
    </row>
    <row r="919" spans="1:17" ht="409.6">
      <c r="A919" s="8" t="str">
        <f>HYPERLINK("http://sipi.sic.gov.co/sipi/View.ashx?4652802","SD2023/0026303")</f>
        <v>SD2023/0026303</v>
      </c>
      <c r="B919" s="2" t="s">
        <v>3096</v>
      </c>
      <c r="C919" s="7" t="s">
        <v>35</v>
      </c>
      <c r="D919" s="2" t="s">
        <v>3085</v>
      </c>
      <c r="E919" s="2" t="s">
        <v>35</v>
      </c>
      <c r="F919" s="2" t="s">
        <v>37</v>
      </c>
      <c r="G919" s="2" t="s">
        <v>3097</v>
      </c>
      <c r="H919" s="2" t="s">
        <v>3098</v>
      </c>
      <c r="I919" s="2" t="s">
        <v>12</v>
      </c>
      <c r="J919" s="2" t="s">
        <v>40</v>
      </c>
      <c r="K919" s="2" t="s">
        <v>3099</v>
      </c>
      <c r="L919" s="2" t="s">
        <v>42</v>
      </c>
      <c r="M919" s="2" t="s">
        <v>786</v>
      </c>
      <c r="N919" s="2" t="s">
        <v>35</v>
      </c>
      <c r="O919" s="2" t="s">
        <v>10</v>
      </c>
      <c r="P919" s="2" t="s">
        <v>35</v>
      </c>
      <c r="Q919" s="2" t="s">
        <v>35</v>
      </c>
    </row>
    <row r="920" spans="1:17" ht="115.2">
      <c r="A920" s="8" t="str">
        <f>HYPERLINK("http://sipi.sic.gov.co/sipi/View.ashx?4652997","SD2023/0026358")</f>
        <v>SD2023/0026358</v>
      </c>
      <c r="B920" s="2" t="s">
        <v>3100</v>
      </c>
      <c r="C920" s="7" t="s">
        <v>35</v>
      </c>
      <c r="D920" s="2" t="s">
        <v>3085</v>
      </c>
      <c r="E920" s="2" t="s">
        <v>35</v>
      </c>
      <c r="F920" s="2" t="s">
        <v>37</v>
      </c>
      <c r="G920" s="2" t="s">
        <v>3100</v>
      </c>
      <c r="H920" s="2" t="s">
        <v>3101</v>
      </c>
      <c r="I920" s="2" t="s">
        <v>12</v>
      </c>
      <c r="J920" s="2" t="s">
        <v>40</v>
      </c>
      <c r="K920" s="2" t="s">
        <v>41</v>
      </c>
      <c r="L920" s="2" t="s">
        <v>55</v>
      </c>
      <c r="M920" s="2" t="s">
        <v>2844</v>
      </c>
      <c r="N920" s="2" t="s">
        <v>35</v>
      </c>
      <c r="O920" s="2" t="s">
        <v>3022</v>
      </c>
      <c r="P920" s="2" t="s">
        <v>35</v>
      </c>
      <c r="Q920" s="2" t="s">
        <v>35</v>
      </c>
    </row>
    <row r="921" spans="1:17" ht="158.4">
      <c r="A921" s="8" t="str">
        <f>HYPERLINK("http://sipi.sic.gov.co/sipi/View.ashx?4654574","SD2023/0026694")</f>
        <v>SD2023/0026694</v>
      </c>
      <c r="B921" s="2" t="s">
        <v>3102</v>
      </c>
      <c r="C921" s="2" t="s">
        <v>35</v>
      </c>
      <c r="D921" s="2" t="s">
        <v>3103</v>
      </c>
      <c r="E921" s="2" t="s">
        <v>35</v>
      </c>
      <c r="F921" s="2" t="s">
        <v>37</v>
      </c>
      <c r="G921" s="2" t="s">
        <v>3102</v>
      </c>
      <c r="H921" s="2" t="s">
        <v>3104</v>
      </c>
      <c r="I921" s="2" t="s">
        <v>3105</v>
      </c>
      <c r="J921" s="2" t="s">
        <v>40</v>
      </c>
      <c r="K921" s="2" t="s">
        <v>3106</v>
      </c>
      <c r="L921" s="2" t="s">
        <v>42</v>
      </c>
      <c r="M921" s="2" t="s">
        <v>3107</v>
      </c>
      <c r="N921" s="2" t="s">
        <v>35</v>
      </c>
      <c r="O921" s="2" t="s">
        <v>2006</v>
      </c>
      <c r="P921" s="2" t="s">
        <v>35</v>
      </c>
      <c r="Q921" s="2" t="s">
        <v>35</v>
      </c>
    </row>
    <row r="922" spans="1:17" ht="129.6">
      <c r="A922" s="8" t="str">
        <f>HYPERLINK("http://sipi.sic.gov.co/sipi/View.ashx?4655058","SD2023/0026813")</f>
        <v>SD2023/0026813</v>
      </c>
      <c r="B922" s="2" t="s">
        <v>3108</v>
      </c>
      <c r="C922" s="2" t="s">
        <v>35</v>
      </c>
      <c r="D922" s="2" t="s">
        <v>3109</v>
      </c>
      <c r="E922" s="2" t="s">
        <v>35</v>
      </c>
      <c r="F922" s="2" t="s">
        <v>37</v>
      </c>
      <c r="G922" s="2" t="s">
        <v>35</v>
      </c>
      <c r="H922" s="2" t="s">
        <v>3110</v>
      </c>
      <c r="I922" s="2" t="s">
        <v>12</v>
      </c>
      <c r="J922" s="2" t="s">
        <v>40</v>
      </c>
      <c r="K922" s="2" t="s">
        <v>3111</v>
      </c>
      <c r="L922" s="2" t="s">
        <v>42</v>
      </c>
      <c r="M922" s="2" t="s">
        <v>48</v>
      </c>
      <c r="N922" s="2" t="s">
        <v>35</v>
      </c>
      <c r="O922" s="2" t="s">
        <v>2346</v>
      </c>
      <c r="P922" s="2" t="s">
        <v>35</v>
      </c>
      <c r="Q922" s="2" t="s">
        <v>35</v>
      </c>
    </row>
    <row r="923" spans="1:17" ht="158.4">
      <c r="A923" s="8" t="str">
        <f>HYPERLINK("http://sipi.sic.gov.co/sipi/View.ashx?4658825","SD2023/0027762")</f>
        <v>SD2023/0027762</v>
      </c>
      <c r="B923" s="2" t="s">
        <v>3112</v>
      </c>
      <c r="C923" s="7" t="s">
        <v>35</v>
      </c>
      <c r="D923" s="2" t="s">
        <v>3113</v>
      </c>
      <c r="E923" s="2" t="s">
        <v>35</v>
      </c>
      <c r="F923" s="2" t="s">
        <v>37</v>
      </c>
      <c r="G923" s="2" t="s">
        <v>3112</v>
      </c>
      <c r="H923" s="2" t="s">
        <v>3114</v>
      </c>
      <c r="I923" s="2" t="s">
        <v>12</v>
      </c>
      <c r="J923" s="2" t="s">
        <v>40</v>
      </c>
      <c r="K923" s="2" t="s">
        <v>3115</v>
      </c>
      <c r="L923" s="2" t="s">
        <v>42</v>
      </c>
      <c r="M923" s="2" t="s">
        <v>2422</v>
      </c>
      <c r="N923" s="2" t="s">
        <v>35</v>
      </c>
      <c r="O923" s="2" t="s">
        <v>1947</v>
      </c>
      <c r="P923" s="2" t="s">
        <v>35</v>
      </c>
      <c r="Q923" s="2" t="s">
        <v>35</v>
      </c>
    </row>
    <row r="924" spans="1:17" ht="172.8">
      <c r="A924" s="8" t="str">
        <f>HYPERLINK("http://sipi.sic.gov.co/sipi/View.ashx?4662067","SD2023/0028532")</f>
        <v>SD2023/0028532</v>
      </c>
      <c r="B924" s="2" t="s">
        <v>3116</v>
      </c>
      <c r="C924" s="2" t="s">
        <v>35</v>
      </c>
      <c r="D924" s="2" t="s">
        <v>3117</v>
      </c>
      <c r="E924" s="2" t="s">
        <v>35</v>
      </c>
      <c r="F924" s="2" t="s">
        <v>37</v>
      </c>
      <c r="G924" s="2" t="s">
        <v>3116</v>
      </c>
      <c r="H924" s="2" t="s">
        <v>2441</v>
      </c>
      <c r="I924" s="2" t="s">
        <v>12</v>
      </c>
      <c r="J924" s="2" t="s">
        <v>40</v>
      </c>
      <c r="K924" s="2" t="s">
        <v>3118</v>
      </c>
      <c r="L924" s="2" t="s">
        <v>42</v>
      </c>
      <c r="M924" s="2" t="s">
        <v>1963</v>
      </c>
      <c r="N924" s="2" t="s">
        <v>35</v>
      </c>
      <c r="O924" s="2" t="s">
        <v>762</v>
      </c>
      <c r="P924" s="2" t="s">
        <v>35</v>
      </c>
      <c r="Q924" s="2" t="s">
        <v>35</v>
      </c>
    </row>
    <row r="925" spans="1:17" ht="172.8">
      <c r="A925" s="8" t="str">
        <f>HYPERLINK("http://sipi.sic.gov.co/sipi/View.ashx?4662078","SD2023/0028534")</f>
        <v>SD2023/0028534</v>
      </c>
      <c r="B925" s="2" t="s">
        <v>3119</v>
      </c>
      <c r="C925" s="2" t="s">
        <v>35</v>
      </c>
      <c r="D925" s="2" t="s">
        <v>3117</v>
      </c>
      <c r="E925" s="2" t="s">
        <v>35</v>
      </c>
      <c r="F925" s="2" t="s">
        <v>37</v>
      </c>
      <c r="G925" s="2" t="s">
        <v>3119</v>
      </c>
      <c r="H925" s="2" t="s">
        <v>2441</v>
      </c>
      <c r="I925" s="2" t="s">
        <v>12</v>
      </c>
      <c r="J925" s="2" t="s">
        <v>40</v>
      </c>
      <c r="K925" s="2" t="s">
        <v>3118</v>
      </c>
      <c r="L925" s="2" t="s">
        <v>42</v>
      </c>
      <c r="M925" s="2" t="s">
        <v>1963</v>
      </c>
      <c r="N925" s="2" t="s">
        <v>35</v>
      </c>
      <c r="O925" s="2" t="s">
        <v>762</v>
      </c>
      <c r="P925" s="2" t="s">
        <v>35</v>
      </c>
      <c r="Q925" s="2" t="s">
        <v>35</v>
      </c>
    </row>
    <row r="926" spans="1:17" ht="172.8">
      <c r="A926" s="8" t="str">
        <f>HYPERLINK("http://sipi.sic.gov.co/sipi/View.ashx?4662531","SD2023/0028546")</f>
        <v>SD2023/0028546</v>
      </c>
      <c r="B926" s="2" t="s">
        <v>3120</v>
      </c>
      <c r="C926" s="2" t="s">
        <v>35</v>
      </c>
      <c r="D926" s="2" t="s">
        <v>3117</v>
      </c>
      <c r="E926" s="2" t="s">
        <v>35</v>
      </c>
      <c r="F926" s="2" t="s">
        <v>37</v>
      </c>
      <c r="G926" s="2" t="s">
        <v>3121</v>
      </c>
      <c r="H926" s="2" t="s">
        <v>3122</v>
      </c>
      <c r="I926" s="2" t="s">
        <v>3123</v>
      </c>
      <c r="J926" s="2" t="s">
        <v>40</v>
      </c>
      <c r="K926" s="2" t="s">
        <v>3124</v>
      </c>
      <c r="L926" s="2" t="s">
        <v>42</v>
      </c>
      <c r="M926" s="2" t="s">
        <v>440</v>
      </c>
      <c r="N926" s="2" t="s">
        <v>35</v>
      </c>
      <c r="O926" s="2" t="s">
        <v>2292</v>
      </c>
      <c r="P926" s="2" t="s">
        <v>2879</v>
      </c>
      <c r="Q926" s="2" t="s">
        <v>35</v>
      </c>
    </row>
    <row r="927" spans="1:17" ht="129.6">
      <c r="A927" s="8" t="str">
        <f>HYPERLINK("http://sipi.sic.gov.co/sipi/View.ashx?4665384","SD2023/0029407")</f>
        <v>SD2023/0029407</v>
      </c>
      <c r="B927" s="2" t="s">
        <v>3125</v>
      </c>
      <c r="C927" s="2" t="s">
        <v>35</v>
      </c>
      <c r="D927" s="2" t="s">
        <v>3126</v>
      </c>
      <c r="E927" s="2" t="s">
        <v>35</v>
      </c>
      <c r="F927" s="2" t="s">
        <v>37</v>
      </c>
      <c r="G927" s="2" t="s">
        <v>3127</v>
      </c>
      <c r="H927" s="2" t="s">
        <v>3128</v>
      </c>
      <c r="I927" s="2" t="s">
        <v>195</v>
      </c>
      <c r="J927" s="2" t="s">
        <v>40</v>
      </c>
      <c r="K927" s="2" t="s">
        <v>3129</v>
      </c>
      <c r="L927" s="2" t="s">
        <v>42</v>
      </c>
      <c r="M927" s="2" t="s">
        <v>3130</v>
      </c>
      <c r="N927" s="2" t="s">
        <v>35</v>
      </c>
      <c r="O927" s="2" t="s">
        <v>2149</v>
      </c>
      <c r="P927" s="2" t="s">
        <v>35</v>
      </c>
      <c r="Q927" s="2" t="s">
        <v>35</v>
      </c>
    </row>
    <row r="928" spans="1:17" ht="129.6">
      <c r="A928" s="8" t="str">
        <f>HYPERLINK("http://sipi.sic.gov.co/sipi/View.ashx?4670040","SD2023/0030463")</f>
        <v>SD2023/0030463</v>
      </c>
      <c r="B928" s="2" t="s">
        <v>3131</v>
      </c>
      <c r="C928" s="2" t="s">
        <v>35</v>
      </c>
      <c r="D928" s="2" t="s">
        <v>3132</v>
      </c>
      <c r="E928" s="2" t="s">
        <v>35</v>
      </c>
      <c r="F928" s="2" t="s">
        <v>37</v>
      </c>
      <c r="G928" s="2" t="s">
        <v>35</v>
      </c>
      <c r="H928" s="2" t="s">
        <v>1630</v>
      </c>
      <c r="I928" s="2" t="s">
        <v>12</v>
      </c>
      <c r="J928" s="2" t="s">
        <v>40</v>
      </c>
      <c r="K928" s="2" t="s">
        <v>380</v>
      </c>
      <c r="L928" s="2" t="s">
        <v>42</v>
      </c>
      <c r="M928" s="2" t="s">
        <v>3133</v>
      </c>
      <c r="N928" s="2" t="s">
        <v>35</v>
      </c>
      <c r="O928" s="2" t="s">
        <v>2292</v>
      </c>
      <c r="P928" s="2" t="s">
        <v>35</v>
      </c>
      <c r="Q928" s="2" t="s">
        <v>35</v>
      </c>
    </row>
    <row r="929" spans="1:17" ht="244.8">
      <c r="A929" s="8" t="str">
        <f>HYPERLINK("http://sipi.sic.gov.co/sipi/View.ashx?4670730","SD2023/0030641")</f>
        <v>SD2023/0030641</v>
      </c>
      <c r="B929" s="2" t="s">
        <v>3134</v>
      </c>
      <c r="C929" s="2" t="s">
        <v>35</v>
      </c>
      <c r="D929" s="2" t="s">
        <v>3132</v>
      </c>
      <c r="E929" s="2" t="s">
        <v>35</v>
      </c>
      <c r="F929" s="2" t="s">
        <v>37</v>
      </c>
      <c r="G929" s="2" t="s">
        <v>3135</v>
      </c>
      <c r="H929" s="2" t="s">
        <v>3136</v>
      </c>
      <c r="I929" s="2" t="s">
        <v>12</v>
      </c>
      <c r="J929" s="2" t="s">
        <v>40</v>
      </c>
      <c r="K929" s="2" t="s">
        <v>3137</v>
      </c>
      <c r="L929" s="2" t="s">
        <v>42</v>
      </c>
      <c r="M929" s="2" t="s">
        <v>3138</v>
      </c>
      <c r="N929" s="2" t="s">
        <v>35</v>
      </c>
      <c r="O929" s="2" t="s">
        <v>2045</v>
      </c>
      <c r="P929" s="2" t="s">
        <v>35</v>
      </c>
      <c r="Q929" s="2" t="s">
        <v>35</v>
      </c>
    </row>
    <row r="930" spans="1:17" ht="158.4">
      <c r="A930" s="8" t="str">
        <f>HYPERLINK("http://sipi.sic.gov.co/sipi/View.ashx?4670947","SD2023/0030687")</f>
        <v>SD2023/0030687</v>
      </c>
      <c r="B930" s="2" t="s">
        <v>3139</v>
      </c>
      <c r="C930" s="7" t="s">
        <v>35</v>
      </c>
      <c r="D930" s="2" t="s">
        <v>3132</v>
      </c>
      <c r="E930" s="2" t="s">
        <v>35</v>
      </c>
      <c r="F930" s="2" t="s">
        <v>37</v>
      </c>
      <c r="G930" s="2" t="s">
        <v>3140</v>
      </c>
      <c r="H930" s="2" t="s">
        <v>2344</v>
      </c>
      <c r="I930" s="2" t="s">
        <v>991</v>
      </c>
      <c r="J930" s="2" t="s">
        <v>40</v>
      </c>
      <c r="K930" s="2" t="s">
        <v>3141</v>
      </c>
      <c r="L930" s="2" t="s">
        <v>42</v>
      </c>
      <c r="M930" s="2" t="s">
        <v>502</v>
      </c>
      <c r="N930" s="2" t="s">
        <v>35</v>
      </c>
      <c r="O930" s="2" t="s">
        <v>762</v>
      </c>
      <c r="P930" s="2" t="s">
        <v>1983</v>
      </c>
      <c r="Q930" s="2" t="s">
        <v>35</v>
      </c>
    </row>
    <row r="931" spans="1:17" ht="158.4">
      <c r="A931" s="8" t="str">
        <f>HYPERLINK("http://sipi.sic.gov.co/sipi/View.ashx?4670956","SD2023/0030689")</f>
        <v>SD2023/0030689</v>
      </c>
      <c r="B931" s="2" t="s">
        <v>3142</v>
      </c>
      <c r="C931" s="7" t="s">
        <v>35</v>
      </c>
      <c r="D931" s="2" t="s">
        <v>3132</v>
      </c>
      <c r="E931" s="2" t="s">
        <v>35</v>
      </c>
      <c r="F931" s="2" t="s">
        <v>37</v>
      </c>
      <c r="G931" s="2" t="s">
        <v>3143</v>
      </c>
      <c r="H931" s="2" t="s">
        <v>2344</v>
      </c>
      <c r="I931" s="2" t="s">
        <v>991</v>
      </c>
      <c r="J931" s="2" t="s">
        <v>40</v>
      </c>
      <c r="K931" s="2" t="s">
        <v>3141</v>
      </c>
      <c r="L931" s="2" t="s">
        <v>42</v>
      </c>
      <c r="M931" s="2" t="s">
        <v>502</v>
      </c>
      <c r="N931" s="2" t="s">
        <v>35</v>
      </c>
      <c r="O931" s="2" t="s">
        <v>2292</v>
      </c>
      <c r="P931" s="2" t="s">
        <v>1983</v>
      </c>
      <c r="Q931" s="2" t="s">
        <v>35</v>
      </c>
    </row>
    <row r="932" spans="1:17" ht="129.6">
      <c r="A932" s="8" t="str">
        <f>HYPERLINK("http://sipi.sic.gov.co/sipi/View.ashx?4672138","SD2023/0031021")</f>
        <v>SD2023/0031021</v>
      </c>
      <c r="B932" s="2" t="s">
        <v>3144</v>
      </c>
      <c r="C932" s="7" t="s">
        <v>35</v>
      </c>
      <c r="D932" s="2" t="s">
        <v>3145</v>
      </c>
      <c r="E932" s="2" t="s">
        <v>35</v>
      </c>
      <c r="F932" s="2" t="s">
        <v>37</v>
      </c>
      <c r="G932" s="2" t="s">
        <v>35</v>
      </c>
      <c r="H932" s="2" t="s">
        <v>3146</v>
      </c>
      <c r="I932" s="2" t="s">
        <v>12</v>
      </c>
      <c r="J932" s="2" t="s">
        <v>40</v>
      </c>
      <c r="K932" s="2" t="s">
        <v>3147</v>
      </c>
      <c r="L932" s="2" t="s">
        <v>42</v>
      </c>
      <c r="M932" s="2" t="s">
        <v>3148</v>
      </c>
      <c r="N932" s="2" t="s">
        <v>35</v>
      </c>
      <c r="O932" s="2" t="s">
        <v>3022</v>
      </c>
      <c r="P932" s="2" t="s">
        <v>35</v>
      </c>
      <c r="Q932" s="2" t="s">
        <v>35</v>
      </c>
    </row>
    <row r="933" spans="1:17" ht="129.6">
      <c r="A933" s="8" t="str">
        <f>HYPERLINK("http://sipi.sic.gov.co/sipi/View.ashx?4674877","SD2023/0031875")</f>
        <v>SD2023/0031875</v>
      </c>
      <c r="B933" s="2" t="s">
        <v>3149</v>
      </c>
      <c r="C933" s="2" t="s">
        <v>35</v>
      </c>
      <c r="D933" s="2" t="s">
        <v>3150</v>
      </c>
      <c r="E933" s="2" t="s">
        <v>35</v>
      </c>
      <c r="F933" s="2" t="s">
        <v>37</v>
      </c>
      <c r="G933" s="2" t="s">
        <v>35</v>
      </c>
      <c r="H933" s="2" t="s">
        <v>793</v>
      </c>
      <c r="I933" s="2" t="s">
        <v>12</v>
      </c>
      <c r="J933" s="2" t="s">
        <v>40</v>
      </c>
      <c r="K933" s="2" t="s">
        <v>3151</v>
      </c>
      <c r="L933" s="2" t="s">
        <v>42</v>
      </c>
      <c r="M933" s="2" t="s">
        <v>795</v>
      </c>
      <c r="N933" s="2" t="s">
        <v>35</v>
      </c>
      <c r="O933" s="2" t="s">
        <v>3022</v>
      </c>
      <c r="P933" s="2" t="s">
        <v>35</v>
      </c>
      <c r="Q933" s="2" t="s">
        <v>35</v>
      </c>
    </row>
    <row r="934" spans="1:17" ht="129.6">
      <c r="A934" s="8" t="str">
        <f>HYPERLINK("http://sipi.sic.gov.co/sipi/View.ashx?4678974","SD2023/0032985")</f>
        <v>SD2023/0032985</v>
      </c>
      <c r="B934" s="2" t="s">
        <v>1833</v>
      </c>
      <c r="C934" s="2" t="s">
        <v>35</v>
      </c>
      <c r="D934" s="2" t="s">
        <v>3152</v>
      </c>
      <c r="E934" s="2" t="s">
        <v>35</v>
      </c>
      <c r="F934" s="2" t="s">
        <v>37</v>
      </c>
      <c r="G934" s="2" t="s">
        <v>35</v>
      </c>
      <c r="H934" s="2" t="s">
        <v>1373</v>
      </c>
      <c r="I934" s="2" t="s">
        <v>991</v>
      </c>
      <c r="J934" s="2" t="s">
        <v>40</v>
      </c>
      <c r="K934" s="2" t="s">
        <v>3153</v>
      </c>
      <c r="L934" s="2" t="s">
        <v>42</v>
      </c>
      <c r="M934" s="2" t="s">
        <v>371</v>
      </c>
      <c r="N934" s="2" t="s">
        <v>35</v>
      </c>
      <c r="O934" s="2" t="s">
        <v>1286</v>
      </c>
      <c r="P934" s="2" t="s">
        <v>35</v>
      </c>
      <c r="Q934" s="2" t="s">
        <v>35</v>
      </c>
    </row>
    <row r="935" spans="1:17" ht="86.4">
      <c r="A935" s="8" t="str">
        <f>HYPERLINK("http://sipi.sic.gov.co/sipi/View.ashx?4679917","SD2023/0033230")</f>
        <v>SD2023/0033230</v>
      </c>
      <c r="B935" s="2" t="s">
        <v>3154</v>
      </c>
      <c r="C935" s="7" t="s">
        <v>35</v>
      </c>
      <c r="D935" s="2" t="s">
        <v>3152</v>
      </c>
      <c r="E935" s="2" t="s">
        <v>35</v>
      </c>
      <c r="F935" s="2" t="s">
        <v>37</v>
      </c>
      <c r="G935" s="2" t="s">
        <v>3154</v>
      </c>
      <c r="H935" s="2" t="s">
        <v>3155</v>
      </c>
      <c r="I935" s="2" t="s">
        <v>12</v>
      </c>
      <c r="J935" s="2" t="s">
        <v>40</v>
      </c>
      <c r="K935" s="2" t="s">
        <v>3156</v>
      </c>
      <c r="L935" s="2" t="s">
        <v>42</v>
      </c>
      <c r="M935" s="2" t="s">
        <v>35</v>
      </c>
      <c r="N935" s="2" t="s">
        <v>35</v>
      </c>
      <c r="O935" s="2" t="s">
        <v>2045</v>
      </c>
      <c r="P935" s="2" t="s">
        <v>35</v>
      </c>
      <c r="Q935" s="2" t="s">
        <v>35</v>
      </c>
    </row>
    <row r="936" spans="1:17" ht="216">
      <c r="A936" s="8" t="str">
        <f>HYPERLINK("http://sipi.sic.gov.co/sipi/View.ashx?4680337","SD2023/0033318")</f>
        <v>SD2023/0033318</v>
      </c>
      <c r="B936" s="2" t="s">
        <v>3157</v>
      </c>
      <c r="C936" s="2" t="s">
        <v>35</v>
      </c>
      <c r="D936" s="2" t="s">
        <v>3152</v>
      </c>
      <c r="E936" s="2" t="s">
        <v>35</v>
      </c>
      <c r="F936" s="2" t="s">
        <v>37</v>
      </c>
      <c r="G936" s="2" t="s">
        <v>3158</v>
      </c>
      <c r="H936" s="2" t="s">
        <v>1778</v>
      </c>
      <c r="I936" s="2" t="s">
        <v>12</v>
      </c>
      <c r="J936" s="2" t="s">
        <v>40</v>
      </c>
      <c r="K936" s="2" t="s">
        <v>3159</v>
      </c>
      <c r="L936" s="2" t="s">
        <v>42</v>
      </c>
      <c r="M936" s="2" t="s">
        <v>257</v>
      </c>
      <c r="N936" s="2" t="s">
        <v>35</v>
      </c>
      <c r="O936" s="2" t="s">
        <v>10</v>
      </c>
      <c r="P936" s="2" t="s">
        <v>35</v>
      </c>
      <c r="Q936" s="2" t="s">
        <v>35</v>
      </c>
    </row>
    <row r="937" spans="1:17" ht="129.6">
      <c r="A937" s="8" t="str">
        <f>HYPERLINK("http://sipi.sic.gov.co/sipi/View.ashx?4681122","SD2023/0033559")</f>
        <v>SD2023/0033559</v>
      </c>
      <c r="B937" s="2" t="s">
        <v>3160</v>
      </c>
      <c r="C937" s="2" t="s">
        <v>35</v>
      </c>
      <c r="D937" s="2" t="s">
        <v>3161</v>
      </c>
      <c r="E937" s="2" t="s">
        <v>35</v>
      </c>
      <c r="F937" s="2" t="s">
        <v>37</v>
      </c>
      <c r="G937" s="2" t="s">
        <v>3160</v>
      </c>
      <c r="H937" s="2" t="s">
        <v>3162</v>
      </c>
      <c r="I937" s="2" t="s">
        <v>12</v>
      </c>
      <c r="J937" s="2" t="s">
        <v>40</v>
      </c>
      <c r="K937" s="2" t="s">
        <v>41</v>
      </c>
      <c r="L937" s="2" t="s">
        <v>42</v>
      </c>
      <c r="M937" s="2" t="s">
        <v>3163</v>
      </c>
      <c r="N937" s="2" t="s">
        <v>35</v>
      </c>
      <c r="O937" s="2" t="s">
        <v>3164</v>
      </c>
      <c r="P937" s="2" t="s">
        <v>35</v>
      </c>
      <c r="Q937" s="2" t="s">
        <v>35</v>
      </c>
    </row>
    <row r="938" spans="1:17" ht="100.8">
      <c r="A938" s="8" t="str">
        <f>HYPERLINK("http://sipi.sic.gov.co/sipi/View.ashx?4682751","SD2023/0034110")</f>
        <v>SD2023/0034110</v>
      </c>
      <c r="B938" s="2" t="s">
        <v>3165</v>
      </c>
      <c r="C938" s="2" t="s">
        <v>35</v>
      </c>
      <c r="D938" s="2" t="s">
        <v>2149</v>
      </c>
      <c r="E938" s="2" t="s">
        <v>35</v>
      </c>
      <c r="F938" s="2" t="s">
        <v>37</v>
      </c>
      <c r="G938" s="2" t="s">
        <v>3166</v>
      </c>
      <c r="H938" s="2" t="s">
        <v>775</v>
      </c>
      <c r="I938" s="2" t="s">
        <v>12</v>
      </c>
      <c r="J938" s="2" t="s">
        <v>40</v>
      </c>
      <c r="K938" s="2" t="s">
        <v>3167</v>
      </c>
      <c r="L938" s="2" t="s">
        <v>42</v>
      </c>
      <c r="M938" s="2" t="s">
        <v>777</v>
      </c>
      <c r="N938" s="2" t="s">
        <v>35</v>
      </c>
      <c r="O938" s="2" t="s">
        <v>1733</v>
      </c>
      <c r="P938" s="2" t="s">
        <v>35</v>
      </c>
      <c r="Q938" s="2" t="s">
        <v>35</v>
      </c>
    </row>
    <row r="939" spans="1:17" ht="144">
      <c r="A939" s="8" t="str">
        <f>HYPERLINK("http://sipi.sic.gov.co/sipi/View.ashx?4682752","SD2023/0034193")</f>
        <v>SD2023/0034193</v>
      </c>
      <c r="B939" s="2" t="s">
        <v>3168</v>
      </c>
      <c r="C939" s="2" t="s">
        <v>35</v>
      </c>
      <c r="D939" s="2" t="s">
        <v>2149</v>
      </c>
      <c r="E939" s="2" t="s">
        <v>35</v>
      </c>
      <c r="F939" s="2" t="s">
        <v>37</v>
      </c>
      <c r="G939" s="2" t="s">
        <v>3169</v>
      </c>
      <c r="H939" s="2" t="s">
        <v>3170</v>
      </c>
      <c r="I939" s="2" t="s">
        <v>12</v>
      </c>
      <c r="J939" s="2" t="s">
        <v>40</v>
      </c>
      <c r="K939" s="2" t="s">
        <v>3171</v>
      </c>
      <c r="L939" s="2" t="s">
        <v>55</v>
      </c>
      <c r="M939" s="2" t="s">
        <v>777</v>
      </c>
      <c r="N939" s="2" t="s">
        <v>35</v>
      </c>
      <c r="O939" s="2" t="s">
        <v>1691</v>
      </c>
      <c r="P939" s="2" t="s">
        <v>35</v>
      </c>
      <c r="Q939" s="2" t="s">
        <v>35</v>
      </c>
    </row>
    <row r="940" spans="1:17" ht="115.2">
      <c r="A940" s="8" t="str">
        <f>HYPERLINK("http://sipi.sic.gov.co/sipi/View.ashx?4682779","SD2023/0037097")</f>
        <v>SD2023/0037097</v>
      </c>
      <c r="B940" s="2" t="s">
        <v>3172</v>
      </c>
      <c r="C940" s="2" t="s">
        <v>35</v>
      </c>
      <c r="D940" s="2" t="s">
        <v>1733</v>
      </c>
      <c r="E940" s="2" t="s">
        <v>35</v>
      </c>
      <c r="F940" s="2" t="s">
        <v>37</v>
      </c>
      <c r="G940" s="2" t="s">
        <v>3172</v>
      </c>
      <c r="H940" s="2" t="s">
        <v>3173</v>
      </c>
      <c r="I940" s="2" t="s">
        <v>12</v>
      </c>
      <c r="J940" s="2" t="s">
        <v>40</v>
      </c>
      <c r="K940" s="2" t="s">
        <v>3174</v>
      </c>
      <c r="L940" s="2" t="s">
        <v>42</v>
      </c>
      <c r="M940" s="2" t="s">
        <v>3175</v>
      </c>
      <c r="N940" s="2" t="s">
        <v>35</v>
      </c>
      <c r="O940" s="2" t="s">
        <v>2292</v>
      </c>
      <c r="P940" s="2" t="s">
        <v>35</v>
      </c>
      <c r="Q940" s="2" t="s">
        <v>35</v>
      </c>
    </row>
    <row r="941" spans="1:17" ht="115.2">
      <c r="A941" s="8" t="str">
        <f>HYPERLINK("http://sipi.sic.gov.co/sipi/View.ashx?4682826","SD2023/0037095")</f>
        <v>SD2023/0037095</v>
      </c>
      <c r="B941" s="2" t="s">
        <v>3176</v>
      </c>
      <c r="C941" s="2" t="s">
        <v>35</v>
      </c>
      <c r="D941" s="2" t="s">
        <v>1733</v>
      </c>
      <c r="E941" s="2" t="s">
        <v>35</v>
      </c>
      <c r="F941" s="2" t="s">
        <v>37</v>
      </c>
      <c r="G941" s="2" t="s">
        <v>3176</v>
      </c>
      <c r="H941" s="2" t="s">
        <v>3173</v>
      </c>
      <c r="I941" s="2" t="s">
        <v>12</v>
      </c>
      <c r="J941" s="2" t="s">
        <v>40</v>
      </c>
      <c r="K941" s="2" t="s">
        <v>3174</v>
      </c>
      <c r="L941" s="2" t="s">
        <v>42</v>
      </c>
      <c r="M941" s="2" t="s">
        <v>3175</v>
      </c>
      <c r="N941" s="2" t="s">
        <v>35</v>
      </c>
      <c r="O941" s="2" t="s">
        <v>1691</v>
      </c>
      <c r="P941" s="2" t="s">
        <v>35</v>
      </c>
      <c r="Q941" s="2" t="s">
        <v>35</v>
      </c>
    </row>
    <row r="942" spans="1:17" ht="201.6">
      <c r="A942" s="8" t="str">
        <f>HYPERLINK("http://sipi.sic.gov.co/sipi/View.ashx?4683521","SD2023/0034353")</f>
        <v>SD2023/0034353</v>
      </c>
      <c r="B942" s="2" t="s">
        <v>3177</v>
      </c>
      <c r="C942" s="2" t="s">
        <v>35</v>
      </c>
      <c r="D942" s="2" t="s">
        <v>2149</v>
      </c>
      <c r="E942" s="2" t="s">
        <v>35</v>
      </c>
      <c r="F942" s="2" t="s">
        <v>37</v>
      </c>
      <c r="G942" s="2" t="s">
        <v>3177</v>
      </c>
      <c r="H942" s="2" t="s">
        <v>60</v>
      </c>
      <c r="I942" s="2" t="s">
        <v>61</v>
      </c>
      <c r="J942" s="2" t="s">
        <v>40</v>
      </c>
      <c r="K942" s="2" t="s">
        <v>686</v>
      </c>
      <c r="L942" s="2" t="s">
        <v>55</v>
      </c>
      <c r="M942" s="2" t="s">
        <v>63</v>
      </c>
      <c r="N942" s="2" t="s">
        <v>35</v>
      </c>
      <c r="O942" s="2" t="s">
        <v>2377</v>
      </c>
      <c r="P942" s="2" t="s">
        <v>35</v>
      </c>
      <c r="Q942" s="2" t="s">
        <v>35</v>
      </c>
    </row>
    <row r="943" spans="1:17" ht="115.2">
      <c r="A943" s="8" t="str">
        <f>HYPERLINK("http://sipi.sic.gov.co/sipi/View.ashx?4685157","SD2023/0034880")</f>
        <v>SD2023/0034880</v>
      </c>
      <c r="B943" s="2" t="s">
        <v>3178</v>
      </c>
      <c r="C943" s="7" t="s">
        <v>35</v>
      </c>
      <c r="D943" s="2" t="s">
        <v>3179</v>
      </c>
      <c r="E943" s="2" t="s">
        <v>35</v>
      </c>
      <c r="F943" s="2" t="s">
        <v>37</v>
      </c>
      <c r="G943" s="2" t="s">
        <v>3178</v>
      </c>
      <c r="H943" s="2" t="s">
        <v>3101</v>
      </c>
      <c r="I943" s="2" t="s">
        <v>12</v>
      </c>
      <c r="J943" s="2" t="s">
        <v>40</v>
      </c>
      <c r="K943" s="2" t="s">
        <v>41</v>
      </c>
      <c r="L943" s="2" t="s">
        <v>42</v>
      </c>
      <c r="M943" s="2" t="s">
        <v>2844</v>
      </c>
      <c r="N943" s="2" t="s">
        <v>35</v>
      </c>
      <c r="O943" s="2" t="s">
        <v>1947</v>
      </c>
      <c r="P943" s="2" t="s">
        <v>35</v>
      </c>
      <c r="Q943" s="2" t="s">
        <v>35</v>
      </c>
    </row>
    <row r="944" spans="1:17" ht="244.8">
      <c r="A944" s="8" t="str">
        <f>HYPERLINK("http://sipi.sic.gov.co/sipi/View.ashx?4686414","SD2023/0035170")</f>
        <v>SD2023/0035170</v>
      </c>
      <c r="B944" s="2" t="s">
        <v>3180</v>
      </c>
      <c r="C944" s="2" t="s">
        <v>35</v>
      </c>
      <c r="D944" s="2" t="s">
        <v>3181</v>
      </c>
      <c r="E944" s="2" t="s">
        <v>35</v>
      </c>
      <c r="F944" s="2" t="s">
        <v>37</v>
      </c>
      <c r="G944" s="2" t="s">
        <v>35</v>
      </c>
      <c r="H944" s="2" t="s">
        <v>3182</v>
      </c>
      <c r="I944" s="2" t="s">
        <v>444</v>
      </c>
      <c r="J944" s="2" t="s">
        <v>40</v>
      </c>
      <c r="K944" s="2" t="s">
        <v>3183</v>
      </c>
      <c r="L944" s="2" t="s">
        <v>42</v>
      </c>
      <c r="M944" s="2" t="s">
        <v>3184</v>
      </c>
      <c r="N944" s="2" t="s">
        <v>35</v>
      </c>
      <c r="O944" s="2" t="s">
        <v>1733</v>
      </c>
      <c r="P944" s="2" t="s">
        <v>35</v>
      </c>
      <c r="Q944" s="2" t="s">
        <v>35</v>
      </c>
    </row>
    <row r="945" spans="1:17" ht="409.6">
      <c r="A945" s="8" t="str">
        <f>HYPERLINK("http://sipi.sic.gov.co/sipi/View.ashx?4687377","SD2023/0036514")</f>
        <v>SD2023/0036514</v>
      </c>
      <c r="B945" s="2" t="s">
        <v>3185</v>
      </c>
      <c r="C945" s="7" t="s">
        <v>35</v>
      </c>
      <c r="D945" s="2" t="s">
        <v>3186</v>
      </c>
      <c r="E945" s="2" t="s">
        <v>35</v>
      </c>
      <c r="F945" s="2" t="s">
        <v>37</v>
      </c>
      <c r="G945" s="2" t="s">
        <v>3187</v>
      </c>
      <c r="H945" s="2" t="s">
        <v>3188</v>
      </c>
      <c r="I945" s="2" t="s">
        <v>12</v>
      </c>
      <c r="J945" s="2" t="s">
        <v>40</v>
      </c>
      <c r="K945" s="2" t="s">
        <v>3189</v>
      </c>
      <c r="L945" s="2" t="s">
        <v>55</v>
      </c>
      <c r="M945" s="2" t="s">
        <v>2993</v>
      </c>
      <c r="N945" s="2" t="s">
        <v>35</v>
      </c>
      <c r="O945" s="2" t="s">
        <v>762</v>
      </c>
      <c r="P945" s="2" t="s">
        <v>35</v>
      </c>
      <c r="Q945" s="2" t="s">
        <v>35</v>
      </c>
    </row>
    <row r="946" spans="1:17" ht="115.2">
      <c r="A946" s="8" t="str">
        <f>HYPERLINK("http://sipi.sic.gov.co/sipi/View.ashx?4687875","SD2023/0035495")</f>
        <v>SD2023/0035495</v>
      </c>
      <c r="B946" s="2" t="s">
        <v>3190</v>
      </c>
      <c r="C946" s="2" t="s">
        <v>35</v>
      </c>
      <c r="D946" s="2" t="s">
        <v>3191</v>
      </c>
      <c r="E946" s="2" t="s">
        <v>35</v>
      </c>
      <c r="F946" s="2" t="s">
        <v>37</v>
      </c>
      <c r="G946" s="2" t="s">
        <v>3192</v>
      </c>
      <c r="H946" s="2" t="s">
        <v>3193</v>
      </c>
      <c r="I946" s="2" t="s">
        <v>12</v>
      </c>
      <c r="J946" s="2" t="s">
        <v>40</v>
      </c>
      <c r="K946" s="2" t="s">
        <v>3194</v>
      </c>
      <c r="L946" s="2" t="s">
        <v>42</v>
      </c>
      <c r="M946" s="2" t="s">
        <v>3195</v>
      </c>
      <c r="N946" s="2" t="s">
        <v>35</v>
      </c>
      <c r="O946" s="2" t="s">
        <v>762</v>
      </c>
      <c r="P946" s="2" t="s">
        <v>35</v>
      </c>
      <c r="Q946" s="2" t="s">
        <v>35</v>
      </c>
    </row>
    <row r="947" spans="1:17" ht="172.8">
      <c r="A947" s="8" t="str">
        <f>HYPERLINK("http://sipi.sic.gov.co/sipi/View.ashx?4689226","SD2023/0035793")</f>
        <v>SD2023/0035793</v>
      </c>
      <c r="B947" s="2" t="s">
        <v>3196</v>
      </c>
      <c r="C947" s="7" t="s">
        <v>35</v>
      </c>
      <c r="D947" s="2" t="s">
        <v>3191</v>
      </c>
      <c r="E947" s="2" t="s">
        <v>35</v>
      </c>
      <c r="F947" s="2" t="s">
        <v>37</v>
      </c>
      <c r="G947" s="2" t="s">
        <v>3197</v>
      </c>
      <c r="H947" s="2" t="s">
        <v>3198</v>
      </c>
      <c r="I947" s="2" t="s">
        <v>61</v>
      </c>
      <c r="J947" s="2" t="s">
        <v>40</v>
      </c>
      <c r="K947" s="2" t="s">
        <v>3199</v>
      </c>
      <c r="L947" s="2" t="s">
        <v>42</v>
      </c>
      <c r="M947" s="2" t="s">
        <v>3200</v>
      </c>
      <c r="N947" s="2" t="s">
        <v>35</v>
      </c>
      <c r="O947" s="2" t="s">
        <v>3201</v>
      </c>
      <c r="P947" s="2" t="s">
        <v>35</v>
      </c>
      <c r="Q947" s="2" t="s">
        <v>35</v>
      </c>
    </row>
    <row r="948" spans="1:17" ht="129.6">
      <c r="A948" s="8" t="str">
        <f>HYPERLINK("http://sipi.sic.gov.co/sipi/View.ashx?4691750","SD2023/0036541")</f>
        <v>SD2023/0036541</v>
      </c>
      <c r="B948" s="2" t="s">
        <v>3202</v>
      </c>
      <c r="C948" s="2" t="s">
        <v>35</v>
      </c>
      <c r="D948" s="2" t="s">
        <v>3203</v>
      </c>
      <c r="E948" s="2" t="s">
        <v>35</v>
      </c>
      <c r="F948" s="2" t="s">
        <v>37</v>
      </c>
      <c r="G948" s="2" t="s">
        <v>35</v>
      </c>
      <c r="H948" s="2" t="s">
        <v>973</v>
      </c>
      <c r="I948" s="2" t="s">
        <v>12</v>
      </c>
      <c r="J948" s="2" t="s">
        <v>40</v>
      </c>
      <c r="K948" s="2" t="s">
        <v>3204</v>
      </c>
      <c r="L948" s="2" t="s">
        <v>42</v>
      </c>
      <c r="M948" s="2" t="s">
        <v>48</v>
      </c>
      <c r="N948" s="2" t="s">
        <v>35</v>
      </c>
      <c r="O948" s="2" t="s">
        <v>2346</v>
      </c>
      <c r="P948" s="2" t="s">
        <v>35</v>
      </c>
      <c r="Q948" s="2" t="s">
        <v>35</v>
      </c>
    </row>
    <row r="949" spans="1:17" ht="187.2">
      <c r="A949" s="8" t="str">
        <f>HYPERLINK("http://sipi.sic.gov.co/sipi/View.ashx?4693014","SD2023/0036863")</f>
        <v>SD2023/0036863</v>
      </c>
      <c r="B949" s="2" t="s">
        <v>3205</v>
      </c>
      <c r="C949" s="2" t="s">
        <v>35</v>
      </c>
      <c r="D949" s="2" t="s">
        <v>3186</v>
      </c>
      <c r="E949" s="2" t="s">
        <v>35</v>
      </c>
      <c r="F949" s="2" t="s">
        <v>37</v>
      </c>
      <c r="G949" s="2" t="s">
        <v>3205</v>
      </c>
      <c r="H949" s="2" t="s">
        <v>3206</v>
      </c>
      <c r="I949" s="2" t="s">
        <v>12</v>
      </c>
      <c r="J949" s="2" t="s">
        <v>40</v>
      </c>
      <c r="K949" s="2" t="s">
        <v>3207</v>
      </c>
      <c r="L949" s="2" t="s">
        <v>55</v>
      </c>
      <c r="M949" s="2" t="s">
        <v>252</v>
      </c>
      <c r="N949" s="2" t="s">
        <v>35</v>
      </c>
      <c r="O949" s="2" t="s">
        <v>2346</v>
      </c>
      <c r="P949" s="2" t="s">
        <v>35</v>
      </c>
      <c r="Q949" s="2" t="s">
        <v>35</v>
      </c>
    </row>
    <row r="950" spans="1:17" ht="115.2">
      <c r="A950" s="8" t="str">
        <f>HYPERLINK("http://sipi.sic.gov.co/sipi/View.ashx?4693522","SD2023/0037118")</f>
        <v>SD2023/0037118</v>
      </c>
      <c r="B950" s="2" t="s">
        <v>3208</v>
      </c>
      <c r="C950" s="2" t="s">
        <v>35</v>
      </c>
      <c r="D950" s="2" t="s">
        <v>1733</v>
      </c>
      <c r="E950" s="2" t="s">
        <v>35</v>
      </c>
      <c r="F950" s="2" t="s">
        <v>37</v>
      </c>
      <c r="G950" s="2" t="s">
        <v>3209</v>
      </c>
      <c r="H950" s="2" t="s">
        <v>3210</v>
      </c>
      <c r="I950" s="2" t="s">
        <v>12</v>
      </c>
      <c r="J950" s="2" t="s">
        <v>40</v>
      </c>
      <c r="K950" s="2" t="s">
        <v>3211</v>
      </c>
      <c r="L950" s="2" t="s">
        <v>42</v>
      </c>
      <c r="M950" s="2" t="s">
        <v>502</v>
      </c>
      <c r="N950" s="2" t="s">
        <v>35</v>
      </c>
      <c r="O950" s="2" t="s">
        <v>2292</v>
      </c>
      <c r="P950" s="2" t="s">
        <v>35</v>
      </c>
      <c r="Q950" s="2" t="s">
        <v>35</v>
      </c>
    </row>
    <row r="951" spans="1:17" ht="115.2">
      <c r="A951" s="8" t="str">
        <f>HYPERLINK("http://sipi.sic.gov.co/sipi/View.ashx?4694449","SD2023/0037134")</f>
        <v>SD2023/0037134</v>
      </c>
      <c r="B951" s="2" t="s">
        <v>3212</v>
      </c>
      <c r="C951" s="7" t="s">
        <v>35</v>
      </c>
      <c r="D951" s="2" t="s">
        <v>1733</v>
      </c>
      <c r="E951" s="2" t="s">
        <v>35</v>
      </c>
      <c r="F951" s="2" t="s">
        <v>37</v>
      </c>
      <c r="G951" s="2" t="s">
        <v>3213</v>
      </c>
      <c r="H951" s="2" t="s">
        <v>3214</v>
      </c>
      <c r="I951" s="2" t="s">
        <v>61</v>
      </c>
      <c r="J951" s="2" t="s">
        <v>40</v>
      </c>
      <c r="K951" s="2" t="s">
        <v>3215</v>
      </c>
      <c r="L951" s="2" t="s">
        <v>42</v>
      </c>
      <c r="M951" s="2" t="s">
        <v>197</v>
      </c>
      <c r="N951" s="2" t="s">
        <v>35</v>
      </c>
      <c r="O951" s="2" t="s">
        <v>1947</v>
      </c>
      <c r="P951" s="2" t="s">
        <v>35</v>
      </c>
      <c r="Q951" s="2" t="s">
        <v>35</v>
      </c>
    </row>
    <row r="952" spans="1:17" ht="129.6">
      <c r="A952" s="8" t="str">
        <f>HYPERLINK("http://sipi.sic.gov.co/sipi/View.ashx?4700379","SD2023/0038978")</f>
        <v>SD2023/0038978</v>
      </c>
      <c r="B952" s="2" t="s">
        <v>3216</v>
      </c>
      <c r="C952" s="2" t="s">
        <v>35</v>
      </c>
      <c r="D952" s="2" t="s">
        <v>3217</v>
      </c>
      <c r="E952" s="2" t="s">
        <v>35</v>
      </c>
      <c r="F952" s="2" t="s">
        <v>37</v>
      </c>
      <c r="G952" s="2" t="s">
        <v>35</v>
      </c>
      <c r="H952" s="2" t="s">
        <v>1630</v>
      </c>
      <c r="I952" s="2" t="s">
        <v>12</v>
      </c>
      <c r="J952" s="2" t="s">
        <v>40</v>
      </c>
      <c r="K952" s="2" t="s">
        <v>380</v>
      </c>
      <c r="L952" s="2" t="s">
        <v>42</v>
      </c>
      <c r="M952" s="2" t="s">
        <v>3133</v>
      </c>
      <c r="N952" s="2" t="s">
        <v>35</v>
      </c>
      <c r="O952" s="2" t="s">
        <v>2045</v>
      </c>
      <c r="P952" s="2" t="s">
        <v>35</v>
      </c>
      <c r="Q952" s="2" t="s">
        <v>35</v>
      </c>
    </row>
    <row r="953" spans="1:17" ht="409.6">
      <c r="A953" s="8" t="str">
        <f>HYPERLINK("http://sipi.sic.gov.co/sipi/View.ashx?4700865","SD2023/0039143")</f>
        <v>SD2023/0039143</v>
      </c>
      <c r="B953" s="2" t="s">
        <v>3218</v>
      </c>
      <c r="C953" s="7" t="s">
        <v>35</v>
      </c>
      <c r="D953" s="2" t="s">
        <v>3217</v>
      </c>
      <c r="E953" s="2" t="s">
        <v>35</v>
      </c>
      <c r="F953" s="2" t="s">
        <v>37</v>
      </c>
      <c r="G953" s="2" t="s">
        <v>3218</v>
      </c>
      <c r="H953" s="2" t="s">
        <v>3219</v>
      </c>
      <c r="I953" s="2" t="s">
        <v>3220</v>
      </c>
      <c r="J953" s="2" t="s">
        <v>40</v>
      </c>
      <c r="K953" s="2" t="s">
        <v>3221</v>
      </c>
      <c r="L953" s="2" t="s">
        <v>42</v>
      </c>
      <c r="M953" s="2" t="s">
        <v>3011</v>
      </c>
      <c r="N953" s="2" t="s">
        <v>35</v>
      </c>
      <c r="O953" s="2" t="s">
        <v>762</v>
      </c>
      <c r="P953" s="2" t="s">
        <v>35</v>
      </c>
      <c r="Q953" s="2" t="s">
        <v>35</v>
      </c>
    </row>
    <row r="954" spans="1:17" ht="115.2">
      <c r="A954" s="8" t="str">
        <f>HYPERLINK("http://sipi.sic.gov.co/sipi/View.ashx?4701204","SD2023/0039202")</f>
        <v>SD2023/0039202</v>
      </c>
      <c r="B954" s="2" t="s">
        <v>3222</v>
      </c>
      <c r="C954" s="7" t="s">
        <v>35</v>
      </c>
      <c r="D954" s="2" t="s">
        <v>3223</v>
      </c>
      <c r="E954" s="2" t="s">
        <v>35</v>
      </c>
      <c r="F954" s="2" t="s">
        <v>37</v>
      </c>
      <c r="G954" s="2" t="s">
        <v>3224</v>
      </c>
      <c r="H954" s="2" t="s">
        <v>3225</v>
      </c>
      <c r="I954" s="2" t="s">
        <v>12</v>
      </c>
      <c r="J954" s="2" t="s">
        <v>40</v>
      </c>
      <c r="K954" s="2" t="s">
        <v>41</v>
      </c>
      <c r="L954" s="2" t="s">
        <v>42</v>
      </c>
      <c r="M954" s="2" t="s">
        <v>3226</v>
      </c>
      <c r="N954" s="2" t="s">
        <v>35</v>
      </c>
      <c r="O954" s="2" t="s">
        <v>2045</v>
      </c>
      <c r="P954" s="2" t="s">
        <v>35</v>
      </c>
      <c r="Q954" s="2" t="s">
        <v>35</v>
      </c>
    </row>
    <row r="955" spans="1:17" ht="144">
      <c r="A955" s="8" t="str">
        <f>HYPERLINK("http://sipi.sic.gov.co/sipi/View.ashx?4703380","SD2023/0040363")</f>
        <v>SD2023/0040363</v>
      </c>
      <c r="B955" s="2" t="s">
        <v>3227</v>
      </c>
      <c r="C955" s="2" t="s">
        <v>35</v>
      </c>
      <c r="D955" s="2" t="s">
        <v>3228</v>
      </c>
      <c r="E955" s="2" t="s">
        <v>35</v>
      </c>
      <c r="F955" s="2" t="s">
        <v>37</v>
      </c>
      <c r="G955" s="2" t="s">
        <v>3229</v>
      </c>
      <c r="H955" s="2" t="s">
        <v>3230</v>
      </c>
      <c r="I955" s="2" t="s">
        <v>444</v>
      </c>
      <c r="J955" s="2" t="s">
        <v>3231</v>
      </c>
      <c r="K955" s="2" t="s">
        <v>3232</v>
      </c>
      <c r="L955" s="2" t="s">
        <v>42</v>
      </c>
      <c r="M955" s="2" t="s">
        <v>3233</v>
      </c>
      <c r="N955" s="2" t="s">
        <v>35</v>
      </c>
      <c r="O955" s="2" t="s">
        <v>3234</v>
      </c>
      <c r="P955" s="2" t="s">
        <v>35</v>
      </c>
      <c r="Q955" s="2" t="s">
        <v>35</v>
      </c>
    </row>
    <row r="956" spans="1:17" ht="144">
      <c r="A956" s="8" t="str">
        <f>HYPERLINK("http://sipi.sic.gov.co/sipi/View.ashx?4703517","SD2023/0040376")</f>
        <v>SD2023/0040376</v>
      </c>
      <c r="B956" s="2" t="s">
        <v>3235</v>
      </c>
      <c r="C956" s="2" t="s">
        <v>35</v>
      </c>
      <c r="D956" s="2" t="s">
        <v>3228</v>
      </c>
      <c r="E956" s="2" t="s">
        <v>35</v>
      </c>
      <c r="F956" s="2" t="s">
        <v>37</v>
      </c>
      <c r="G956" s="2" t="s">
        <v>3236</v>
      </c>
      <c r="H956" s="2" t="s">
        <v>3230</v>
      </c>
      <c r="I956" s="2" t="s">
        <v>444</v>
      </c>
      <c r="J956" s="2" t="s">
        <v>3231</v>
      </c>
      <c r="K956" s="2" t="s">
        <v>3237</v>
      </c>
      <c r="L956" s="2" t="s">
        <v>42</v>
      </c>
      <c r="M956" s="2" t="s">
        <v>3233</v>
      </c>
      <c r="N956" s="2" t="s">
        <v>35</v>
      </c>
      <c r="O956" s="2" t="s">
        <v>1286</v>
      </c>
      <c r="P956" s="2" t="s">
        <v>35</v>
      </c>
      <c r="Q956" s="2" t="s">
        <v>35</v>
      </c>
    </row>
    <row r="957" spans="1:17" ht="144">
      <c r="A957" s="8" t="str">
        <f>HYPERLINK("http://sipi.sic.gov.co/sipi/View.ashx?4703518","SD2023/0040382")</f>
        <v>SD2023/0040382</v>
      </c>
      <c r="B957" s="2" t="s">
        <v>3238</v>
      </c>
      <c r="C957" s="2" t="s">
        <v>35</v>
      </c>
      <c r="D957" s="2" t="s">
        <v>3228</v>
      </c>
      <c r="E957" s="2" t="s">
        <v>35</v>
      </c>
      <c r="F957" s="2" t="s">
        <v>37</v>
      </c>
      <c r="G957" s="2" t="s">
        <v>3239</v>
      </c>
      <c r="H957" s="2" t="s">
        <v>3230</v>
      </c>
      <c r="I957" s="2" t="s">
        <v>444</v>
      </c>
      <c r="J957" s="2" t="s">
        <v>3231</v>
      </c>
      <c r="K957" s="2" t="s">
        <v>3240</v>
      </c>
      <c r="L957" s="2" t="s">
        <v>42</v>
      </c>
      <c r="M957" s="2" t="s">
        <v>3233</v>
      </c>
      <c r="N957" s="2" t="s">
        <v>35</v>
      </c>
      <c r="O957" s="2" t="s">
        <v>2377</v>
      </c>
      <c r="P957" s="2" t="s">
        <v>35</v>
      </c>
      <c r="Q957" s="2" t="s">
        <v>35</v>
      </c>
    </row>
    <row r="958" spans="1:17" ht="144">
      <c r="A958" s="8" t="str">
        <f>HYPERLINK("http://sipi.sic.gov.co/sipi/View.ashx?4703530","SD2023/0040505")</f>
        <v>SD2023/0040505</v>
      </c>
      <c r="B958" s="2" t="s">
        <v>3241</v>
      </c>
      <c r="C958" s="2" t="s">
        <v>35</v>
      </c>
      <c r="D958" s="2" t="s">
        <v>3228</v>
      </c>
      <c r="E958" s="2" t="s">
        <v>35</v>
      </c>
      <c r="F958" s="2" t="s">
        <v>37</v>
      </c>
      <c r="G958" s="2" t="s">
        <v>3242</v>
      </c>
      <c r="H958" s="2" t="s">
        <v>3230</v>
      </c>
      <c r="I958" s="2" t="s">
        <v>444</v>
      </c>
      <c r="J958" s="2" t="s">
        <v>3231</v>
      </c>
      <c r="K958" s="2" t="s">
        <v>3243</v>
      </c>
      <c r="L958" s="2" t="s">
        <v>42</v>
      </c>
      <c r="M958" s="2" t="s">
        <v>3233</v>
      </c>
      <c r="N958" s="2" t="s">
        <v>35</v>
      </c>
      <c r="O958" s="2" t="s">
        <v>3234</v>
      </c>
      <c r="P958" s="2" t="s">
        <v>35</v>
      </c>
      <c r="Q958" s="2" t="s">
        <v>35</v>
      </c>
    </row>
    <row r="959" spans="1:17" ht="144">
      <c r="A959" s="8" t="str">
        <f>HYPERLINK("http://sipi.sic.gov.co/sipi/View.ashx?4703532","SD2023/0039682")</f>
        <v>SD2023/0039682</v>
      </c>
      <c r="B959" s="2" t="s">
        <v>3244</v>
      </c>
      <c r="C959" s="2" t="s">
        <v>35</v>
      </c>
      <c r="D959" s="2" t="s">
        <v>3228</v>
      </c>
      <c r="E959" s="2" t="s">
        <v>35</v>
      </c>
      <c r="F959" s="2" t="s">
        <v>37</v>
      </c>
      <c r="G959" s="2" t="s">
        <v>3245</v>
      </c>
      <c r="H959" s="2" t="s">
        <v>3230</v>
      </c>
      <c r="I959" s="2" t="s">
        <v>444</v>
      </c>
      <c r="J959" s="2" t="s">
        <v>3231</v>
      </c>
      <c r="K959" s="2" t="s">
        <v>3246</v>
      </c>
      <c r="L959" s="2" t="s">
        <v>42</v>
      </c>
      <c r="M959" s="2" t="s">
        <v>3233</v>
      </c>
      <c r="N959" s="2" t="s">
        <v>35</v>
      </c>
      <c r="O959" s="2" t="s">
        <v>3234</v>
      </c>
      <c r="P959" s="2" t="s">
        <v>35</v>
      </c>
      <c r="Q959" s="2" t="s">
        <v>35</v>
      </c>
    </row>
    <row r="960" spans="1:17" ht="144">
      <c r="A960" s="8" t="str">
        <f>HYPERLINK("http://sipi.sic.gov.co/sipi/View.ashx?4705500","SD2023/0040380")</f>
        <v>SD2023/0040380</v>
      </c>
      <c r="B960" s="2" t="s">
        <v>3247</v>
      </c>
      <c r="C960" s="2" t="s">
        <v>35</v>
      </c>
      <c r="D960" s="2" t="s">
        <v>3228</v>
      </c>
      <c r="E960" s="2" t="s">
        <v>35</v>
      </c>
      <c r="F960" s="2" t="s">
        <v>37</v>
      </c>
      <c r="G960" s="2" t="s">
        <v>3248</v>
      </c>
      <c r="H960" s="2" t="s">
        <v>3230</v>
      </c>
      <c r="I960" s="2" t="s">
        <v>444</v>
      </c>
      <c r="J960" s="2" t="s">
        <v>3231</v>
      </c>
      <c r="K960" s="2" t="s">
        <v>3249</v>
      </c>
      <c r="L960" s="2" t="s">
        <v>42</v>
      </c>
      <c r="M960" s="2" t="s">
        <v>3233</v>
      </c>
      <c r="N960" s="2" t="s">
        <v>35</v>
      </c>
      <c r="O960" s="2" t="s">
        <v>2175</v>
      </c>
      <c r="P960" s="2" t="s">
        <v>35</v>
      </c>
      <c r="Q960" s="2" t="s">
        <v>35</v>
      </c>
    </row>
    <row r="961" spans="1:17" ht="409.6">
      <c r="A961" s="8" t="str">
        <f>HYPERLINK("http://sipi.sic.gov.co/sipi/View.ashx?4706565","SD2023/0040644")</f>
        <v>SD2023/0040644</v>
      </c>
      <c r="B961" s="2" t="s">
        <v>3250</v>
      </c>
      <c r="C961" s="2" t="s">
        <v>35</v>
      </c>
      <c r="D961" s="2" t="s">
        <v>3090</v>
      </c>
      <c r="E961" s="2" t="s">
        <v>35</v>
      </c>
      <c r="F961" s="2" t="s">
        <v>37</v>
      </c>
      <c r="G961" s="2" t="s">
        <v>3251</v>
      </c>
      <c r="H961" s="2" t="s">
        <v>3252</v>
      </c>
      <c r="I961" s="2" t="s">
        <v>805</v>
      </c>
      <c r="J961" s="2" t="s">
        <v>40</v>
      </c>
      <c r="K961" s="2" t="s">
        <v>3253</v>
      </c>
      <c r="L961" s="2" t="s">
        <v>42</v>
      </c>
      <c r="M961" s="2" t="s">
        <v>534</v>
      </c>
      <c r="N961" s="2" t="s">
        <v>35</v>
      </c>
      <c r="O961" s="2" t="s">
        <v>2292</v>
      </c>
      <c r="P961" s="2" t="s">
        <v>3109</v>
      </c>
      <c r="Q961" s="2" t="s">
        <v>35</v>
      </c>
    </row>
    <row r="962" spans="1:17" ht="129.6">
      <c r="A962" s="8" t="str">
        <f>HYPERLINK("http://sipi.sic.gov.co/sipi/View.ashx?4708795","SD2023/0041206")</f>
        <v>SD2023/0041206</v>
      </c>
      <c r="B962" s="2" t="s">
        <v>3254</v>
      </c>
      <c r="C962" s="2" t="s">
        <v>35</v>
      </c>
      <c r="D962" s="2" t="s">
        <v>3255</v>
      </c>
      <c r="E962" s="2" t="s">
        <v>35</v>
      </c>
      <c r="F962" s="2" t="s">
        <v>37</v>
      </c>
      <c r="G962" s="2" t="s">
        <v>3256</v>
      </c>
      <c r="H962" s="2" t="s">
        <v>1116</v>
      </c>
      <c r="I962" s="2" t="s">
        <v>991</v>
      </c>
      <c r="J962" s="2" t="s">
        <v>40</v>
      </c>
      <c r="K962" s="2" t="s">
        <v>3257</v>
      </c>
      <c r="L962" s="2" t="s">
        <v>42</v>
      </c>
      <c r="M962" s="2" t="s">
        <v>451</v>
      </c>
      <c r="N962" s="2" t="s">
        <v>35</v>
      </c>
      <c r="O962" s="2" t="s">
        <v>3164</v>
      </c>
      <c r="P962" s="2" t="s">
        <v>35</v>
      </c>
      <c r="Q962" s="2" t="s">
        <v>35</v>
      </c>
    </row>
    <row r="963" spans="1:17" ht="409.6">
      <c r="A963" s="8" t="str">
        <f>HYPERLINK("http://sipi.sic.gov.co/sipi/View.ashx?4708896","SD2023/0041304")</f>
        <v>SD2023/0041304</v>
      </c>
      <c r="B963" s="2" t="s">
        <v>3258</v>
      </c>
      <c r="C963" s="7" t="s">
        <v>35</v>
      </c>
      <c r="D963" s="2" t="s">
        <v>3255</v>
      </c>
      <c r="E963" s="2" t="s">
        <v>35</v>
      </c>
      <c r="F963" s="2" t="s">
        <v>37</v>
      </c>
      <c r="G963" s="2" t="s">
        <v>3258</v>
      </c>
      <c r="H963" s="2" t="s">
        <v>3259</v>
      </c>
      <c r="I963" s="2" t="s">
        <v>12</v>
      </c>
      <c r="J963" s="2" t="s">
        <v>40</v>
      </c>
      <c r="K963" s="2" t="s">
        <v>3260</v>
      </c>
      <c r="L963" s="2" t="s">
        <v>42</v>
      </c>
      <c r="M963" s="2" t="s">
        <v>3261</v>
      </c>
      <c r="N963" s="2" t="s">
        <v>35</v>
      </c>
      <c r="O963" s="2" t="s">
        <v>3262</v>
      </c>
      <c r="P963" s="2" t="s">
        <v>35</v>
      </c>
      <c r="Q963" s="2" t="s">
        <v>35</v>
      </c>
    </row>
    <row r="964" spans="1:17" ht="331.2">
      <c r="A964" s="8" t="str">
        <f>HYPERLINK("http://sipi.sic.gov.co/sipi/View.ashx?4709302","SD2023/0041308")</f>
        <v>SD2023/0041308</v>
      </c>
      <c r="B964" s="2" t="s">
        <v>3263</v>
      </c>
      <c r="C964" s="7" t="s">
        <v>35</v>
      </c>
      <c r="D964" s="2" t="s">
        <v>3255</v>
      </c>
      <c r="E964" s="2" t="s">
        <v>35</v>
      </c>
      <c r="F964" s="2" t="s">
        <v>37</v>
      </c>
      <c r="G964" s="2" t="s">
        <v>3263</v>
      </c>
      <c r="H964" s="2" t="s">
        <v>3264</v>
      </c>
      <c r="I964" s="2" t="s">
        <v>12</v>
      </c>
      <c r="J964" s="2" t="s">
        <v>40</v>
      </c>
      <c r="K964" s="2" t="s">
        <v>3265</v>
      </c>
      <c r="L964" s="2" t="s">
        <v>42</v>
      </c>
      <c r="M964" s="2" t="s">
        <v>880</v>
      </c>
      <c r="N964" s="2" t="s">
        <v>35</v>
      </c>
      <c r="O964" s="2" t="s">
        <v>2377</v>
      </c>
      <c r="P964" s="2" t="s">
        <v>35</v>
      </c>
      <c r="Q964" s="2" t="s">
        <v>35</v>
      </c>
    </row>
    <row r="965" spans="1:17" ht="115.2">
      <c r="A965" s="8" t="str">
        <f>HYPERLINK("http://sipi.sic.gov.co/sipi/View.ashx?4711549","SD2023/0041937")</f>
        <v>SD2023/0041937</v>
      </c>
      <c r="B965" s="2" t="s">
        <v>3266</v>
      </c>
      <c r="C965" s="2" t="s">
        <v>35</v>
      </c>
      <c r="D965" s="2" t="s">
        <v>762</v>
      </c>
      <c r="E965" s="2" t="s">
        <v>35</v>
      </c>
      <c r="F965" s="2" t="s">
        <v>37</v>
      </c>
      <c r="G965" s="2" t="s">
        <v>3267</v>
      </c>
      <c r="H965" s="2" t="s">
        <v>925</v>
      </c>
      <c r="I965" s="2" t="s">
        <v>444</v>
      </c>
      <c r="J965" s="2" t="s">
        <v>40</v>
      </c>
      <c r="K965" s="2" t="s">
        <v>3268</v>
      </c>
      <c r="L965" s="2" t="s">
        <v>42</v>
      </c>
      <c r="M965" s="2" t="s">
        <v>197</v>
      </c>
      <c r="N965" s="2" t="s">
        <v>35</v>
      </c>
      <c r="O965" s="2" t="s">
        <v>3022</v>
      </c>
      <c r="P965" s="2" t="s">
        <v>35</v>
      </c>
      <c r="Q965" s="2" t="s">
        <v>35</v>
      </c>
    </row>
    <row r="966" spans="1:17" ht="144">
      <c r="A966" s="8" t="str">
        <f>HYPERLINK("http://sipi.sic.gov.co/sipi/View.ashx?4711891","SD2023/0043714")</f>
        <v>SD2023/0043714</v>
      </c>
      <c r="B966" s="2" t="s">
        <v>3269</v>
      </c>
      <c r="C966" s="2" t="s">
        <v>35</v>
      </c>
      <c r="D966" s="2" t="s">
        <v>3270</v>
      </c>
      <c r="E966" s="2" t="s">
        <v>35</v>
      </c>
      <c r="F966" s="2" t="s">
        <v>37</v>
      </c>
      <c r="G966" s="2" t="s">
        <v>3269</v>
      </c>
      <c r="H966" s="2" t="s">
        <v>3271</v>
      </c>
      <c r="I966" s="2" t="s">
        <v>12</v>
      </c>
      <c r="J966" s="2" t="s">
        <v>40</v>
      </c>
      <c r="K966" s="2" t="s">
        <v>3272</v>
      </c>
      <c r="L966" s="2" t="s">
        <v>42</v>
      </c>
      <c r="M966" s="2" t="s">
        <v>3273</v>
      </c>
      <c r="N966" s="2" t="s">
        <v>35</v>
      </c>
      <c r="O966" s="2" t="s">
        <v>2473</v>
      </c>
      <c r="P966" s="2" t="s">
        <v>35</v>
      </c>
      <c r="Q966" s="2" t="s">
        <v>35</v>
      </c>
    </row>
    <row r="967" spans="1:17" ht="129.6">
      <c r="A967" s="8" t="str">
        <f>HYPERLINK("http://sipi.sic.gov.co/sipi/View.ashx?4712283","SD2023/0042090")</f>
        <v>SD2023/0042090</v>
      </c>
      <c r="B967" s="2" t="s">
        <v>3274</v>
      </c>
      <c r="C967" s="2" t="s">
        <v>35</v>
      </c>
      <c r="D967" s="2" t="s">
        <v>762</v>
      </c>
      <c r="E967" s="2" t="s">
        <v>35</v>
      </c>
      <c r="F967" s="2" t="s">
        <v>37</v>
      </c>
      <c r="G967" s="2" t="s">
        <v>35</v>
      </c>
      <c r="H967" s="2" t="s">
        <v>1224</v>
      </c>
      <c r="I967" s="2" t="s">
        <v>12</v>
      </c>
      <c r="J967" s="2" t="s">
        <v>40</v>
      </c>
      <c r="K967" s="2" t="s">
        <v>3275</v>
      </c>
      <c r="L967" s="2" t="s">
        <v>42</v>
      </c>
      <c r="M967" s="2" t="s">
        <v>371</v>
      </c>
      <c r="N967" s="2" t="s">
        <v>35</v>
      </c>
      <c r="O967" s="2" t="s">
        <v>1286</v>
      </c>
      <c r="P967" s="2" t="s">
        <v>35</v>
      </c>
      <c r="Q967" s="2" t="s">
        <v>35</v>
      </c>
    </row>
    <row r="968" spans="1:17" ht="129.6">
      <c r="A968" s="8" t="str">
        <f>HYPERLINK("http://sipi.sic.gov.co/sipi/View.ashx?4712407","SD2023/0042130")</f>
        <v>SD2023/0042130</v>
      </c>
      <c r="B968" s="2" t="s">
        <v>3276</v>
      </c>
      <c r="C968" s="2" t="s">
        <v>35</v>
      </c>
      <c r="D968" s="2" t="s">
        <v>762</v>
      </c>
      <c r="E968" s="2" t="s">
        <v>35</v>
      </c>
      <c r="F968" s="2" t="s">
        <v>37</v>
      </c>
      <c r="G968" s="2" t="s">
        <v>35</v>
      </c>
      <c r="H968" s="2" t="s">
        <v>1224</v>
      </c>
      <c r="I968" s="2" t="s">
        <v>12</v>
      </c>
      <c r="J968" s="2" t="s">
        <v>40</v>
      </c>
      <c r="K968" s="2" t="s">
        <v>3275</v>
      </c>
      <c r="L968" s="2" t="s">
        <v>42</v>
      </c>
      <c r="M968" s="2" t="s">
        <v>371</v>
      </c>
      <c r="N968" s="2" t="s">
        <v>35</v>
      </c>
      <c r="O968" s="2" t="s">
        <v>2346</v>
      </c>
      <c r="P968" s="2" t="s">
        <v>35</v>
      </c>
      <c r="Q968" s="2" t="s">
        <v>35</v>
      </c>
    </row>
    <row r="969" spans="1:17" ht="129.6">
      <c r="A969" s="8" t="str">
        <f>HYPERLINK("http://sipi.sic.gov.co/sipi/View.ashx?4712428","SD2023/0042139")</f>
        <v>SD2023/0042139</v>
      </c>
      <c r="B969" s="2" t="s">
        <v>3277</v>
      </c>
      <c r="C969" s="2" t="s">
        <v>35</v>
      </c>
      <c r="D969" s="2" t="s">
        <v>762</v>
      </c>
      <c r="E969" s="2" t="s">
        <v>35</v>
      </c>
      <c r="F969" s="2" t="s">
        <v>37</v>
      </c>
      <c r="G969" s="2" t="s">
        <v>35</v>
      </c>
      <c r="H969" s="2" t="s">
        <v>1224</v>
      </c>
      <c r="I969" s="2" t="s">
        <v>12</v>
      </c>
      <c r="J969" s="2" t="s">
        <v>40</v>
      </c>
      <c r="K969" s="2" t="s">
        <v>3275</v>
      </c>
      <c r="L969" s="2" t="s">
        <v>55</v>
      </c>
      <c r="M969" s="2" t="s">
        <v>371</v>
      </c>
      <c r="N969" s="2" t="s">
        <v>35</v>
      </c>
      <c r="O969" s="2" t="s">
        <v>3201</v>
      </c>
      <c r="P969" s="2" t="s">
        <v>35</v>
      </c>
      <c r="Q969" s="2" t="s">
        <v>35</v>
      </c>
    </row>
    <row r="970" spans="1:17" ht="129.6">
      <c r="A970" s="8" t="str">
        <f>HYPERLINK("http://sipi.sic.gov.co/sipi/View.ashx?4712505","SD2023/0042172")</f>
        <v>SD2023/0042172</v>
      </c>
      <c r="B970" s="2" t="s">
        <v>3278</v>
      </c>
      <c r="C970" s="2" t="s">
        <v>35</v>
      </c>
      <c r="D970" s="2" t="s">
        <v>762</v>
      </c>
      <c r="E970" s="2" t="s">
        <v>35</v>
      </c>
      <c r="F970" s="2" t="s">
        <v>37</v>
      </c>
      <c r="G970" s="2" t="s">
        <v>35</v>
      </c>
      <c r="H970" s="2" t="s">
        <v>1224</v>
      </c>
      <c r="I970" s="2" t="s">
        <v>12</v>
      </c>
      <c r="J970" s="2" t="s">
        <v>40</v>
      </c>
      <c r="K970" s="2" t="s">
        <v>3275</v>
      </c>
      <c r="L970" s="2" t="s">
        <v>42</v>
      </c>
      <c r="M970" s="2" t="s">
        <v>371</v>
      </c>
      <c r="N970" s="2" t="s">
        <v>35</v>
      </c>
      <c r="O970" s="2" t="s">
        <v>1286</v>
      </c>
      <c r="P970" s="2" t="s">
        <v>35</v>
      </c>
      <c r="Q970" s="2" t="s">
        <v>35</v>
      </c>
    </row>
    <row r="971" spans="1:17" ht="129.6">
      <c r="A971" s="8" t="str">
        <f>HYPERLINK("http://sipi.sic.gov.co/sipi/View.ashx?4712538","SD2023/0042183")</f>
        <v>SD2023/0042183</v>
      </c>
      <c r="B971" s="2" t="s">
        <v>3279</v>
      </c>
      <c r="C971" s="2" t="s">
        <v>35</v>
      </c>
      <c r="D971" s="2" t="s">
        <v>762</v>
      </c>
      <c r="E971" s="2" t="s">
        <v>35</v>
      </c>
      <c r="F971" s="2" t="s">
        <v>37</v>
      </c>
      <c r="G971" s="2" t="s">
        <v>35</v>
      </c>
      <c r="H971" s="2" t="s">
        <v>1224</v>
      </c>
      <c r="I971" s="2" t="s">
        <v>12</v>
      </c>
      <c r="J971" s="2" t="s">
        <v>40</v>
      </c>
      <c r="K971" s="2" t="s">
        <v>3275</v>
      </c>
      <c r="L971" s="2" t="s">
        <v>42</v>
      </c>
      <c r="M971" s="2" t="s">
        <v>371</v>
      </c>
      <c r="N971" s="2" t="s">
        <v>35</v>
      </c>
      <c r="O971" s="2" t="s">
        <v>2346</v>
      </c>
      <c r="P971" s="2" t="s">
        <v>35</v>
      </c>
      <c r="Q971" s="2" t="s">
        <v>35</v>
      </c>
    </row>
    <row r="972" spans="1:17" ht="129.6">
      <c r="A972" s="8" t="str">
        <f>HYPERLINK("http://sipi.sic.gov.co/sipi/View.ashx?4715641","SD2023/0042915")</f>
        <v>SD2023/0042915</v>
      </c>
      <c r="B972" s="2" t="s">
        <v>3280</v>
      </c>
      <c r="C972" s="7" t="s">
        <v>35</v>
      </c>
      <c r="D972" s="2" t="s">
        <v>3281</v>
      </c>
      <c r="E972" s="2" t="s">
        <v>35</v>
      </c>
      <c r="F972" s="2" t="s">
        <v>37</v>
      </c>
      <c r="G972" s="2" t="s">
        <v>35</v>
      </c>
      <c r="H972" s="2" t="s">
        <v>1224</v>
      </c>
      <c r="I972" s="2" t="s">
        <v>12</v>
      </c>
      <c r="J972" s="2" t="s">
        <v>40</v>
      </c>
      <c r="K972" s="2" t="s">
        <v>3275</v>
      </c>
      <c r="L972" s="2" t="s">
        <v>42</v>
      </c>
      <c r="M972" s="2" t="s">
        <v>371</v>
      </c>
      <c r="N972" s="2" t="s">
        <v>35</v>
      </c>
      <c r="O972" s="2" t="s">
        <v>3282</v>
      </c>
      <c r="P972" s="2" t="s">
        <v>35</v>
      </c>
      <c r="Q972" s="2" t="s">
        <v>35</v>
      </c>
    </row>
    <row r="973" spans="1:17" ht="144">
      <c r="A973" s="8" t="str">
        <f>HYPERLINK("http://sipi.sic.gov.co/sipi/View.ashx?4720649","SD2023/0044296")</f>
        <v>SD2023/0044296</v>
      </c>
      <c r="B973" s="2" t="s">
        <v>3283</v>
      </c>
      <c r="C973" s="7" t="s">
        <v>35</v>
      </c>
      <c r="D973" s="2" t="s">
        <v>3284</v>
      </c>
      <c r="E973" s="2" t="s">
        <v>35</v>
      </c>
      <c r="F973" s="2" t="s">
        <v>37</v>
      </c>
      <c r="G973" s="2" t="s">
        <v>3285</v>
      </c>
      <c r="H973" s="2" t="s">
        <v>279</v>
      </c>
      <c r="I973" s="2" t="s">
        <v>12</v>
      </c>
      <c r="J973" s="2" t="s">
        <v>40</v>
      </c>
      <c r="K973" s="2" t="s">
        <v>3286</v>
      </c>
      <c r="L973" s="2" t="s">
        <v>42</v>
      </c>
      <c r="M973" s="2" t="s">
        <v>3287</v>
      </c>
      <c r="N973" s="2" t="s">
        <v>35</v>
      </c>
      <c r="O973" s="2" t="s">
        <v>2175</v>
      </c>
      <c r="P973" s="2" t="s">
        <v>35</v>
      </c>
      <c r="Q973" s="2" t="s">
        <v>35</v>
      </c>
    </row>
    <row r="974" spans="1:17" ht="144">
      <c r="A974" s="8" t="str">
        <f>HYPERLINK("http://sipi.sic.gov.co/sipi/View.ashx?4720715","SD2023/0044315")</f>
        <v>SD2023/0044315</v>
      </c>
      <c r="B974" s="2" t="s">
        <v>3288</v>
      </c>
      <c r="C974" s="7" t="s">
        <v>35</v>
      </c>
      <c r="D974" s="2" t="s">
        <v>3284</v>
      </c>
      <c r="E974" s="2" t="s">
        <v>35</v>
      </c>
      <c r="F974" s="2" t="s">
        <v>37</v>
      </c>
      <c r="G974" s="2" t="s">
        <v>3289</v>
      </c>
      <c r="H974" s="2" t="s">
        <v>279</v>
      </c>
      <c r="I974" s="2" t="s">
        <v>12</v>
      </c>
      <c r="J974" s="2" t="s">
        <v>40</v>
      </c>
      <c r="K974" s="2" t="s">
        <v>3286</v>
      </c>
      <c r="L974" s="2" t="s">
        <v>42</v>
      </c>
      <c r="M974" s="2" t="s">
        <v>3287</v>
      </c>
      <c r="N974" s="2" t="s">
        <v>35</v>
      </c>
      <c r="O974" s="2" t="s">
        <v>1705</v>
      </c>
      <c r="P974" s="2" t="s">
        <v>35</v>
      </c>
      <c r="Q974" s="2" t="s">
        <v>35</v>
      </c>
    </row>
    <row r="975" spans="1:17" ht="201.6">
      <c r="A975" s="8" t="str">
        <f>HYPERLINK("http://sipi.sic.gov.co/sipi/View.ashx?4721102","SD2023/0044441")</f>
        <v>SD2023/0044441</v>
      </c>
      <c r="B975" s="2" t="s">
        <v>3290</v>
      </c>
      <c r="C975" s="7" t="s">
        <v>35</v>
      </c>
      <c r="D975" s="2" t="s">
        <v>3284</v>
      </c>
      <c r="E975" s="2" t="s">
        <v>35</v>
      </c>
      <c r="F975" s="2" t="s">
        <v>37</v>
      </c>
      <c r="G975" s="2" t="s">
        <v>3291</v>
      </c>
      <c r="H975" s="2" t="s">
        <v>2689</v>
      </c>
      <c r="I975" s="2" t="s">
        <v>444</v>
      </c>
      <c r="J975" s="2" t="s">
        <v>40</v>
      </c>
      <c r="K975" s="2" t="s">
        <v>2690</v>
      </c>
      <c r="L975" s="2" t="s">
        <v>55</v>
      </c>
      <c r="M975" s="2" t="s">
        <v>2691</v>
      </c>
      <c r="N975" s="2" t="s">
        <v>35</v>
      </c>
      <c r="O975" s="2" t="s">
        <v>10</v>
      </c>
      <c r="P975" s="2" t="s">
        <v>35</v>
      </c>
      <c r="Q975" s="2" t="s">
        <v>35</v>
      </c>
    </row>
    <row r="976" spans="1:17" ht="76.8">
      <c r="A976" s="8" t="str">
        <f>HYPERLINK("http://sipi.sic.gov.co/sipi/View.ashx?4726057","SD2023/0045642")</f>
        <v>SD2023/0045642</v>
      </c>
      <c r="B976" s="2" t="s">
        <v>3292</v>
      </c>
      <c r="C976" s="7" t="s">
        <v>35</v>
      </c>
      <c r="D976" s="2" t="s">
        <v>3228</v>
      </c>
      <c r="E976" s="2" t="s">
        <v>35</v>
      </c>
      <c r="F976" s="2" t="s">
        <v>37</v>
      </c>
      <c r="G976" s="2" t="s">
        <v>3292</v>
      </c>
      <c r="H976" s="2" t="s">
        <v>3293</v>
      </c>
      <c r="I976" s="2" t="s">
        <v>3093</v>
      </c>
      <c r="J976" s="2" t="s">
        <v>3231</v>
      </c>
      <c r="K976" s="2" t="s">
        <v>3294</v>
      </c>
      <c r="L976" s="2" t="s">
        <v>42</v>
      </c>
      <c r="M976" s="2" t="s">
        <v>35</v>
      </c>
      <c r="N976" s="2" t="s">
        <v>35</v>
      </c>
      <c r="O976" s="2" t="s">
        <v>2175</v>
      </c>
      <c r="P976" s="2" t="s">
        <v>35</v>
      </c>
      <c r="Q976" s="2" t="s">
        <v>35</v>
      </c>
    </row>
    <row r="977" spans="1:17" ht="129.6">
      <c r="A977" s="8" t="str">
        <f>HYPERLINK("http://sipi.sic.gov.co/sipi/View.ashx?4726380","SD2023/0045757")</f>
        <v>SD2023/0045757</v>
      </c>
      <c r="B977" s="2" t="s">
        <v>3295</v>
      </c>
      <c r="C977" s="2" t="s">
        <v>35</v>
      </c>
      <c r="D977" s="2" t="s">
        <v>3296</v>
      </c>
      <c r="E977" s="2" t="s">
        <v>35</v>
      </c>
      <c r="F977" s="2" t="s">
        <v>37</v>
      </c>
      <c r="G977" s="2" t="s">
        <v>35</v>
      </c>
      <c r="H977" s="2" t="s">
        <v>1630</v>
      </c>
      <c r="I977" s="2" t="s">
        <v>12</v>
      </c>
      <c r="J977" s="2" t="s">
        <v>40</v>
      </c>
      <c r="K977" s="2" t="s">
        <v>380</v>
      </c>
      <c r="L977" s="2" t="s">
        <v>42</v>
      </c>
      <c r="M977" s="2" t="s">
        <v>3133</v>
      </c>
      <c r="N977" s="2" t="s">
        <v>35</v>
      </c>
      <c r="O977" s="2" t="s">
        <v>1705</v>
      </c>
      <c r="P977" s="2" t="s">
        <v>35</v>
      </c>
      <c r="Q977" s="2" t="s">
        <v>35</v>
      </c>
    </row>
    <row r="978" spans="1:17" ht="115.2">
      <c r="A978" s="8" t="str">
        <f>HYPERLINK("http://sipi.sic.gov.co/sipi/View.ashx?4726666","SD2023/0045843")</f>
        <v>SD2023/0045843</v>
      </c>
      <c r="B978" s="2" t="s">
        <v>3297</v>
      </c>
      <c r="C978" s="2" t="s">
        <v>35</v>
      </c>
      <c r="D978" s="2" t="s">
        <v>3296</v>
      </c>
      <c r="E978" s="2" t="s">
        <v>35</v>
      </c>
      <c r="F978" s="2" t="s">
        <v>37</v>
      </c>
      <c r="G978" s="2" t="s">
        <v>464</v>
      </c>
      <c r="H978" s="2" t="s">
        <v>3298</v>
      </c>
      <c r="I978" s="2" t="s">
        <v>12</v>
      </c>
      <c r="J978" s="2" t="s">
        <v>40</v>
      </c>
      <c r="K978" s="2" t="s">
        <v>3299</v>
      </c>
      <c r="L978" s="2" t="s">
        <v>42</v>
      </c>
      <c r="M978" s="2" t="s">
        <v>168</v>
      </c>
      <c r="N978" s="2" t="s">
        <v>35</v>
      </c>
      <c r="O978" s="2" t="s">
        <v>1705</v>
      </c>
      <c r="P978" s="2" t="s">
        <v>35</v>
      </c>
      <c r="Q978" s="2" t="s">
        <v>35</v>
      </c>
    </row>
    <row r="979" spans="1:17" ht="100.8">
      <c r="A979" s="8" t="str">
        <f>HYPERLINK("http://sipi.sic.gov.co/sipi/View.ashx?4727776","SD2023/0046256")</f>
        <v>SD2023/0046256</v>
      </c>
      <c r="B979" s="2" t="s">
        <v>3300</v>
      </c>
      <c r="C979" s="7" t="s">
        <v>35</v>
      </c>
      <c r="D979" s="2" t="s">
        <v>3301</v>
      </c>
      <c r="E979" s="2" t="s">
        <v>35</v>
      </c>
      <c r="F979" s="2" t="s">
        <v>37</v>
      </c>
      <c r="G979" s="2" t="s">
        <v>3300</v>
      </c>
      <c r="H979" s="2" t="s">
        <v>3302</v>
      </c>
      <c r="I979" s="2" t="s">
        <v>12</v>
      </c>
      <c r="J979" s="2" t="s">
        <v>40</v>
      </c>
      <c r="K979" s="2" t="s">
        <v>380</v>
      </c>
      <c r="L979" s="2" t="s">
        <v>42</v>
      </c>
      <c r="M979" s="2" t="s">
        <v>471</v>
      </c>
      <c r="N979" s="2" t="s">
        <v>35</v>
      </c>
      <c r="O979" s="2" t="s">
        <v>10</v>
      </c>
      <c r="P979" s="2" t="s">
        <v>35</v>
      </c>
      <c r="Q979" s="2" t="s">
        <v>35</v>
      </c>
    </row>
    <row r="980" spans="1:17" ht="158.4">
      <c r="A980" s="8" t="str">
        <f>HYPERLINK("http://sipi.sic.gov.co/sipi/View.ashx?4727841","SD2023/0046284")</f>
        <v>SD2023/0046284</v>
      </c>
      <c r="B980" s="2" t="s">
        <v>3303</v>
      </c>
      <c r="C980" s="2" t="s">
        <v>35</v>
      </c>
      <c r="D980" s="2" t="s">
        <v>3301</v>
      </c>
      <c r="E980" s="2" t="s">
        <v>35</v>
      </c>
      <c r="F980" s="2" t="s">
        <v>37</v>
      </c>
      <c r="G980" s="2" t="s">
        <v>3304</v>
      </c>
      <c r="H980" s="2" t="s">
        <v>1525</v>
      </c>
      <c r="I980" s="2" t="s">
        <v>12</v>
      </c>
      <c r="J980" s="2" t="s">
        <v>40</v>
      </c>
      <c r="K980" s="2" t="s">
        <v>3305</v>
      </c>
      <c r="L980" s="2" t="s">
        <v>55</v>
      </c>
      <c r="M980" s="2" t="s">
        <v>1346</v>
      </c>
      <c r="N980" s="2" t="s">
        <v>35</v>
      </c>
      <c r="O980" s="2" t="s">
        <v>10</v>
      </c>
      <c r="P980" s="2" t="s">
        <v>35</v>
      </c>
      <c r="Q980" s="2" t="s">
        <v>35</v>
      </c>
    </row>
    <row r="981" spans="1:17" ht="129.6">
      <c r="A981" s="8" t="str">
        <f>HYPERLINK("http://sipi.sic.gov.co/sipi/View.ashx?4733981","SD2023/0048097")</f>
        <v>SD2023/0048097</v>
      </c>
      <c r="B981" s="2" t="s">
        <v>3306</v>
      </c>
      <c r="C981" s="2" t="s">
        <v>35</v>
      </c>
      <c r="D981" s="2" t="s">
        <v>3307</v>
      </c>
      <c r="E981" s="2" t="s">
        <v>35</v>
      </c>
      <c r="F981" s="2" t="s">
        <v>37</v>
      </c>
      <c r="G981" s="2" t="s">
        <v>35</v>
      </c>
      <c r="H981" s="2" t="s">
        <v>3308</v>
      </c>
      <c r="I981" s="2" t="s">
        <v>12</v>
      </c>
      <c r="J981" s="2" t="s">
        <v>40</v>
      </c>
      <c r="K981" s="2" t="s">
        <v>3309</v>
      </c>
      <c r="L981" s="2" t="s">
        <v>42</v>
      </c>
      <c r="M981" s="2" t="s">
        <v>48</v>
      </c>
      <c r="N981" s="2" t="s">
        <v>35</v>
      </c>
      <c r="O981" s="2" t="s">
        <v>2377</v>
      </c>
      <c r="P981" s="2" t="s">
        <v>35</v>
      </c>
      <c r="Q981" s="2" t="s">
        <v>35</v>
      </c>
    </row>
    <row r="982" spans="1:17" ht="129.6">
      <c r="A982" s="8" t="str">
        <f>HYPERLINK("http://sipi.sic.gov.co/sipi/View.ashx?4734866","SD2023/0048356")</f>
        <v>SD2023/0048356</v>
      </c>
      <c r="B982" s="2" t="s">
        <v>3310</v>
      </c>
      <c r="C982" s="2" t="s">
        <v>35</v>
      </c>
      <c r="D982" s="2" t="s">
        <v>3311</v>
      </c>
      <c r="E982" s="2" t="s">
        <v>35</v>
      </c>
      <c r="F982" s="2" t="s">
        <v>37</v>
      </c>
      <c r="G982" s="2" t="s">
        <v>35</v>
      </c>
      <c r="H982" s="2" t="s">
        <v>1348</v>
      </c>
      <c r="I982" s="2" t="s">
        <v>12</v>
      </c>
      <c r="J982" s="2" t="s">
        <v>40</v>
      </c>
      <c r="K982" s="2" t="s">
        <v>3312</v>
      </c>
      <c r="L982" s="2" t="s">
        <v>55</v>
      </c>
      <c r="M982" s="2" t="s">
        <v>371</v>
      </c>
      <c r="N982" s="2" t="s">
        <v>35</v>
      </c>
      <c r="O982" s="2" t="s">
        <v>2473</v>
      </c>
      <c r="P982" s="2" t="s">
        <v>35</v>
      </c>
      <c r="Q982" s="2" t="s">
        <v>35</v>
      </c>
    </row>
    <row r="983" spans="1:17" ht="115.2">
      <c r="A983" s="8" t="str">
        <f>HYPERLINK("http://sipi.sic.gov.co/sipi/View.ashx?4735131","SD2023/0048424")</f>
        <v>SD2023/0048424</v>
      </c>
      <c r="B983" s="2" t="s">
        <v>3313</v>
      </c>
      <c r="C983" s="2" t="s">
        <v>35</v>
      </c>
      <c r="D983" s="2" t="s">
        <v>3311</v>
      </c>
      <c r="E983" s="2" t="s">
        <v>35</v>
      </c>
      <c r="F983" s="2" t="s">
        <v>37</v>
      </c>
      <c r="G983" s="2" t="s">
        <v>3314</v>
      </c>
      <c r="H983" s="2" t="s">
        <v>2268</v>
      </c>
      <c r="I983" s="2" t="s">
        <v>12</v>
      </c>
      <c r="J983" s="2" t="s">
        <v>40</v>
      </c>
      <c r="K983" s="2" t="s">
        <v>3315</v>
      </c>
      <c r="L983" s="2" t="s">
        <v>42</v>
      </c>
      <c r="M983" s="2" t="s">
        <v>2270</v>
      </c>
      <c r="N983" s="2" t="s">
        <v>35</v>
      </c>
      <c r="O983" s="2" t="s">
        <v>3234</v>
      </c>
      <c r="P983" s="2" t="s">
        <v>35</v>
      </c>
      <c r="Q983" s="2" t="s">
        <v>35</v>
      </c>
    </row>
    <row r="984" spans="1:17" ht="172.8">
      <c r="A984" s="8" t="str">
        <f>HYPERLINK("http://sipi.sic.gov.co/sipi/View.ashx?4735974","SD2023/0048708")</f>
        <v>SD2023/0048708</v>
      </c>
      <c r="B984" s="2" t="s">
        <v>3316</v>
      </c>
      <c r="C984" s="7" t="s">
        <v>35</v>
      </c>
      <c r="D984" s="2" t="s">
        <v>3311</v>
      </c>
      <c r="E984" s="2" t="s">
        <v>35</v>
      </c>
      <c r="F984" s="2" t="s">
        <v>37</v>
      </c>
      <c r="G984" s="2" t="s">
        <v>35</v>
      </c>
      <c r="H984" s="2" t="s">
        <v>260</v>
      </c>
      <c r="I984" s="2" t="s">
        <v>12</v>
      </c>
      <c r="J984" s="2" t="s">
        <v>40</v>
      </c>
      <c r="K984" s="2" t="s">
        <v>3317</v>
      </c>
      <c r="L984" s="2" t="s">
        <v>42</v>
      </c>
      <c r="M984" s="2" t="s">
        <v>179</v>
      </c>
      <c r="N984" s="2" t="s">
        <v>35</v>
      </c>
      <c r="O984" s="2" t="s">
        <v>2175</v>
      </c>
      <c r="P984" s="2" t="s">
        <v>35</v>
      </c>
      <c r="Q984" s="2" t="s">
        <v>35</v>
      </c>
    </row>
    <row r="985" spans="1:17" ht="409.6">
      <c r="A985" s="8" t="str">
        <f>HYPERLINK("http://sipi.sic.gov.co/sipi/View.ashx?4736547","SD2023/0048911")</f>
        <v>SD2023/0048911</v>
      </c>
      <c r="B985" s="2" t="s">
        <v>3318</v>
      </c>
      <c r="C985" s="7" t="s">
        <v>35</v>
      </c>
      <c r="D985" s="2" t="s">
        <v>2292</v>
      </c>
      <c r="E985" s="2" t="s">
        <v>35</v>
      </c>
      <c r="F985" s="2" t="s">
        <v>37</v>
      </c>
      <c r="G985" s="2" t="s">
        <v>3318</v>
      </c>
      <c r="H985" s="2" t="s">
        <v>3319</v>
      </c>
      <c r="I985" s="2" t="s">
        <v>61</v>
      </c>
      <c r="J985" s="2" t="s">
        <v>40</v>
      </c>
      <c r="K985" s="2" t="s">
        <v>3320</v>
      </c>
      <c r="L985" s="2" t="s">
        <v>55</v>
      </c>
      <c r="M985" s="2" t="s">
        <v>35</v>
      </c>
      <c r="N985" s="2" t="s">
        <v>35</v>
      </c>
      <c r="O985" s="2" t="s">
        <v>2473</v>
      </c>
      <c r="P985" s="2" t="s">
        <v>35</v>
      </c>
      <c r="Q985" s="2" t="s">
        <v>35</v>
      </c>
    </row>
    <row r="986" spans="1:17" ht="409.6">
      <c r="A986" s="8" t="str">
        <f>HYPERLINK("http://sipi.sic.gov.co/sipi/View.ashx?4737171","SD2023/0049140")</f>
        <v>SD2023/0049140</v>
      </c>
      <c r="B986" s="2" t="s">
        <v>3321</v>
      </c>
      <c r="C986" s="7" t="s">
        <v>35</v>
      </c>
      <c r="D986" s="2" t="s">
        <v>3322</v>
      </c>
      <c r="E986" s="2" t="s">
        <v>35</v>
      </c>
      <c r="F986" s="2" t="s">
        <v>37</v>
      </c>
      <c r="G986" s="2" t="s">
        <v>35</v>
      </c>
      <c r="H986" s="2" t="s">
        <v>1853</v>
      </c>
      <c r="I986" s="2" t="s">
        <v>12</v>
      </c>
      <c r="J986" s="2" t="s">
        <v>40</v>
      </c>
      <c r="K986" s="2" t="s">
        <v>1854</v>
      </c>
      <c r="L986" s="2" t="s">
        <v>42</v>
      </c>
      <c r="M986" s="2" t="s">
        <v>1855</v>
      </c>
      <c r="N986" s="2" t="s">
        <v>35</v>
      </c>
      <c r="O986" s="2" t="s">
        <v>3234</v>
      </c>
      <c r="P986" s="2" t="s">
        <v>35</v>
      </c>
      <c r="Q986" s="2" t="s">
        <v>35</v>
      </c>
    </row>
    <row r="987" spans="1:17" ht="259.2">
      <c r="A987" s="8" t="str">
        <f>HYPERLINK("http://sipi.sic.gov.co/sipi/View.ashx?4738141","SD2023/0049388")</f>
        <v>SD2023/0049388</v>
      </c>
      <c r="B987" s="2" t="s">
        <v>3323</v>
      </c>
      <c r="C987" s="7" t="s">
        <v>35</v>
      </c>
      <c r="D987" s="2" t="s">
        <v>3324</v>
      </c>
      <c r="E987" s="2" t="s">
        <v>35</v>
      </c>
      <c r="F987" s="2" t="s">
        <v>37</v>
      </c>
      <c r="G987" s="2" t="s">
        <v>3325</v>
      </c>
      <c r="H987" s="2" t="s">
        <v>3326</v>
      </c>
      <c r="I987" s="2" t="s">
        <v>149</v>
      </c>
      <c r="J987" s="2" t="s">
        <v>3231</v>
      </c>
      <c r="K987" s="2" t="s">
        <v>3327</v>
      </c>
      <c r="L987" s="2" t="s">
        <v>42</v>
      </c>
      <c r="M987" s="2" t="s">
        <v>3200</v>
      </c>
      <c r="N987" s="2" t="s">
        <v>35</v>
      </c>
      <c r="O987" s="2" t="s">
        <v>3234</v>
      </c>
      <c r="P987" s="2" t="s">
        <v>35</v>
      </c>
      <c r="Q987" s="2" t="s">
        <v>35</v>
      </c>
    </row>
    <row r="988" spans="1:17" ht="144">
      <c r="A988" s="8" t="str">
        <f>HYPERLINK("http://sipi.sic.gov.co/sipi/View.ashx?4751319","SD2023/0053425")</f>
        <v>SD2023/0053425</v>
      </c>
      <c r="B988" s="2" t="s">
        <v>3328</v>
      </c>
      <c r="C988" s="7" t="s">
        <v>35</v>
      </c>
      <c r="D988" s="2" t="s">
        <v>3329</v>
      </c>
      <c r="E988" s="2" t="s">
        <v>35</v>
      </c>
      <c r="F988" s="2" t="s">
        <v>37</v>
      </c>
      <c r="G988" s="2" t="s">
        <v>3328</v>
      </c>
      <c r="H988" s="2" t="s">
        <v>3330</v>
      </c>
      <c r="I988" s="2" t="s">
        <v>12</v>
      </c>
      <c r="J988" s="2" t="s">
        <v>3231</v>
      </c>
      <c r="K988" s="2" t="s">
        <v>3331</v>
      </c>
      <c r="L988" s="2" t="s">
        <v>55</v>
      </c>
      <c r="M988" s="2" t="s">
        <v>2514</v>
      </c>
      <c r="N988" s="2" t="s">
        <v>35</v>
      </c>
      <c r="O988" s="2" t="s">
        <v>10</v>
      </c>
      <c r="P988" s="2" t="s">
        <v>35</v>
      </c>
      <c r="Q988" s="2" t="s">
        <v>35</v>
      </c>
    </row>
    <row r="989" spans="1:17" ht="129.6">
      <c r="A989" s="8" t="str">
        <f>HYPERLINK("http://sipi.sic.gov.co/sipi/View.ashx?4756280","SD2023/0054111")</f>
        <v>SD2023/0054111</v>
      </c>
      <c r="B989" s="2" t="s">
        <v>3332</v>
      </c>
      <c r="C989" s="7" t="s">
        <v>35</v>
      </c>
      <c r="D989" s="2" t="s">
        <v>3333</v>
      </c>
      <c r="E989" s="2" t="s">
        <v>35</v>
      </c>
      <c r="F989" s="2" t="s">
        <v>37</v>
      </c>
      <c r="G989" s="2" t="s">
        <v>3334</v>
      </c>
      <c r="H989" s="2" t="s">
        <v>3335</v>
      </c>
      <c r="I989" s="2" t="s">
        <v>12</v>
      </c>
      <c r="J989" s="2" t="s">
        <v>3231</v>
      </c>
      <c r="K989" s="2" t="s">
        <v>3336</v>
      </c>
      <c r="L989" s="2" t="s">
        <v>55</v>
      </c>
      <c r="M989" s="2" t="s">
        <v>100</v>
      </c>
      <c r="N989" s="2" t="s">
        <v>35</v>
      </c>
      <c r="O989" s="2" t="s">
        <v>10</v>
      </c>
      <c r="P989" s="2" t="s">
        <v>35</v>
      </c>
      <c r="Q989" s="2" t="s">
        <v>35</v>
      </c>
    </row>
    <row r="990" spans="1:17" ht="129.6">
      <c r="A990" s="8" t="str">
        <f>HYPERLINK("http://sipi.sic.gov.co/sipi/View.ashx?4757263","SD2023/0056644")</f>
        <v>SD2023/0056644</v>
      </c>
      <c r="B990" s="2" t="s">
        <v>3337</v>
      </c>
      <c r="C990" s="2" t="s">
        <v>35</v>
      </c>
      <c r="D990" s="2" t="s">
        <v>3338</v>
      </c>
      <c r="E990" s="2" t="s">
        <v>35</v>
      </c>
      <c r="F990" s="2" t="s">
        <v>37</v>
      </c>
      <c r="G990" s="2" t="s">
        <v>3337</v>
      </c>
      <c r="H990" s="2" t="s">
        <v>3019</v>
      </c>
      <c r="I990" s="2" t="s">
        <v>12</v>
      </c>
      <c r="J990" s="2" t="s">
        <v>3231</v>
      </c>
      <c r="K990" s="2" t="s">
        <v>3339</v>
      </c>
      <c r="L990" s="2" t="s">
        <v>42</v>
      </c>
      <c r="M990" s="2" t="s">
        <v>3021</v>
      </c>
      <c r="N990" s="2" t="s">
        <v>35</v>
      </c>
      <c r="O990" s="2" t="s">
        <v>1286</v>
      </c>
      <c r="P990" s="2" t="s">
        <v>35</v>
      </c>
      <c r="Q990" s="2" t="s">
        <v>35</v>
      </c>
    </row>
    <row r="991" spans="1:17" ht="115.2">
      <c r="A991" s="8" t="str">
        <f>HYPERLINK("http://sipi.sic.gov.co/sipi/View.ashx?4757487","SD2023/0056654")</f>
        <v>SD2023/0056654</v>
      </c>
      <c r="B991" s="2" t="s">
        <v>3340</v>
      </c>
      <c r="C991" s="2" t="s">
        <v>35</v>
      </c>
      <c r="D991" s="2" t="s">
        <v>3338</v>
      </c>
      <c r="E991" s="2" t="s">
        <v>35</v>
      </c>
      <c r="F991" s="2" t="s">
        <v>37</v>
      </c>
      <c r="G991" s="2" t="s">
        <v>3340</v>
      </c>
      <c r="H991" s="2" t="s">
        <v>3019</v>
      </c>
      <c r="I991" s="2" t="s">
        <v>12</v>
      </c>
      <c r="J991" s="2" t="s">
        <v>3231</v>
      </c>
      <c r="K991" s="2" t="s">
        <v>3341</v>
      </c>
      <c r="L991" s="2" t="s">
        <v>42</v>
      </c>
      <c r="M991" s="2" t="s">
        <v>3021</v>
      </c>
      <c r="N991" s="2" t="s">
        <v>35</v>
      </c>
      <c r="O991" s="2" t="s">
        <v>1286</v>
      </c>
      <c r="P991" s="2" t="s">
        <v>35</v>
      </c>
      <c r="Q991" s="2" t="s">
        <v>35</v>
      </c>
    </row>
    <row r="992" spans="1:17" ht="144">
      <c r="A992" s="8" t="str">
        <f>HYPERLINK("http://sipi.sic.gov.co/sipi/View.ashx?4757868","SD2023/0054450")</f>
        <v>SD2023/0054450</v>
      </c>
      <c r="B992" s="2" t="s">
        <v>3342</v>
      </c>
      <c r="C992" s="7" t="s">
        <v>35</v>
      </c>
      <c r="D992" s="2" t="s">
        <v>3343</v>
      </c>
      <c r="E992" s="2" t="s">
        <v>35</v>
      </c>
      <c r="F992" s="2" t="s">
        <v>37</v>
      </c>
      <c r="G992" s="2" t="s">
        <v>3344</v>
      </c>
      <c r="H992" s="2" t="s">
        <v>3345</v>
      </c>
      <c r="I992" s="2" t="s">
        <v>12</v>
      </c>
      <c r="J992" s="2" t="s">
        <v>3231</v>
      </c>
      <c r="K992" s="2" t="s">
        <v>3346</v>
      </c>
      <c r="L992" s="2" t="s">
        <v>55</v>
      </c>
      <c r="M992" s="2" t="s">
        <v>1037</v>
      </c>
      <c r="N992" s="2" t="s">
        <v>35</v>
      </c>
      <c r="O992" s="2" t="s">
        <v>1705</v>
      </c>
      <c r="P992" s="2" t="s">
        <v>35</v>
      </c>
      <c r="Q992" s="2" t="s">
        <v>35</v>
      </c>
    </row>
    <row r="993" spans="1:17" ht="115.2">
      <c r="A993" s="8" t="str">
        <f>HYPERLINK("http://sipi.sic.gov.co/sipi/View.ashx?4758804","SD2023/0054721")</f>
        <v>SD2023/0054721</v>
      </c>
      <c r="B993" s="2" t="s">
        <v>3347</v>
      </c>
      <c r="C993" s="7" t="s">
        <v>35</v>
      </c>
      <c r="D993" s="2" t="s">
        <v>3343</v>
      </c>
      <c r="E993" s="2" t="s">
        <v>35</v>
      </c>
      <c r="F993" s="2" t="s">
        <v>37</v>
      </c>
      <c r="G993" s="2" t="s">
        <v>35</v>
      </c>
      <c r="H993" s="2" t="s">
        <v>3348</v>
      </c>
      <c r="I993" s="2" t="s">
        <v>12</v>
      </c>
      <c r="J993" s="2" t="s">
        <v>3231</v>
      </c>
      <c r="K993" s="2" t="s">
        <v>3349</v>
      </c>
      <c r="L993" s="2" t="s">
        <v>42</v>
      </c>
      <c r="M993" s="2" t="s">
        <v>3350</v>
      </c>
      <c r="N993" s="2" t="s">
        <v>35</v>
      </c>
      <c r="O993" s="2" t="s">
        <v>1705</v>
      </c>
      <c r="P993" s="2" t="s">
        <v>35</v>
      </c>
      <c r="Q993" s="2" t="s">
        <v>35</v>
      </c>
    </row>
    <row r="994" spans="1:17" ht="172.8">
      <c r="A994" s="8" t="str">
        <f>HYPERLINK("http://sipi.sic.gov.co/sipi/View.ashx?4758943","SD2023/0055541")</f>
        <v>SD2023/0055541</v>
      </c>
      <c r="B994" s="2" t="s">
        <v>3351</v>
      </c>
      <c r="C994" s="7" t="s">
        <v>35</v>
      </c>
      <c r="D994" s="2" t="s">
        <v>3352</v>
      </c>
      <c r="E994" s="2" t="s">
        <v>35</v>
      </c>
      <c r="F994" s="2" t="s">
        <v>37</v>
      </c>
      <c r="G994" s="2" t="s">
        <v>35</v>
      </c>
      <c r="H994" s="2" t="s">
        <v>3353</v>
      </c>
      <c r="I994" s="2" t="s">
        <v>12</v>
      </c>
      <c r="J994" s="2" t="s">
        <v>3231</v>
      </c>
      <c r="K994" s="2" t="s">
        <v>3354</v>
      </c>
      <c r="L994" s="2" t="s">
        <v>42</v>
      </c>
      <c r="M994" s="2" t="s">
        <v>3355</v>
      </c>
      <c r="N994" s="2" t="s">
        <v>35</v>
      </c>
      <c r="O994" s="2" t="s">
        <v>1286</v>
      </c>
      <c r="P994" s="2" t="s">
        <v>35</v>
      </c>
      <c r="Q994" s="2" t="s">
        <v>35</v>
      </c>
    </row>
    <row r="995" spans="1:17" ht="129.6">
      <c r="A995" s="8" t="str">
        <f>HYPERLINK("http://sipi.sic.gov.co/sipi/View.ashx?4759216","SD2023/0054805")</f>
        <v>SD2023/0054805</v>
      </c>
      <c r="B995" s="2" t="s">
        <v>3356</v>
      </c>
      <c r="C995" s="7" t="s">
        <v>35</v>
      </c>
      <c r="D995" s="2" t="s">
        <v>3357</v>
      </c>
      <c r="E995" s="2" t="s">
        <v>35</v>
      </c>
      <c r="F995" s="2" t="s">
        <v>37</v>
      </c>
      <c r="G995" s="2" t="s">
        <v>3358</v>
      </c>
      <c r="H995" s="2" t="s">
        <v>3359</v>
      </c>
      <c r="I995" s="2" t="s">
        <v>12</v>
      </c>
      <c r="J995" s="2" t="s">
        <v>3231</v>
      </c>
      <c r="K995" s="2" t="s">
        <v>3360</v>
      </c>
      <c r="L995" s="2" t="s">
        <v>42</v>
      </c>
      <c r="M995" s="2" t="s">
        <v>235</v>
      </c>
      <c r="N995" s="2" t="s">
        <v>35</v>
      </c>
      <c r="O995" s="2" t="s">
        <v>3234</v>
      </c>
      <c r="P995" s="2" t="s">
        <v>35</v>
      </c>
      <c r="Q995" s="2" t="s">
        <v>35</v>
      </c>
    </row>
    <row r="996" spans="1:17" ht="86.4">
      <c r="A996" s="8" t="str">
        <f>HYPERLINK("http://sipi.sic.gov.co/sipi/View.ashx?4761377","SD2023/0055443")</f>
        <v>SD2023/0055443</v>
      </c>
      <c r="B996" s="2" t="s">
        <v>3361</v>
      </c>
      <c r="C996" s="7" t="s">
        <v>35</v>
      </c>
      <c r="D996" s="2" t="s">
        <v>3352</v>
      </c>
      <c r="E996" s="2" t="s">
        <v>35</v>
      </c>
      <c r="F996" s="2" t="s">
        <v>37</v>
      </c>
      <c r="G996" s="2" t="s">
        <v>3361</v>
      </c>
      <c r="H996" s="2" t="s">
        <v>2350</v>
      </c>
      <c r="I996" s="2" t="s">
        <v>12</v>
      </c>
      <c r="J996" s="2" t="s">
        <v>3231</v>
      </c>
      <c r="K996" s="2" t="s">
        <v>3362</v>
      </c>
      <c r="L996" s="2" t="s">
        <v>42</v>
      </c>
      <c r="M996" s="2" t="s">
        <v>35</v>
      </c>
      <c r="N996" s="2" t="s">
        <v>35</v>
      </c>
      <c r="O996" s="2" t="s">
        <v>1705</v>
      </c>
      <c r="P996" s="2" t="s">
        <v>35</v>
      </c>
      <c r="Q996" s="2" t="s">
        <v>35</v>
      </c>
    </row>
    <row r="997" spans="1:17" ht="129.6">
      <c r="A997" s="8" t="str">
        <f>HYPERLINK("http://sipi.sic.gov.co/sipi/View.ashx?4761475","SD2023/0055544")</f>
        <v>SD2023/0055544</v>
      </c>
      <c r="B997" s="2" t="s">
        <v>3363</v>
      </c>
      <c r="C997" s="2" t="s">
        <v>35</v>
      </c>
      <c r="D997" s="2" t="s">
        <v>3352</v>
      </c>
      <c r="E997" s="2" t="s">
        <v>35</v>
      </c>
      <c r="F997" s="2" t="s">
        <v>37</v>
      </c>
      <c r="G997" s="2" t="s">
        <v>3363</v>
      </c>
      <c r="H997" s="2" t="s">
        <v>1485</v>
      </c>
      <c r="I997" s="2" t="s">
        <v>12</v>
      </c>
      <c r="J997" s="2" t="s">
        <v>3231</v>
      </c>
      <c r="K997" s="2" t="s">
        <v>41</v>
      </c>
      <c r="L997" s="2" t="s">
        <v>55</v>
      </c>
      <c r="M997" s="2" t="s">
        <v>1487</v>
      </c>
      <c r="N997" s="2" t="s">
        <v>35</v>
      </c>
      <c r="O997" s="2" t="s">
        <v>2045</v>
      </c>
      <c r="P997" s="2" t="s">
        <v>35</v>
      </c>
      <c r="Q997" s="2" t="s">
        <v>35</v>
      </c>
    </row>
    <row r="998" spans="1:17" ht="129.6">
      <c r="A998" s="8" t="str">
        <f>HYPERLINK("http://sipi.sic.gov.co/sipi/View.ashx?4761665","SD2023/0055480")</f>
        <v>SD2023/0055480</v>
      </c>
      <c r="B998" s="2" t="s">
        <v>3364</v>
      </c>
      <c r="C998" s="2" t="s">
        <v>35</v>
      </c>
      <c r="D998" s="2" t="s">
        <v>3352</v>
      </c>
      <c r="E998" s="2" t="s">
        <v>35</v>
      </c>
      <c r="F998" s="2" t="s">
        <v>37</v>
      </c>
      <c r="G998" s="2" t="s">
        <v>3364</v>
      </c>
      <c r="H998" s="2" t="s">
        <v>1485</v>
      </c>
      <c r="I998" s="2" t="s">
        <v>12</v>
      </c>
      <c r="J998" s="2" t="s">
        <v>3231</v>
      </c>
      <c r="K998" s="2" t="s">
        <v>3365</v>
      </c>
      <c r="L998" s="2" t="s">
        <v>55</v>
      </c>
      <c r="M998" s="2" t="s">
        <v>1487</v>
      </c>
      <c r="N998" s="2" t="s">
        <v>35</v>
      </c>
      <c r="O998" s="2" t="s">
        <v>1286</v>
      </c>
      <c r="P998" s="2" t="s">
        <v>35</v>
      </c>
      <c r="Q998" s="2" t="s">
        <v>35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2025-01-21T22:51:50Z</dcterms:created>
  <dcterms:modified xsi:type="dcterms:W3CDTF">2025-01-21T22:51:50Z</dcterms:modified>
</cp:coreProperties>
</file>