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https://d.docs.live.net/1121dfe792f999fa/SoftwareEngineering/Documents/documents/"/>
    </mc:Choice>
  </mc:AlternateContent>
  <bookViews>
    <workbookView xWindow="0" yWindow="0" windowWidth="22500" windowHeight="12075"/>
  </bookViews>
  <sheets>
    <sheet name="Tabelle1" sheetId="1" r:id="rId1"/>
  </sheets>
  <definedNames>
    <definedName name="AdministrateBarsFP">Tabelle1!$K$108</definedName>
    <definedName name="ChangeInfoFP">Tabelle1!$K$84</definedName>
    <definedName name="CommentFP">Tabelle1!$K$60</definedName>
    <definedName name="GetBarInfoFP">Tabelle1!$K$44</definedName>
    <definedName name="LoginFP">Tabelle1!$K$28</definedName>
    <definedName name="RateBarFP">Tabelle1!$K$52</definedName>
    <definedName name="RegisterFp">Tabelle1!#REF!</definedName>
    <definedName name="SearchBarFP">Tabelle1!$K$20</definedName>
    <definedName name="SeeMapsFP">Tabelle1!$K$92</definedName>
    <definedName name="SeePinboardsFP">Tabelle1!$K$36</definedName>
    <definedName name="SetTagsFP">Tabelle1!$K$100</definedName>
    <definedName name="SurveysFP">Tabelle1!#REF!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E72" i="1"/>
  <c r="D72" i="1"/>
  <c r="E71" i="1"/>
  <c r="D71" i="1"/>
  <c r="E70" i="1"/>
  <c r="D70" i="1"/>
  <c r="E69" i="1"/>
  <c r="D69" i="1"/>
  <c r="E68" i="1"/>
  <c r="D68" i="1"/>
  <c r="E64" i="1"/>
  <c r="D64" i="1"/>
  <c r="E63" i="1"/>
  <c r="D63" i="1"/>
  <c r="E62" i="1"/>
  <c r="D62" i="1"/>
  <c r="E61" i="1"/>
  <c r="D61" i="1"/>
  <c r="E60" i="1"/>
  <c r="D60" i="1"/>
  <c r="E56" i="1"/>
  <c r="D56" i="1"/>
  <c r="E55" i="1"/>
  <c r="D55" i="1"/>
  <c r="E54" i="1"/>
  <c r="D54" i="1"/>
  <c r="E53" i="1"/>
  <c r="D53" i="1"/>
  <c r="E52" i="1"/>
  <c r="D52" i="1"/>
  <c r="E48" i="1"/>
  <c r="D48" i="1"/>
  <c r="E47" i="1"/>
  <c r="D47" i="1"/>
  <c r="E46" i="1"/>
  <c r="D46" i="1"/>
  <c r="E45" i="1"/>
  <c r="D45" i="1"/>
  <c r="E44" i="1"/>
  <c r="D44" i="1"/>
  <c r="E40" i="1"/>
  <c r="D40" i="1"/>
  <c r="E39" i="1"/>
  <c r="D39" i="1"/>
  <c r="E38" i="1"/>
  <c r="D38" i="1"/>
  <c r="E37" i="1"/>
  <c r="D37" i="1"/>
  <c r="E36" i="1"/>
  <c r="D36" i="1"/>
  <c r="E32" i="1"/>
  <c r="D32" i="1"/>
  <c r="E31" i="1"/>
  <c r="D31" i="1"/>
  <c r="E30" i="1"/>
  <c r="D30" i="1"/>
  <c r="E29" i="1"/>
  <c r="D29" i="1"/>
  <c r="E28" i="1"/>
  <c r="D28" i="1"/>
  <c r="E24" i="1"/>
  <c r="D24" i="1"/>
  <c r="E23" i="1"/>
  <c r="D23" i="1"/>
  <c r="E22" i="1"/>
  <c r="D22" i="1"/>
  <c r="E21" i="1"/>
  <c r="D21" i="1"/>
  <c r="F71" i="1" l="1"/>
  <c r="I71" i="1" s="1"/>
  <c r="F30" i="1"/>
  <c r="I30" i="1" s="1"/>
  <c r="F39" i="1"/>
  <c r="I39" i="1" s="1"/>
  <c r="F46" i="1"/>
  <c r="I46" i="1" s="1"/>
  <c r="F53" i="1"/>
  <c r="I53" i="1" s="1"/>
  <c r="F60" i="1"/>
  <c r="I60" i="1" s="1"/>
  <c r="F64" i="1"/>
  <c r="I64" i="1" s="1"/>
  <c r="F29" i="1"/>
  <c r="I29" i="1" s="1"/>
  <c r="F38" i="1"/>
  <c r="I38" i="1" s="1"/>
  <c r="F45" i="1"/>
  <c r="I45" i="1" s="1"/>
  <c r="F52" i="1"/>
  <c r="I52" i="1" s="1"/>
  <c r="F56" i="1"/>
  <c r="I56" i="1" s="1"/>
  <c r="F63" i="1"/>
  <c r="I63" i="1" s="1"/>
  <c r="F70" i="1"/>
  <c r="I70" i="1" s="1"/>
  <c r="F31" i="1"/>
  <c r="I31" i="1" s="1"/>
  <c r="F36" i="1"/>
  <c r="I36" i="1" s="1"/>
  <c r="F40" i="1"/>
  <c r="I40" i="1" s="1"/>
  <c r="F47" i="1"/>
  <c r="I47" i="1" s="1"/>
  <c r="F54" i="1"/>
  <c r="I54" i="1" s="1"/>
  <c r="F61" i="1"/>
  <c r="I61" i="1" s="1"/>
  <c r="F68" i="1"/>
  <c r="I68" i="1" s="1"/>
  <c r="F72" i="1"/>
  <c r="I72" i="1" s="1"/>
  <c r="F28" i="1"/>
  <c r="I28" i="1" s="1"/>
  <c r="F32" i="1"/>
  <c r="I32" i="1" s="1"/>
  <c r="F37" i="1"/>
  <c r="I37" i="1" s="1"/>
  <c r="F44" i="1"/>
  <c r="I44" i="1" s="1"/>
  <c r="F48" i="1"/>
  <c r="I48" i="1" s="1"/>
  <c r="F55" i="1"/>
  <c r="I55" i="1" s="1"/>
  <c r="F62" i="1"/>
  <c r="I62" i="1" s="1"/>
  <c r="F69" i="1"/>
  <c r="I69" i="1" s="1"/>
  <c r="F20" i="1"/>
  <c r="I20" i="1" s="1"/>
  <c r="F21" i="1"/>
  <c r="I21" i="1" s="1"/>
  <c r="F22" i="1"/>
  <c r="I22" i="1" s="1"/>
  <c r="F23" i="1"/>
  <c r="I23" i="1" s="1"/>
  <c r="F24" i="1"/>
  <c r="I24" i="1" s="1"/>
  <c r="K52" i="1" l="1"/>
  <c r="K68" i="1"/>
  <c r="K44" i="1"/>
  <c r="L8" i="1" s="1"/>
  <c r="K60" i="1"/>
  <c r="L3" i="1" s="1"/>
  <c r="K28" i="1"/>
  <c r="L5" i="1" s="1"/>
  <c r="K36" i="1"/>
  <c r="L4" i="1" s="1"/>
  <c r="L6" i="1"/>
  <c r="K20" i="1"/>
  <c r="L7" i="1" s="1"/>
  <c r="I7" i="1"/>
  <c r="I5" i="1"/>
  <c r="I4" i="1"/>
  <c r="I8" i="1"/>
  <c r="I6" i="1"/>
  <c r="I3" i="1"/>
  <c r="J7" i="1"/>
  <c r="J5" i="1"/>
  <c r="J4" i="1"/>
  <c r="J8" i="1"/>
  <c r="J6" i="1"/>
  <c r="J3" i="1"/>
  <c r="P24" i="1" l="1"/>
  <c r="O24" i="1"/>
  <c r="Q24" i="1" l="1"/>
  <c r="K3" i="1" l="1"/>
  <c r="K7" i="1"/>
  <c r="K6" i="1"/>
  <c r="K4" i="1"/>
  <c r="K8" i="1"/>
  <c r="K5" i="1"/>
</calcChain>
</file>

<file path=xl/sharedStrings.xml><?xml version="1.0" encoding="utf-8"?>
<sst xmlns="http://schemas.openxmlformats.org/spreadsheetml/2006/main" count="139" uniqueCount="49">
  <si>
    <t>UC Name</t>
  </si>
  <si>
    <t>Documentation</t>
  </si>
  <si>
    <t>Coding</t>
  </si>
  <si>
    <t>Testing</t>
  </si>
  <si>
    <t>Total</t>
  </si>
  <si>
    <t>FP</t>
  </si>
  <si>
    <t>Login</t>
  </si>
  <si>
    <t>UI Design</t>
  </si>
  <si>
    <t>Database</t>
  </si>
  <si>
    <t>Simple</t>
  </si>
  <si>
    <t>Average</t>
  </si>
  <si>
    <t>Complex</t>
  </si>
  <si>
    <t>Count</t>
  </si>
  <si>
    <t>Reason</t>
  </si>
  <si>
    <t>User only reads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</si>
  <si>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</si>
  <si>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</si>
  <si>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</si>
  <si>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</si>
  <si>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</si>
  <si>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</si>
  <si>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Google retuns a lot of information</t>
  </si>
  <si>
    <t>Function points</t>
  </si>
  <si>
    <t>Name</t>
  </si>
  <si>
    <t>User only asks to login</t>
  </si>
  <si>
    <t>User sends username and password</t>
  </si>
  <si>
    <t>No communication to the outside</t>
  </si>
  <si>
    <t>Warmup Phase</t>
  </si>
  <si>
    <t xml:space="preserve">View, Presenter, Database, Model, </t>
  </si>
  <si>
    <t>Total w/o warmup</t>
  </si>
  <si>
    <t>FTR/RET</t>
  </si>
  <si>
    <t>Points</t>
  </si>
  <si>
    <t>Presenter, Bar</t>
  </si>
  <si>
    <t>25 single, clickable stars</t>
  </si>
  <si>
    <t>Presenter, Rating Class, Bar Class. Influences many fields in the database</t>
  </si>
  <si>
    <t>Presenter, Bar model</t>
  </si>
  <si>
    <t>The window, the UI, the User model</t>
  </si>
  <si>
    <t>Presenter, Bar Model</t>
  </si>
  <si>
    <t>Explaniation</t>
  </si>
  <si>
    <t>CSS with Vaadin, complete recode</t>
  </si>
  <si>
    <t>Velocity</t>
  </si>
  <si>
    <t>Time spent (w/o outliers)</t>
  </si>
  <si>
    <t>Function Points (w/o outliers)</t>
  </si>
  <si>
    <t>Estimate</t>
  </si>
  <si>
    <t>DPSDifference</t>
  </si>
  <si>
    <t>Search Character</t>
  </si>
  <si>
    <t>Show Character</t>
  </si>
  <si>
    <t>Update Character</t>
  </si>
  <si>
    <t>Update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</si>
</sst>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Tabelle1!$I$3:$I$8</c:f>
              <c:numCache>
                <c:formatCode>h:mm</c:formatCode>
                <c:ptCount val="6"/>
                <c:pt idx="0">
                  <c:v>8.3333333333333301E-2</c:v>
                </c:pt>
                <c:pt idx="1">
                  <c:v>0.13194444444444442</c:v>
                </c:pt>
                <c:pt idx="2">
                  <c:v>0.1875</c:v>
                </c:pt>
                <c:pt idx="3">
                  <c:v>0.22222222222222215</c:v>
                </c:pt>
                <c:pt idx="4">
                  <c:v>0.15277777777777779</c:v>
                </c:pt>
                <c:pt idx="5">
                  <c:v>0.17361111111111105</c:v>
                </c:pt>
              </c:numCache>
            </c:numRef>
          </c:xVal>
          <c:yVal>
            <c:numRef>
              <c:f>Tabelle1!$L$3:$L$8</c:f>
              <c:numCache>
                <c:formatCode>General</c:formatCode>
                <c:ptCount val="6"/>
                <c:pt idx="0">
                  <c:v>11.05</c:v>
                </c:pt>
                <c:pt idx="1">
                  <c:v>13.65</c:v>
                </c:pt>
                <c:pt idx="2">
                  <c:v>15.600000000000001</c:v>
                </c:pt>
                <c:pt idx="3">
                  <c:v>17.5</c:v>
                </c:pt>
                <c:pt idx="4">
                  <c:v>13.65</c:v>
                </c:pt>
                <c:pt idx="5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1-4818-B652-03EBED90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95888"/>
        <c:axId val="562197528"/>
      </c:scatterChart>
      <c:valAx>
        <c:axId val="5621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197528"/>
        <c:crosses val="autoZero"/>
        <c:crossBetween val="midCat"/>
      </c:valAx>
      <c:valAx>
        <c:axId val="562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1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20410</xdr:colOff>
      <xdr:row>1</xdr:row>
      <xdr:rowOff>163286</xdr:rowOff>
    </xdr:from>
    <xdr:to>
      <xdr:col>21</xdr:col>
      <xdr:colOff>13606</xdr:colOff>
      <xdr:row>20</xdr:row>
      <xdr:rowOff>174172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E576460-0FF3-4652-8432-CE55E38E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M8" totalsRowShown="0">
  <autoFilter ref="B2:M8"/>
  <sortState ref="B3:L12">
    <sortCondition ref="L2:L12"/>
  </sortState>
  <tableColumns count="12">
    <tableColumn id="1" name="UC Name"/>
    <tableColumn id="2" name="Documentation"/>
    <tableColumn id="7" name="UI Design" dataDxfId="9"/>
    <tableColumn id="8" name="Database" dataDxfId="8"/>
    <tableColumn id="9" name="Warmup Phase" dataDxfId="7"/>
    <tableColumn id="3" name="Coding"/>
    <tableColumn id="4" name="Testing"/>
    <tableColumn id="10" name="Total w/o warmup" dataDxfId="6">
      <calculatedColumnFormula>SUM(Tabelle1[[#This Row],[Documentation]:[Database]])+SUM(Tabelle1[[#This Row],[Coding]:[Testing]])</calculatedColumnFormula>
    </tableColumn>
    <tableColumn id="5" name="Total" dataDxfId="5">
      <calculatedColumnFormula>SUM(Tabelle1[[#This Row],[Documentation]:[Testing]])</calculatedColumnFormula>
    </tableColumn>
    <tableColumn id="12" name="Estimate" dataDxfId="4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9:K24" totalsRowShown="0">
  <autoFilter ref="B19:K24"/>
  <tableColumns count="10">
    <tableColumn id="1" name="DPSDifference"/>
    <tableColumn id="2" name="Count"/>
    <tableColumn id="3" name="Simple"/>
    <tableColumn id="4" name="Average" dataDxfId="3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2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7:K32" totalsRowShown="0">
  <autoFilter ref="B27:K32"/>
  <tableColumns count="10">
    <tableColumn id="1" name="Search Charac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B35:K40" totalsRowShown="0">
  <autoFilter ref="B35:K40"/>
  <tableColumns count="10">
    <tableColumn id="1" name="Login"/>
    <tableColumn id="2" name="Count"/>
    <tableColumn id="3" name="Simple"/>
    <tableColumn id="4" name="Average"/>
    <tableColumn id="5" name="Complex">
      <calculatedColumnFormula>IF(AND(Tabelle6[[#This Row],[Simple]]=0,Tabelle6[[#This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Tabelle7" displayName="Tabelle7" ref="B43:K48" totalsRowShown="0">
  <autoFilter ref="B43:K48"/>
  <tableColumns count="10">
    <tableColumn id="1" name="Show Character"/>
    <tableColumn id="2" name="Count"/>
    <tableColumn id="3" name="Simple"/>
    <tableColumn id="4" name="Average"/>
    <tableColumn id="5" name="Complex">
      <calculatedColumnFormula>IF(AND(Tabelle7[[#This Row],[Simple]]=0,Tabelle7[[#This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B51:K56" totalsRowShown="0">
  <autoFilter ref="B51:K56"/>
  <tableColumns count="10">
    <tableColumn id="1" name="Update Character"/>
    <tableColumn id="2" name="Count"/>
    <tableColumn id="3" name="Simple"/>
    <tableColumn id="4" name="Average"/>
    <tableColumn id="5" name="Complex">
      <calculatedColumnFormula>IF(AND(Tabelle8[[#This Row],[Simple]]=0,Tabelle8[[#This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9" name="Tabelle9" displayName="Tabelle9" ref="B59:K64" totalsRowShown="0">
  <autoFilter ref="B59:K64"/>
  <tableColumns count="10">
    <tableColumn id="1" name="Update Database"/>
    <tableColumn id="2" name="Count"/>
    <tableColumn id="3" name="Simple"/>
    <tableColumn id="4" name="Average"/>
    <tableColumn id="5" name="Complex">
      <calculatedColumnFormula>IF(AND(Tabelle9[[#This Row],[Simple]]=0,Tabelle9[[#This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14" name="Tabelle121415" displayName="Tabelle121415" ref="B67:K72" totalsRowShown="0">
  <autoFilter ref="B67:K72"/>
  <tableColumns count="10">
    <tableColumn id="1" name="Name"/>
    <tableColumn id="2" name="Count"/>
    <tableColumn id="3" name="Simple"/>
    <tableColumn id="4" name="Average"/>
    <tableColumn id="5" name="Complex">
      <calculatedColumnFormula>IF(AND(Tabelle121415[[#This Row],[Simple]]=0,Tabelle121415[[#This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15" name="Tabelle15" displayName="Tabelle15" ref="O23:Q24" totalsRowShown="0">
  <autoFilter ref="O23:Q24"/>
  <tableColumns count="3">
    <tableColumn id="1" name="Time spent (w/o outliers)" dataDxfId="1">
      <calculatedColumnFormula>SUM(I3:I18)*24</calculatedColumnFormula>
    </tableColumn>
    <tableColumn id="2" name="Function Points (w/o outliers)">
      <calculatedColumnFormula>SUM(L3:L8)</calculatedColumnFormula>
    </tableColumn>
    <tableColumn id="3" name="Velocity" dataDxfId="0">
      <calculatedColumnFormula>P24/O24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72"/>
  <sheetViews>
    <sheetView tabSelected="1" zoomScale="70" zoomScaleNormal="70" workbookViewId="0">
      <selection activeCell="L2" activeCellId="1" sqref="I2:I8 L2:L8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16.85546875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7</v>
      </c>
      <c r="E2" t="s">
        <v>8</v>
      </c>
      <c r="F2" t="s">
        <v>27</v>
      </c>
      <c r="G2" t="s">
        <v>2</v>
      </c>
      <c r="H2" t="s">
        <v>3</v>
      </c>
      <c r="I2" t="s">
        <v>29</v>
      </c>
      <c r="J2" t="s">
        <v>4</v>
      </c>
      <c r="K2" t="s">
        <v>43</v>
      </c>
      <c r="L2" t="s">
        <v>5</v>
      </c>
      <c r="M2" t="s">
        <v>38</v>
      </c>
    </row>
    <row r="3" spans="2:13" x14ac:dyDescent="0.25">
      <c r="B3" t="s">
        <v>44</v>
      </c>
      <c r="C3" s="1">
        <v>4.1666666666666664E-2</v>
      </c>
      <c r="D3" s="1">
        <v>0</v>
      </c>
      <c r="E3" s="1">
        <v>2.0833333333333301E-2</v>
      </c>
      <c r="F3" s="1">
        <v>0</v>
      </c>
      <c r="G3" s="1">
        <v>1.3888888888888888E-2</v>
      </c>
      <c r="H3" s="1">
        <v>6.9444444444444441E-3</v>
      </c>
      <c r="I3" s="1">
        <f>SUM(Tabelle1[[#This Row],[Documentation]:[Database]])+SUM(Tabelle1[[#This Row],[Coding]:[Testing]])</f>
        <v>8.3333333333333301E-2</v>
      </c>
      <c r="J3" s="2">
        <f>SUM(Tabelle1[[#This Row],[Documentation]:[Testing]])</f>
        <v>8.3333333333333301E-2</v>
      </c>
      <c r="K3" s="2">
        <f>Tabelle1[[#This Row],[FP]]/Tabelle15[Velocity]/24</f>
        <v>0.11726544586974032</v>
      </c>
      <c r="L3">
        <f>CommentFP</f>
        <v>11.05</v>
      </c>
    </row>
    <row r="4" spans="2:13" x14ac:dyDescent="0.25">
      <c r="B4" t="s">
        <v>45</v>
      </c>
      <c r="C4" s="1">
        <v>4.1666666666666664E-2</v>
      </c>
      <c r="D4" s="1">
        <v>6.9444444444444441E-3</v>
      </c>
      <c r="E4" s="1">
        <v>2.0833333333333332E-2</v>
      </c>
      <c r="F4" s="1">
        <v>0</v>
      </c>
      <c r="G4" s="1">
        <v>4.1666666666666664E-2</v>
      </c>
      <c r="H4" s="1">
        <v>2.0833333333333332E-2</v>
      </c>
      <c r="I4" s="1">
        <f>SUM(Tabelle1[[#This Row],[Documentation]:[Database]])+SUM(Tabelle1[[#This Row],[Coding]:[Testing]])</f>
        <v>0.13194444444444442</v>
      </c>
      <c r="J4" s="2">
        <f>SUM(Tabelle1[[#This Row],[Documentation]:[Testing]])</f>
        <v>0.13194444444444445</v>
      </c>
      <c r="K4" s="2">
        <f>Tabelle1[[#This Row],[FP]]/Tabelle15[Velocity]/24</f>
        <v>0.1448573154861498</v>
      </c>
      <c r="L4">
        <f>SeePinboardsFP</f>
        <v>13.65</v>
      </c>
    </row>
    <row r="5" spans="2:13" x14ac:dyDescent="0.25">
      <c r="B5" t="s">
        <v>6</v>
      </c>
      <c r="C5" s="1">
        <v>4.1666666666666664E-2</v>
      </c>
      <c r="D5" s="1">
        <v>2.0833333333333332E-2</v>
      </c>
      <c r="E5" s="1">
        <v>2.0833333333333332E-2</v>
      </c>
      <c r="F5" s="1">
        <v>0.125</v>
      </c>
      <c r="G5" s="1">
        <v>6.25E-2</v>
      </c>
      <c r="H5" s="1">
        <v>4.1666666666666664E-2</v>
      </c>
      <c r="I5" s="1">
        <f>SUM(Tabelle1[[#This Row],[Documentation]:[Database]])+SUM(Tabelle1[[#This Row],[Coding]:[Testing]])</f>
        <v>0.1875</v>
      </c>
      <c r="J5" s="2">
        <f>SUM(Tabelle1[[#This Row],[Documentation]:[Testing]])</f>
        <v>0.3125</v>
      </c>
      <c r="K5" s="2">
        <f>Tabelle1[[#This Row],[FP]]/Tabelle15[Velocity]/24</f>
        <v>0.16555121769845693</v>
      </c>
      <c r="L5">
        <f>LoginFP</f>
        <v>15.600000000000001</v>
      </c>
    </row>
    <row r="6" spans="2:13" x14ac:dyDescent="0.25">
      <c r="B6" t="s">
        <v>46</v>
      </c>
      <c r="C6" s="1">
        <v>4.1666666666666664E-2</v>
      </c>
      <c r="D6" s="1">
        <v>6.25E-2</v>
      </c>
      <c r="E6" s="1">
        <v>2.0833333333333301E-2</v>
      </c>
      <c r="F6" s="1">
        <v>0.10416666666666667</v>
      </c>
      <c r="G6" s="1">
        <v>8.3333333333333329E-2</v>
      </c>
      <c r="H6" s="1">
        <v>1.3888888888888888E-2</v>
      </c>
      <c r="I6" s="1">
        <f>SUM(Tabelle1[[#This Row],[Documentation]:[Database]])+SUM(Tabelle1[[#This Row],[Coding]:[Testing]])</f>
        <v>0.22222222222222215</v>
      </c>
      <c r="J6" s="2">
        <f>SUM(Tabelle1[[#This Row],[Documentation]:[Testing]])</f>
        <v>0.32638888888888884</v>
      </c>
      <c r="K6" s="2">
        <f>Tabelle1[[#This Row],[FP]]/Tabelle15[Velocity]/24</f>
        <v>0.18571450703352541</v>
      </c>
      <c r="L6">
        <f>RateBarFP</f>
        <v>17.5</v>
      </c>
      <c r="M6" t="s">
        <v>39</v>
      </c>
    </row>
    <row r="7" spans="2:13" x14ac:dyDescent="0.25">
      <c r="B7" t="s">
        <v>47</v>
      </c>
      <c r="C7" s="1">
        <v>4.1666666666666664E-2</v>
      </c>
      <c r="D7" s="1">
        <v>2.0833333333333332E-2</v>
      </c>
      <c r="E7" s="1">
        <v>6.9444444444444441E-3</v>
      </c>
      <c r="F7" s="1">
        <v>0</v>
      </c>
      <c r="G7" s="1">
        <v>6.25E-2</v>
      </c>
      <c r="H7" s="1">
        <v>2.0833333333333332E-2</v>
      </c>
      <c r="I7" s="1">
        <f>SUM(Tabelle1[[#This Row],[Documentation]:[Database]])+SUM(Tabelle1[[#This Row],[Coding]:[Testing]])</f>
        <v>0.15277777777777779</v>
      </c>
      <c r="J7" s="2">
        <f>SUM(Tabelle1[[#This Row],[Documentation]:[Testing]])</f>
        <v>0.15277777777777779</v>
      </c>
      <c r="K7" s="2">
        <f>Tabelle1[[#This Row],[FP]]/Tabelle15[Velocity]/24</f>
        <v>0.1448573154861498</v>
      </c>
      <c r="L7">
        <f>SearchBarFP</f>
        <v>13.65</v>
      </c>
    </row>
    <row r="8" spans="2:13" x14ac:dyDescent="0.25">
      <c r="B8" t="s">
        <v>48</v>
      </c>
      <c r="C8" s="1">
        <v>4.1666666666666664E-2</v>
      </c>
      <c r="D8" s="1">
        <v>6.25E-2</v>
      </c>
      <c r="E8" s="1">
        <v>2.0833333333333301E-2</v>
      </c>
      <c r="F8" s="1">
        <v>0</v>
      </c>
      <c r="G8" s="1">
        <v>2.0833333333333332E-2</v>
      </c>
      <c r="H8" s="1">
        <v>2.7777777777777776E-2</v>
      </c>
      <c r="I8" s="1">
        <f>SUM(Tabelle1[[#This Row],[Documentation]:[Database]])+SUM(Tabelle1[[#This Row],[Coding]:[Testing]])</f>
        <v>0.17361111111111105</v>
      </c>
      <c r="J8" s="2">
        <f>SUM(Tabelle1[[#This Row],[Documentation]:[Testing]])</f>
        <v>0.17361111111111105</v>
      </c>
      <c r="K8" s="2">
        <f>Tabelle1[[#This Row],[FP]]/Tabelle15[Velocity]/24</f>
        <v>0.1931430873148664</v>
      </c>
      <c r="L8">
        <f>GetBarInfoFP</f>
        <v>18.2</v>
      </c>
    </row>
    <row r="9" spans="2:13" x14ac:dyDescent="0.25">
      <c r="C9" s="1"/>
      <c r="D9" s="1"/>
      <c r="E9" s="1"/>
      <c r="F9" s="1"/>
      <c r="G9" s="1"/>
      <c r="H9" s="1"/>
      <c r="I9" s="1"/>
      <c r="J9" s="2"/>
      <c r="K9" s="2"/>
    </row>
    <row r="10" spans="2:13" x14ac:dyDescent="0.25">
      <c r="C10" s="1"/>
      <c r="D10" s="1"/>
      <c r="E10" s="1"/>
      <c r="F10" s="1"/>
      <c r="G10" s="1"/>
      <c r="H10" s="1"/>
      <c r="I10" s="1"/>
      <c r="J10" s="2"/>
      <c r="K10" s="2"/>
    </row>
    <row r="11" spans="2:13" x14ac:dyDescent="0.25">
      <c r="C11" s="1"/>
      <c r="D11" s="1"/>
      <c r="E11" s="1"/>
      <c r="F11" s="1"/>
      <c r="G11" s="1"/>
      <c r="H11" s="1"/>
      <c r="I11" s="1"/>
      <c r="J11" s="2"/>
      <c r="K11" s="2"/>
    </row>
    <row r="12" spans="2:13" x14ac:dyDescent="0.25">
      <c r="C12" s="1"/>
      <c r="D12" s="1"/>
      <c r="E12" s="1"/>
      <c r="F12" s="1"/>
      <c r="G12" s="1"/>
      <c r="H12" s="1"/>
      <c r="I12" s="1"/>
      <c r="J12" s="2"/>
      <c r="K12" s="2"/>
    </row>
    <row r="13" spans="2:13" x14ac:dyDescent="0.25">
      <c r="C13" s="1"/>
      <c r="D13" s="1"/>
      <c r="E13" s="1"/>
      <c r="F13" s="1"/>
      <c r="G13" s="1"/>
      <c r="H13" s="1"/>
      <c r="I13" s="1"/>
      <c r="J13" s="2"/>
      <c r="K13" s="2"/>
    </row>
    <row r="14" spans="2:13" x14ac:dyDescent="0.25">
      <c r="C14" s="1"/>
      <c r="D14" s="1"/>
      <c r="E14" s="1"/>
      <c r="F14" s="1"/>
      <c r="G14" s="1"/>
      <c r="H14" s="1"/>
      <c r="I14" s="1"/>
      <c r="J14" s="2"/>
      <c r="K14" s="2"/>
    </row>
    <row r="15" spans="2:13" x14ac:dyDescent="0.25">
      <c r="C15" s="1"/>
      <c r="D15" s="1"/>
      <c r="E15" s="1"/>
      <c r="F15" s="1"/>
      <c r="G15" s="1"/>
      <c r="H15" s="1"/>
      <c r="I15" s="1"/>
      <c r="J15" s="2"/>
      <c r="K15" s="2"/>
    </row>
    <row r="16" spans="2:13" x14ac:dyDescent="0.25">
      <c r="C16" s="1"/>
      <c r="D16" s="1"/>
      <c r="E16" s="1"/>
      <c r="F16" s="1"/>
      <c r="G16" s="1"/>
      <c r="H16" s="1"/>
      <c r="I16" s="1"/>
      <c r="J16" s="2"/>
      <c r="K16" s="4"/>
    </row>
    <row r="17" spans="2:17" x14ac:dyDescent="0.25">
      <c r="C17" s="1"/>
      <c r="D17" s="1"/>
      <c r="E17" s="1"/>
      <c r="F17" s="1"/>
      <c r="G17" s="1"/>
      <c r="H17" s="1"/>
      <c r="I17" s="1"/>
      <c r="J17" s="2"/>
      <c r="K17" s="4"/>
    </row>
    <row r="19" spans="2:17" x14ac:dyDescent="0.25">
      <c r="B19" t="s">
        <v>44</v>
      </c>
      <c r="C19" t="s">
        <v>12</v>
      </c>
      <c r="D19" t="s">
        <v>9</v>
      </c>
      <c r="E19" t="s">
        <v>10</v>
      </c>
      <c r="F19" t="s">
        <v>11</v>
      </c>
      <c r="G19" t="s">
        <v>30</v>
      </c>
      <c r="H19" t="s">
        <v>20</v>
      </c>
      <c r="I19" t="s">
        <v>31</v>
      </c>
      <c r="J19" t="s">
        <v>13</v>
      </c>
      <c r="K19" t="s">
        <v>22</v>
      </c>
    </row>
    <row r="20" spans="2:17" x14ac:dyDescent="0.25">
      <c r="B20" t="s">
        <v>15</v>
      </c>
      <c r="C20">
        <v>0</v>
      </c>
      <c r="D20">
        <f>IF(OR(AND(Tabelle2[[#This Row],[FTR/RET]]&lt;=1, Tabelle2[[#This Row],[DET]] &lt;= 15), AND(Tabelle2[[#This Row],[FTR/RET]]&lt;= 3, Tabelle2[[#This Row],[DET]] &lt;= 4)), 1, 0)</f>
        <v>1</v>
      </c>
      <c r="E20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0">
        <f>IF(AND(Tabelle2[[#This Row],[Simple]]=0,Tabelle2[[#This Row],[Average]]=0), 1, 0)</f>
        <v>0</v>
      </c>
      <c r="G20">
        <v>0</v>
      </c>
      <c r="H20">
        <v>0</v>
      </c>
      <c r="I20">
        <f>Tabelle2[[#This Row],[Count]]*(3*Tabelle2[[#This Row],[Simple]]+4*Tabelle2[[#This Row],[Average]]+6*Tabelle2[[#This Row],[Complex]])</f>
        <v>0</v>
      </c>
      <c r="J20" t="s">
        <v>14</v>
      </c>
      <c r="K20">
        <f>SUM(Tabelle2[Points])*0.65</f>
        <v>13.65</v>
      </c>
    </row>
    <row r="21" spans="2:17" x14ac:dyDescent="0.25">
      <c r="B21" t="s">
        <v>16</v>
      </c>
      <c r="C21">
        <v>1</v>
      </c>
      <c r="D21">
        <f>IF(OR(AND(Tabelle2[[#This Row],[FTR/RET]]&lt;=1, Tabelle2[[#This Row],[DET]] &lt;= 19), AND(Tabelle2[[#This Row],[FTR/RET]]&lt;= 3, Tabelle2[[#This Row],[DET]] &lt;= 5)), 1, 0)</f>
        <v>1</v>
      </c>
      <c r="E21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1">
        <f>IF(AND(Tabelle2[[#This Row],[Simple]]=0,Tabelle2[[#This Row],[Average]]=0), 1, 0)</f>
        <v>0</v>
      </c>
      <c r="G21">
        <v>0</v>
      </c>
      <c r="H21">
        <v>1</v>
      </c>
      <c r="I21">
        <f>Tabelle2[[#This Row],[Count]]*(Tabelle2[[#This Row],[Simple]]*4+Tabelle2[[#This Row],[Average]]*5+Tabelle2[[#This Row],[Complex]]*7)</f>
        <v>4</v>
      </c>
    </row>
    <row r="22" spans="2:17" x14ac:dyDescent="0.25">
      <c r="B22" t="s">
        <v>17</v>
      </c>
      <c r="C22">
        <v>1</v>
      </c>
      <c r="D22">
        <f>IF(OR(AND(Tabelle2[[#This Row],[FTR/RET]]&lt;=1, Tabelle2[[#This Row],[DET]] &lt;= 19), AND(Tabelle2[[#This Row],[FTR/RET]]&lt;= 3, Tabelle2[[#This Row],[DET]] &lt;= 5)), 1, 0)</f>
        <v>1</v>
      </c>
      <c r="E22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2">
        <f>IF(AND(Tabelle2[[#This Row],[Simple]]=0,Tabelle2[[#This Row],[Average]]=0), 1, 0)</f>
        <v>0</v>
      </c>
      <c r="G22">
        <v>0</v>
      </c>
      <c r="H22">
        <v>1</v>
      </c>
      <c r="I22">
        <f>Tabelle2[[#This Row],[Count]]*(3*Tabelle2[[#This Row],[Simple]]+4*Tabelle2[[#This Row],[Average]]+6*Tabelle2[[#This Row],[Complex]])</f>
        <v>3</v>
      </c>
    </row>
    <row r="23" spans="2:17" x14ac:dyDescent="0.25">
      <c r="B23" t="s">
        <v>18</v>
      </c>
      <c r="C23">
        <v>2</v>
      </c>
      <c r="D23">
        <f>IF(OR(AND(Tabelle2[[#This Row],[FTR/RET]]&lt;2, Tabelle2[[#This Row],[DET]] &lt;= 50), AND(Tabelle2[[#This Row],[FTR/RET]]&lt;=5, Tabelle2[[#This Row],[DET]] &lt; 20)), 1, 0)</f>
        <v>1</v>
      </c>
      <c r="E23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3">
        <f>IF(AND(Tabelle2[[#This Row],[Simple]]=0,Tabelle2[[#This Row],[Average]]=0), 1, 0)</f>
        <v>0</v>
      </c>
      <c r="G23">
        <v>0</v>
      </c>
      <c r="H23">
        <v>1</v>
      </c>
      <c r="I23">
        <f>Tabelle2[[#This Row],[Count]]*(7*Tabelle2[[#This Row],[Simple]]+10*Tabelle2[[#This Row],[Average]]+15*Tabelle2[[#This Row],[Complex]])</f>
        <v>14</v>
      </c>
      <c r="J23" t="s">
        <v>37</v>
      </c>
      <c r="O23" t="s">
        <v>41</v>
      </c>
      <c r="P23" t="s">
        <v>42</v>
      </c>
      <c r="Q23" t="s">
        <v>40</v>
      </c>
    </row>
    <row r="24" spans="2:17" x14ac:dyDescent="0.25">
      <c r="B24" t="s">
        <v>19</v>
      </c>
      <c r="C24">
        <v>0</v>
      </c>
      <c r="D24">
        <f>IF(OR(AND(Tabelle2[[#This Row],[FTR/RET]]&lt;2, Tabelle2[[#This Row],[DET]] &lt;= 50), AND(Tabelle2[[#This Row],[FTR/RET]]&lt;=5, Tabelle2[[#This Row],[DET]] &lt; 20)), 1, 0)</f>
        <v>1</v>
      </c>
      <c r="E24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4">
        <f>IF(AND(Tabelle2[[#This Row],[Simple]]=0,Tabelle2[[#This Row],[Average]]=0), 1, 0)</f>
        <v>0</v>
      </c>
      <c r="G24">
        <v>0</v>
      </c>
      <c r="H24">
        <v>0</v>
      </c>
      <c r="I24">
        <f>Tabelle2[[#This Row],[Count]]*(5*Tabelle2[[#This Row],[Simple]]+7*Tabelle2[[#This Row],[Average]]+10*Tabelle2[[#This Row],[Complex]])</f>
        <v>0</v>
      </c>
      <c r="J24" t="s">
        <v>21</v>
      </c>
      <c r="O24" s="4">
        <f>SUM(I3:I18)*24</f>
        <v>22.833333333333329</v>
      </c>
      <c r="P24">
        <f>SUM(L3:L8)</f>
        <v>89.65</v>
      </c>
      <c r="Q24" s="3">
        <f>P24/O24</f>
        <v>3.9262773722627746</v>
      </c>
    </row>
    <row r="27" spans="2:17" x14ac:dyDescent="0.25">
      <c r="B27" t="s">
        <v>45</v>
      </c>
      <c r="C27" t="s">
        <v>12</v>
      </c>
      <c r="D27" t="s">
        <v>9</v>
      </c>
      <c r="E27" t="s">
        <v>10</v>
      </c>
      <c r="F27" t="s">
        <v>11</v>
      </c>
      <c r="G27" t="s">
        <v>30</v>
      </c>
      <c r="H27" t="s">
        <v>20</v>
      </c>
      <c r="I27" t="s">
        <v>31</v>
      </c>
      <c r="J27" t="s">
        <v>13</v>
      </c>
      <c r="K27" t="s">
        <v>22</v>
      </c>
    </row>
    <row r="28" spans="2:17" x14ac:dyDescent="0.25">
      <c r="B28" t="s">
        <v>15</v>
      </c>
      <c r="C28">
        <v>0</v>
      </c>
      <c r="D28">
        <f>IF(OR(AND(Tabelle3[[#This Row],[FTR/RET]]&lt;=1,Tabelle3[[#This Row],[DET]] &lt;= 15), AND(Tabelle3[[#This Row],[FTR/RET]]&lt;= 3,Tabelle3[[#This Row],[DET]] &lt;= 4)), 1, 0)</f>
        <v>1</v>
      </c>
      <c r="E28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8">
        <f>IF(AND(Tabelle3[[#This Row],[Simple]]=0,Tabelle3[[#This Row],[Average]]=0), 1, 0)</f>
        <v>0</v>
      </c>
      <c r="G28">
        <v>0</v>
      </c>
      <c r="H28">
        <v>0</v>
      </c>
      <c r="I28">
        <f>Tabelle3[[#This Row],[Count]]*(3*Tabelle3[[#This Row],[Simple]]+4*Tabelle3[[#This Row],[Average]]+6*Tabelle3[[#This Row],[Complex]])</f>
        <v>0</v>
      </c>
      <c r="J28" t="s">
        <v>24</v>
      </c>
      <c r="K28">
        <f>SUM(Tabelle3[Points])*0.65</f>
        <v>15.600000000000001</v>
      </c>
    </row>
    <row r="29" spans="2:17" x14ac:dyDescent="0.25">
      <c r="B29" t="s">
        <v>16</v>
      </c>
      <c r="C29">
        <v>0</v>
      </c>
      <c r="D29">
        <f>IF(OR(AND(Tabelle3[[#This Row],[FTR/RET]]&lt;=1, Tabelle3[[#This Row],[DET]] &lt;= 19), AND(Tabelle3[[#This Row],[FTR/RET]]&lt;= 3, Tabelle3[[#This Row],[DET]] &lt;= 5)), 1, 0)</f>
        <v>1</v>
      </c>
      <c r="E29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9">
        <f>IF(AND(Tabelle3[[#This Row],[Simple]]=0,Tabelle3[[#This Row],[Average]]=0), 1, 0)</f>
        <v>0</v>
      </c>
      <c r="G29">
        <v>0</v>
      </c>
      <c r="H29">
        <v>0</v>
      </c>
      <c r="I29">
        <f>Tabelle3[[#This Row],[Count]]*(Tabelle3[[#This Row],[Simple]]*4+Tabelle3[[#This Row],[Average]]*5+Tabelle3[[#This Row],[Complex]]*7)</f>
        <v>0</v>
      </c>
    </row>
    <row r="30" spans="2:17" x14ac:dyDescent="0.25">
      <c r="B30" t="s">
        <v>17</v>
      </c>
      <c r="C30">
        <v>1</v>
      </c>
      <c r="D30">
        <f>IF(OR(AND(Tabelle3[[#This Row],[FTR/RET]]&lt;=1, Tabelle3[[#This Row],[DET]] &lt;= 19), AND(Tabelle3[[#This Row],[FTR/RET]]&lt;= 3, Tabelle3[[#This Row],[DET]] &lt;= 5)), 1, 0)</f>
        <v>1</v>
      </c>
      <c r="E30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0">
        <f>IF(AND(Tabelle3[[#This Row],[Simple]]=0,Tabelle3[[#This Row],[Average]]=0), 1, 0)</f>
        <v>0</v>
      </c>
      <c r="G30">
        <v>0</v>
      </c>
      <c r="H30">
        <v>2</v>
      </c>
      <c r="I30">
        <f>Tabelle3[[#This Row],[Count]]*(3*Tabelle3[[#This Row],[Simple]]+4*Tabelle3[[#This Row],[Average]]+6*Tabelle3[[#This Row],[Complex]])</f>
        <v>3</v>
      </c>
      <c r="J30" t="s">
        <v>25</v>
      </c>
    </row>
    <row r="31" spans="2:17" x14ac:dyDescent="0.25">
      <c r="B31" t="s">
        <v>18</v>
      </c>
      <c r="C31">
        <v>3</v>
      </c>
      <c r="D31">
        <f>IF(OR(AND(Tabelle3[[#This Row],[FTR/RET]]&lt;2, Tabelle3[[#This Row],[DET]] &lt;= 50), AND(Tabelle3[[#This Row],[FTR/RET]]&lt;=5, Tabelle3[[#This Row],[DET]] &lt; 20)), 1, 0)</f>
        <v>1</v>
      </c>
      <c r="E31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1">
        <f>IF(AND(Tabelle3[[#This Row],[Simple]]=0,Tabelle3[[#This Row],[Average]]=0), 1, 0)</f>
        <v>0</v>
      </c>
      <c r="G31">
        <v>0</v>
      </c>
      <c r="H31">
        <v>0</v>
      </c>
      <c r="I31">
        <f>Tabelle3[[#This Row],[Count]]*(7*Tabelle3[[#This Row],[Simple]]+10*Tabelle3[[#This Row],[Average]]+15*Tabelle3[[#This Row],[Complex]])</f>
        <v>21</v>
      </c>
      <c r="J31" t="s">
        <v>36</v>
      </c>
    </row>
    <row r="32" spans="2:17" x14ac:dyDescent="0.25">
      <c r="B32" t="s">
        <v>19</v>
      </c>
      <c r="C32">
        <v>0</v>
      </c>
      <c r="D32">
        <f>IF(OR(AND(Tabelle3[[#This Row],[FTR/RET]]&lt;2, Tabelle3[[#This Row],[DET]] &lt;= 50), AND(Tabelle3[[#This Row],[FTR/RET]]&lt;=5, Tabelle3[[#This Row],[DET]] &lt; 20)), 1, 0)</f>
        <v>1</v>
      </c>
      <c r="E32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2">
        <f>IF(AND(Tabelle3[[#This Row],[Simple]]=0,Tabelle3[[#This Row],[Average]]=0), 1, 0)</f>
        <v>0</v>
      </c>
      <c r="G32">
        <v>0</v>
      </c>
      <c r="H32">
        <v>0</v>
      </c>
      <c r="I32">
        <f>Tabelle3[[#This Row],[Count]]*(5*Tabelle3[[#This Row],[Simple]]+7*Tabelle3[[#This Row],[Average]]+10*Tabelle3[[#This Row],[Complex]])</f>
        <v>0</v>
      </c>
      <c r="J32" t="s">
        <v>26</v>
      </c>
    </row>
    <row r="35" spans="2:11" x14ac:dyDescent="0.25">
      <c r="B35" t="s">
        <v>6</v>
      </c>
      <c r="C35" t="s">
        <v>12</v>
      </c>
      <c r="D35" t="s">
        <v>9</v>
      </c>
      <c r="E35" t="s">
        <v>10</v>
      </c>
      <c r="F35" t="s">
        <v>11</v>
      </c>
      <c r="G35" t="s">
        <v>30</v>
      </c>
      <c r="H35" t="s">
        <v>20</v>
      </c>
      <c r="I35" t="s">
        <v>31</v>
      </c>
      <c r="J35" t="s">
        <v>13</v>
      </c>
      <c r="K35" t="s">
        <v>22</v>
      </c>
    </row>
    <row r="36" spans="2:11" x14ac:dyDescent="0.25">
      <c r="B36" t="s">
        <v>15</v>
      </c>
      <c r="C36">
        <v>0</v>
      </c>
      <c r="D36">
        <f>IF(OR(AND(Tabelle6[[#This Row],[FTR/RET]]&lt;=1, Tabelle6[[#This Row],[DET]] &lt;= 15), AND(Tabelle6[[#This Row],[FTR/RET]]&lt;= 3, Tabelle6[[#This Row],[DET]] &lt;= 4)), 1, 0)</f>
        <v>1</v>
      </c>
      <c r="E36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36">
        <f>IF(AND(Tabelle6[[#This Row],[Simple]]=0,Tabelle6[[#This Row],[Average]]=0), 1, 0)</f>
        <v>0</v>
      </c>
      <c r="G36">
        <v>0</v>
      </c>
      <c r="H36">
        <v>0</v>
      </c>
      <c r="I36">
        <f>Tabelle6[[#This Row],[Count]]*(3*Tabelle6[[#This Row],[Simple]]+4*Tabelle6[[#This Row],[Average]]+6*Tabelle6[[#This Row],[Complex]])</f>
        <v>0</v>
      </c>
      <c r="K36">
        <f>SUM(Tabelle6[Points])*0.65</f>
        <v>13.65</v>
      </c>
    </row>
    <row r="37" spans="2:11" x14ac:dyDescent="0.25">
      <c r="B37" t="s">
        <v>16</v>
      </c>
      <c r="C37">
        <v>1</v>
      </c>
      <c r="D37">
        <f>IF(OR(AND(Tabelle6[[#This Row],[FTR/RET]]&lt;=1, Tabelle6[[#This Row],[DET]] &lt;= 19), AND(Tabelle6[[#This Row],[FTR/RET]]&lt;= 3, Tabelle6[[#This Row],[DET]] &lt;= 5)), 1, 0)</f>
        <v>1</v>
      </c>
      <c r="E3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37">
        <f>IF(AND(Tabelle6[[#This Row],[Simple]]=0,Tabelle6[[#This Row],[Average]]=0), 1, 0)</f>
        <v>0</v>
      </c>
      <c r="G37">
        <v>0</v>
      </c>
      <c r="H37">
        <v>2</v>
      </c>
      <c r="I37">
        <f>Tabelle6[[#This Row],[Count]]*(Tabelle6[[#This Row],[Simple]]*4+Tabelle6[[#This Row],[Average]]*5+Tabelle6[[#This Row],[Complex]]*7)</f>
        <v>4</v>
      </c>
    </row>
    <row r="38" spans="2:11" x14ac:dyDescent="0.25">
      <c r="B38" t="s">
        <v>17</v>
      </c>
      <c r="C38">
        <v>1</v>
      </c>
      <c r="D38">
        <f>IF(OR(AND(Tabelle6[[#This Row],[FTR/RET]]&lt;=1, Tabelle6[[#This Row],[DET]] &lt;= 19), AND(Tabelle6[[#This Row],[FTR/RET]]&lt;= 3, Tabelle6[[#This Row],[DET]] &lt;= 5)), 1, 0)</f>
        <v>1</v>
      </c>
      <c r="E38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38">
        <f>IF(AND(Tabelle6[[#This Row],[Simple]]=0,Tabelle6[[#This Row],[Average]]=0), 1, 0)</f>
        <v>0</v>
      </c>
      <c r="G38">
        <v>0</v>
      </c>
      <c r="H38">
        <v>1</v>
      </c>
      <c r="I38">
        <f>Tabelle6[[#This Row],[Count]]*(3*Tabelle6[[#This Row],[Simple]]+4*Tabelle6[[#This Row],[Average]]+6*Tabelle6[[#This Row],[Complex]])</f>
        <v>3</v>
      </c>
    </row>
    <row r="39" spans="2:11" x14ac:dyDescent="0.25">
      <c r="B39" t="s">
        <v>18</v>
      </c>
      <c r="C39">
        <v>2</v>
      </c>
      <c r="D39">
        <f>IF(OR(AND(Tabelle6[[#This Row],[FTR/RET]]&lt;2, Tabelle6[[#This Row],[DET]] &lt;= 50), AND(Tabelle6[[#This Row],[FTR/RET]]&lt;=5, Tabelle6[[#This Row],[DET]] &lt; 20)), 1, 0)</f>
        <v>1</v>
      </c>
      <c r="E3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39">
        <f>IF(AND(Tabelle6[[#This Row],[Simple]]=0,Tabelle6[[#This Row],[Average]]=0), 1, 0)</f>
        <v>0</v>
      </c>
      <c r="G39">
        <v>0</v>
      </c>
      <c r="H39">
        <v>2</v>
      </c>
      <c r="I39">
        <f>Tabelle6[[#This Row],[Count]]*(7*Tabelle6[[#This Row],[Simple]]+10*Tabelle6[[#This Row],[Average]]+15*Tabelle6[[#This Row],[Complex]])</f>
        <v>14</v>
      </c>
      <c r="J39" t="s">
        <v>32</v>
      </c>
    </row>
    <row r="40" spans="2:11" x14ac:dyDescent="0.25">
      <c r="B40" t="s">
        <v>19</v>
      </c>
      <c r="C40">
        <v>0</v>
      </c>
      <c r="D40">
        <f>IF(OR(AND(Tabelle6[[#This Row],[FTR/RET]]&lt;2, Tabelle6[[#This Row],[DET]] &lt;= 50), AND(Tabelle6[[#This Row],[FTR/RET]]&lt;=5, Tabelle6[[#This Row],[DET]] &lt; 20)), 1, 0)</f>
        <v>1</v>
      </c>
      <c r="E40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40">
        <f>IF(AND(Tabelle6[[#This Row],[Simple]]=0,Tabelle6[[#This Row],[Average]]=0), 1, 0)</f>
        <v>0</v>
      </c>
      <c r="G40">
        <v>0</v>
      </c>
      <c r="H40">
        <v>0</v>
      </c>
      <c r="I40">
        <f>Tabelle6[[#This Row],[Count]]*(5*Tabelle6[[#This Row],[Simple]]+7*Tabelle6[[#This Row],[Average]]+10*Tabelle6[[#This Row],[Complex]])</f>
        <v>0</v>
      </c>
    </row>
    <row r="43" spans="2:11" x14ac:dyDescent="0.25">
      <c r="B43" t="s">
        <v>46</v>
      </c>
      <c r="C43" t="s">
        <v>12</v>
      </c>
      <c r="D43" t="s">
        <v>9</v>
      </c>
      <c r="E43" t="s">
        <v>10</v>
      </c>
      <c r="F43" t="s">
        <v>11</v>
      </c>
      <c r="G43" t="s">
        <v>30</v>
      </c>
      <c r="H43" t="s">
        <v>20</v>
      </c>
      <c r="I43" t="s">
        <v>31</v>
      </c>
      <c r="J43" t="s">
        <v>13</v>
      </c>
      <c r="K43" t="s">
        <v>22</v>
      </c>
    </row>
    <row r="44" spans="2:11" x14ac:dyDescent="0.25">
      <c r="B44" t="s">
        <v>15</v>
      </c>
      <c r="C44">
        <v>0</v>
      </c>
      <c r="D44">
        <f>IF(OR(AND(Tabelle7[[#This Row],[FTR/RET]]&lt;=1, Tabelle7[[#This Row],[DET]] &lt;= 15), AND(Tabelle7[[#This Row],[FTR/RET]]&lt;= 3, Tabelle7[[#This Row],[DET]] &lt;= 4)), 1, 0)</f>
        <v>1</v>
      </c>
      <c r="E44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44">
        <f>IF(AND(Tabelle7[[#This Row],[Simple]]=0,Tabelle7[[#This Row],[Average]]=0), 1, 0)</f>
        <v>0</v>
      </c>
      <c r="G44">
        <v>0</v>
      </c>
      <c r="H44">
        <v>0</v>
      </c>
      <c r="I44">
        <f>Tabelle7[[#This Row],[Count]]*(3*Tabelle7[[#This Row],[Simple]]+4*Tabelle7[[#This Row],[Average]]+6*Tabelle7[[#This Row],[Complex]])</f>
        <v>0</v>
      </c>
      <c r="K44">
        <f>SUM(Tabelle7[Points])*0.65</f>
        <v>18.2</v>
      </c>
    </row>
    <row r="45" spans="2:11" x14ac:dyDescent="0.25">
      <c r="B45" t="s">
        <v>16</v>
      </c>
      <c r="C45">
        <v>1</v>
      </c>
      <c r="D45">
        <f>IF(OR(AND(Tabelle7[[#This Row],[FTR/RET]]&lt;=1, Tabelle7[[#This Row],[DET]] &lt;= 19), AND(Tabelle7[[#This Row],[FTR/RET]]&lt;= 3, Tabelle7[[#This Row],[DET]] &lt;= 5)), 1, 0)</f>
        <v>1</v>
      </c>
      <c r="E4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45">
        <f>IF(AND(Tabelle7[[#This Row],[Simple]]=0,Tabelle7[[#This Row],[Average]]=0), 1, 0)</f>
        <v>0</v>
      </c>
      <c r="G45">
        <v>0</v>
      </c>
      <c r="H45">
        <v>5</v>
      </c>
      <c r="I45">
        <f>Tabelle7[[#This Row],[Count]]*(Tabelle7[[#This Row],[Simple]]*4+Tabelle7[[#This Row],[Average]]*5+Tabelle7[[#This Row],[Complex]]*7)</f>
        <v>4</v>
      </c>
    </row>
    <row r="46" spans="2:11" x14ac:dyDescent="0.25">
      <c r="B46" t="s">
        <v>17</v>
      </c>
      <c r="C46">
        <v>1</v>
      </c>
      <c r="D46">
        <f>IF(OR(AND(Tabelle7[[#This Row],[FTR/RET]]&lt;=1, Tabelle7[[#This Row],[DET]] &lt;= 19), AND(Tabelle7[[#This Row],[FTR/RET]]&lt;= 3, Tabelle7[[#This Row],[DET]] &lt;= 5)), 1, 0)</f>
        <v>1</v>
      </c>
      <c r="E46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46">
        <f>IF(AND(Tabelle7[[#This Row],[Simple]]=0,Tabelle7[[#This Row],[Average]]=0), 1, 0)</f>
        <v>0</v>
      </c>
      <c r="G46">
        <v>2</v>
      </c>
      <c r="H46">
        <v>0</v>
      </c>
      <c r="I46">
        <f>Tabelle7[[#This Row],[Count]]*(3*Tabelle7[[#This Row],[Simple]]+4*Tabelle7[[#This Row],[Average]]+6*Tabelle7[[#This Row],[Complex]])</f>
        <v>3</v>
      </c>
    </row>
    <row r="47" spans="2:11" x14ac:dyDescent="0.25">
      <c r="B47" t="s">
        <v>18</v>
      </c>
      <c r="C47">
        <v>3</v>
      </c>
      <c r="D47">
        <f>IF(OR(AND(Tabelle7[[#This Row],[FTR/RET]]&lt;2, Tabelle7[[#This Row],[DET]] &lt;= 50), AND(Tabelle7[[#This Row],[FTR/RET]]&lt;=5, Tabelle7[[#This Row],[DET]] &lt; 20)), 1, 0)</f>
        <v>1</v>
      </c>
      <c r="E4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47">
        <f>IF(AND(Tabelle7[[#This Row],[Simple]]=0,Tabelle7[[#This Row],[Average]]=0), 1, 0)</f>
        <v>0</v>
      </c>
      <c r="G47">
        <v>0</v>
      </c>
      <c r="H47">
        <v>0</v>
      </c>
      <c r="I47">
        <f>Tabelle7[[#This Row],[Count]]*(7*Tabelle7[[#This Row],[Simple]]+10*Tabelle7[[#This Row],[Average]]+15*Tabelle7[[#This Row],[Complex]])</f>
        <v>21</v>
      </c>
      <c r="J47" t="s">
        <v>28</v>
      </c>
    </row>
    <row r="48" spans="2:11" x14ac:dyDescent="0.25">
      <c r="B48" t="s">
        <v>19</v>
      </c>
      <c r="C48">
        <v>0</v>
      </c>
      <c r="D48">
        <f>IF(OR(AND(Tabelle7[[#This Row],[FTR/RET]]&lt;2, Tabelle7[[#This Row],[DET]] &lt;= 50), AND(Tabelle7[[#This Row],[FTR/RET]]&lt;=5, Tabelle7[[#This Row],[DET]] &lt; 20)), 1, 0)</f>
        <v>1</v>
      </c>
      <c r="E48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48">
        <f>IF(AND(Tabelle7[[#This Row],[Simple]]=0,Tabelle7[[#This Row],[Average]]=0), 1, 0)</f>
        <v>0</v>
      </c>
      <c r="G48">
        <v>0</v>
      </c>
      <c r="H48">
        <v>0</v>
      </c>
      <c r="I48">
        <f>Tabelle7[[#This Row],[Count]]*(5*Tabelle7[[#This Row],[Simple]]+7*Tabelle7[[#This Row],[Average]]+10*Tabelle7[[#This Row],[Complex]])</f>
        <v>0</v>
      </c>
    </row>
    <row r="51" spans="2:11" x14ac:dyDescent="0.25">
      <c r="B51" t="s">
        <v>47</v>
      </c>
      <c r="C51" t="s">
        <v>12</v>
      </c>
      <c r="D51" t="s">
        <v>9</v>
      </c>
      <c r="E51" t="s">
        <v>10</v>
      </c>
      <c r="F51" t="s">
        <v>11</v>
      </c>
      <c r="G51" t="s">
        <v>30</v>
      </c>
      <c r="H51" t="s">
        <v>20</v>
      </c>
      <c r="I51" t="s">
        <v>31</v>
      </c>
      <c r="J51" t="s">
        <v>13</v>
      </c>
      <c r="K51" t="s">
        <v>22</v>
      </c>
    </row>
    <row r="52" spans="2:11" x14ac:dyDescent="0.25">
      <c r="B52" t="s">
        <v>15</v>
      </c>
      <c r="C52">
        <v>1</v>
      </c>
      <c r="D52">
        <f>IF(OR(AND(Tabelle8[[#This Row],[FTR/RET]]&lt;=1, Tabelle8[[#This Row],[DET]] &lt;= 15), AND(Tabelle8[[#This Row],[FTR/RET]]&lt;= 3, Tabelle8[[#This Row],[DET]] &lt;= 4)), 1, 0)</f>
        <v>0</v>
      </c>
      <c r="E52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52">
        <f>IF(AND(Tabelle8[[#This Row],[Simple]]=0,Tabelle8[[#This Row],[Average]]=0), 1, 0)</f>
        <v>0</v>
      </c>
      <c r="G52">
        <v>1</v>
      </c>
      <c r="H52">
        <v>25</v>
      </c>
      <c r="I52">
        <f>Tabelle8[[#This Row],[Count]]*(3*Tabelle8[[#This Row],[Simple]]+4*Tabelle8[[#This Row],[Average]]+6*Tabelle8[[#This Row],[Complex]])</f>
        <v>4</v>
      </c>
      <c r="J52" t="s">
        <v>33</v>
      </c>
      <c r="K52">
        <f>SUM(Tabelle8[Points])*(0.65+(5)/100)</f>
        <v>17.5</v>
      </c>
    </row>
    <row r="53" spans="2:11" x14ac:dyDescent="0.25">
      <c r="B53" t="s">
        <v>16</v>
      </c>
      <c r="C53">
        <v>0</v>
      </c>
      <c r="D53">
        <f>IF(OR(AND(Tabelle8[[#This Row],[FTR/RET]]&lt;=1, Tabelle8[[#This Row],[DET]] &lt;= 19), AND(Tabelle8[[#This Row],[FTR/RET]]&lt;= 3, Tabelle8[[#This Row],[DET]] &lt;= 5)), 1, 0)</f>
        <v>1</v>
      </c>
      <c r="E5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53">
        <f>IF(AND(Tabelle8[[#This Row],[Simple]]=0,Tabelle8[[#This Row],[Average]]=0), 1, 0)</f>
        <v>0</v>
      </c>
      <c r="G53">
        <v>0</v>
      </c>
      <c r="H53">
        <v>0</v>
      </c>
      <c r="I53">
        <f>Tabelle8[[#This Row],[Count]]*(Tabelle8[[#This Row],[Simple]]*4+Tabelle8[[#This Row],[Average]]*5+Tabelle8[[#This Row],[Complex]]*7)</f>
        <v>0</v>
      </c>
    </row>
    <row r="54" spans="2:11" x14ac:dyDescent="0.25">
      <c r="B54" t="s">
        <v>17</v>
      </c>
      <c r="C54">
        <v>0</v>
      </c>
      <c r="D54">
        <f>IF(OR(AND(Tabelle8[[#This Row],[FTR/RET]]&lt;=1, Tabelle8[[#This Row],[DET]] &lt;= 19), AND(Tabelle8[[#This Row],[FTR/RET]]&lt;= 3, Tabelle8[[#This Row],[DET]] &lt;= 5)), 1, 0)</f>
        <v>1</v>
      </c>
      <c r="E54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54">
        <f>IF(AND(Tabelle8[[#This Row],[Simple]]=0,Tabelle8[[#This Row],[Average]]=0), 1, 0)</f>
        <v>0</v>
      </c>
      <c r="G54">
        <v>0</v>
      </c>
      <c r="H54">
        <v>0</v>
      </c>
      <c r="I54">
        <f>Tabelle8[[#This Row],[Count]]*(3*Tabelle8[[#This Row],[Simple]]+4*Tabelle8[[#This Row],[Average]]+6*Tabelle8[[#This Row],[Complex]])</f>
        <v>0</v>
      </c>
    </row>
    <row r="55" spans="2:11" x14ac:dyDescent="0.25">
      <c r="B55" t="s">
        <v>18</v>
      </c>
      <c r="C55">
        <v>3</v>
      </c>
      <c r="D55">
        <f>IF(OR(AND(Tabelle8[[#This Row],[FTR/RET]]&lt;2, Tabelle8[[#This Row],[DET]] &lt;= 50), AND(Tabelle8[[#This Row],[FTR/RET]]&lt;=5, Tabelle8[[#This Row],[DET]] &lt; 20)), 1, 0)</f>
        <v>1</v>
      </c>
      <c r="E5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55">
        <f>IF(AND(Tabelle8[[#This Row],[Simple]]=0,Tabelle8[[#This Row],[Average]]=0), 1, 0)</f>
        <v>0</v>
      </c>
      <c r="G55">
        <v>1</v>
      </c>
      <c r="H55">
        <v>11</v>
      </c>
      <c r="I55">
        <f>Tabelle8[[#This Row],[Count]]*(7*Tabelle8[[#This Row],[Simple]]+10*Tabelle8[[#This Row],[Average]]+15*Tabelle8[[#This Row],[Complex]])</f>
        <v>21</v>
      </c>
      <c r="J55" t="s">
        <v>34</v>
      </c>
    </row>
    <row r="56" spans="2:11" x14ac:dyDescent="0.25">
      <c r="B56" t="s">
        <v>19</v>
      </c>
      <c r="C56">
        <v>0</v>
      </c>
      <c r="D56">
        <f>IF(OR(AND(Tabelle8[[#This Row],[FTR/RET]]&lt;2, Tabelle8[[#This Row],[DET]] &lt;= 50), AND(Tabelle8[[#This Row],[FTR/RET]]&lt;=5, Tabelle8[[#This Row],[DET]] &lt; 20)), 1, 0)</f>
        <v>1</v>
      </c>
      <c r="E56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56">
        <f>IF(AND(Tabelle8[[#This Row],[Simple]]=0,Tabelle8[[#This Row],[Average]]=0), 1, 0)</f>
        <v>0</v>
      </c>
      <c r="G56">
        <v>0</v>
      </c>
      <c r="H56">
        <v>0</v>
      </c>
      <c r="I56">
        <f>Tabelle8[[#This Row],[Count]]*(5*Tabelle8[[#This Row],[Simple]]+7*Tabelle8[[#This Row],[Average]]+10*Tabelle8[[#This Row],[Complex]])</f>
        <v>0</v>
      </c>
    </row>
    <row r="59" spans="2:11" x14ac:dyDescent="0.25">
      <c r="B59" t="s">
        <v>48</v>
      </c>
      <c r="C59" t="s">
        <v>12</v>
      </c>
      <c r="D59" t="s">
        <v>9</v>
      </c>
      <c r="E59" t="s">
        <v>10</v>
      </c>
      <c r="F59" t="s">
        <v>11</v>
      </c>
      <c r="G59" t="s">
        <v>30</v>
      </c>
      <c r="H59" t="s">
        <v>20</v>
      </c>
      <c r="I59" t="s">
        <v>31</v>
      </c>
      <c r="J59" t="s">
        <v>13</v>
      </c>
      <c r="K59" t="s">
        <v>22</v>
      </c>
    </row>
    <row r="60" spans="2:11" x14ac:dyDescent="0.25">
      <c r="B60" t="s">
        <v>15</v>
      </c>
      <c r="C60">
        <v>1</v>
      </c>
      <c r="D60">
        <f>IF(OR(AND(Tabelle9[[#This Row],[FTR/RET]]&lt;=1, Tabelle9[[#This Row],[DET]] &lt;= 15), AND(Tabelle9[[#This Row],[FTR/RET]]&lt;= 3, Tabelle9[[#This Row],[DET]] &lt;= 4)), 1, 0)</f>
        <v>1</v>
      </c>
      <c r="E60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60">
        <f>IF(AND(Tabelle9[[#This Row],[Simple]]=0,Tabelle9[[#This Row],[Average]]=0), 1, 0)</f>
        <v>0</v>
      </c>
      <c r="G60">
        <v>0</v>
      </c>
      <c r="H60">
        <v>1</v>
      </c>
      <c r="I60">
        <f>Tabelle9[[#This Row],[Count]]*(3*Tabelle9[[#This Row],[Simple]]+4*Tabelle9[[#This Row],[Average]]+6*Tabelle9[[#This Row],[Complex]])</f>
        <v>3</v>
      </c>
      <c r="K60">
        <f>SUM(Tabelle9[Points])*0.65</f>
        <v>11.05</v>
      </c>
    </row>
    <row r="61" spans="2:11" x14ac:dyDescent="0.25">
      <c r="B61" t="s">
        <v>16</v>
      </c>
      <c r="C61">
        <v>0</v>
      </c>
      <c r="D61">
        <f>IF(OR(AND(Tabelle9[[#This Row],[FTR/RET]]&lt;=1, Tabelle9[[#This Row],[DET]] &lt;= 19), AND(Tabelle9[[#This Row],[FTR/RET]]&lt;= 3, Tabelle9[[#This Row],[DET]] &lt;= 5)), 1, 0)</f>
        <v>1</v>
      </c>
      <c r="E6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61">
        <f>IF(AND(Tabelle9[[#This Row],[Simple]]=0,Tabelle9[[#This Row],[Average]]=0), 1, 0)</f>
        <v>0</v>
      </c>
      <c r="G61">
        <v>0</v>
      </c>
      <c r="H61">
        <v>0</v>
      </c>
      <c r="I61">
        <f>Tabelle9[[#This Row],[Count]]*(Tabelle9[[#This Row],[Simple]]*4+Tabelle9[[#This Row],[Average]]*5+Tabelle9[[#This Row],[Complex]]*7)</f>
        <v>0</v>
      </c>
    </row>
    <row r="62" spans="2:11" x14ac:dyDescent="0.25">
      <c r="B62" t="s">
        <v>17</v>
      </c>
      <c r="C62">
        <v>0</v>
      </c>
      <c r="D62">
        <f>IF(OR(AND(Tabelle9[[#This Row],[FTR/RET]]&lt;=1, Tabelle9[[#This Row],[DET]] &lt;= 19), AND(Tabelle9[[#This Row],[FTR/RET]]&lt;= 3, Tabelle9[[#This Row],[DET]] &lt;= 5)), 1, 0)</f>
        <v>1</v>
      </c>
      <c r="E62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62">
        <f>IF(AND(Tabelle9[[#This Row],[Simple]]=0,Tabelle9[[#This Row],[Average]]=0), 1, 0)</f>
        <v>0</v>
      </c>
      <c r="G62">
        <v>0</v>
      </c>
      <c r="H62">
        <v>0</v>
      </c>
      <c r="I62">
        <f>Tabelle9[[#This Row],[Count]]*(3*Tabelle9[[#This Row],[Simple]]+4*Tabelle9[[#This Row],[Average]]+6*Tabelle9[[#This Row],[Complex]])</f>
        <v>0</v>
      </c>
    </row>
    <row r="63" spans="2:11" x14ac:dyDescent="0.25">
      <c r="B63" t="s">
        <v>18</v>
      </c>
      <c r="C63">
        <v>2</v>
      </c>
      <c r="D63">
        <f>IF(OR(AND(Tabelle9[[#This Row],[FTR/RET]]&lt;2, Tabelle9[[#This Row],[DET]] &lt;= 50), AND(Tabelle9[[#This Row],[FTR/RET]]&lt;=5, Tabelle9[[#This Row],[DET]] &lt; 20)), 1, 0)</f>
        <v>1</v>
      </c>
      <c r="E6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63">
        <f>IF(AND(Tabelle9[[#This Row],[Simple]]=0,Tabelle9[[#This Row],[Average]]=0), 1, 0)</f>
        <v>0</v>
      </c>
      <c r="G63">
        <v>0</v>
      </c>
      <c r="H63">
        <v>0</v>
      </c>
      <c r="I63">
        <f>Tabelle9[[#This Row],[Count]]*(7*Tabelle9[[#This Row],[Simple]]+10*Tabelle9[[#This Row],[Average]]+15*Tabelle9[[#This Row],[Complex]])</f>
        <v>14</v>
      </c>
      <c r="J63" t="s">
        <v>35</v>
      </c>
    </row>
    <row r="64" spans="2:11" x14ac:dyDescent="0.25">
      <c r="B64" t="s">
        <v>19</v>
      </c>
      <c r="C64">
        <v>0</v>
      </c>
      <c r="D64">
        <f>IF(OR(AND(Tabelle9[[#This Row],[FTR/RET]]&lt;2, Tabelle9[[#This Row],[DET]] &lt;= 50), AND(Tabelle9[[#This Row],[FTR/RET]]&lt;=5, Tabelle9[[#This Row],[DET]] &lt; 20)), 1, 0)</f>
        <v>1</v>
      </c>
      <c r="E64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64">
        <f>IF(AND(Tabelle9[[#This Row],[Simple]]=0,Tabelle9[[#This Row],[Average]]=0), 1, 0)</f>
        <v>0</v>
      </c>
      <c r="G64">
        <v>0</v>
      </c>
      <c r="H64">
        <v>0</v>
      </c>
      <c r="I64">
        <f>Tabelle9[[#This Row],[Count]]*(5*Tabelle9[[#This Row],[Simple]]+7*Tabelle9[[#This Row],[Average]]+10*Tabelle9[[#This Row],[Complex]])</f>
        <v>0</v>
      </c>
    </row>
    <row r="67" spans="2:11" x14ac:dyDescent="0.25">
      <c r="B67" t="s">
        <v>23</v>
      </c>
      <c r="C67" t="s">
        <v>12</v>
      </c>
      <c r="D67" t="s">
        <v>9</v>
      </c>
      <c r="E67" t="s">
        <v>10</v>
      </c>
      <c r="F67" t="s">
        <v>11</v>
      </c>
      <c r="G67" t="s">
        <v>30</v>
      </c>
      <c r="H67" t="s">
        <v>20</v>
      </c>
      <c r="I67" t="s">
        <v>31</v>
      </c>
      <c r="J67" t="s">
        <v>13</v>
      </c>
      <c r="K67" t="s">
        <v>22</v>
      </c>
    </row>
    <row r="68" spans="2:11" x14ac:dyDescent="0.25">
      <c r="B68" t="s">
        <v>15</v>
      </c>
      <c r="C68">
        <v>0</v>
      </c>
      <c r="D68">
        <f>IF(OR(AND(Tabelle121415[[#This Row],[FTR/RET]]&lt;=1, Tabelle121415[[#This Row],[DET]] &lt;= 15), AND(Tabelle121415[[#This Row],[FTR/RET]]&lt;= 3, Tabelle121415[[#This Row],[DET]] &lt;= 4)), 1, 0)</f>
        <v>1</v>
      </c>
      <c r="E68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68">
        <f>IF(AND(Tabelle121415[[#This Row],[Simple]]=0,Tabelle121415[[#This Row],[Average]]=0), 1, 0)</f>
        <v>0</v>
      </c>
      <c r="G68">
        <v>0</v>
      </c>
      <c r="H68">
        <v>0</v>
      </c>
      <c r="I68">
        <f>Tabelle121415[[#This Row],[Count]]*(3*Tabelle121415[[#This Row],[Simple]]+4*Tabelle121415[[#This Row],[Average]]+6*Tabelle121415[[#This Row],[Complex]])</f>
        <v>0</v>
      </c>
      <c r="K68">
        <f>SUM(Tabelle121415[Points])*0.65</f>
        <v>0</v>
      </c>
    </row>
    <row r="69" spans="2:11" x14ac:dyDescent="0.25">
      <c r="B69" t="s">
        <v>16</v>
      </c>
      <c r="C69">
        <v>0</v>
      </c>
      <c r="D69">
        <f>IF(OR(AND(Tabelle121415[[#This Row],[FTR/RET]]&lt;=1, Tabelle121415[[#This Row],[DET]] &lt;= 19), AND(Tabelle121415[[#This Row],[FTR/RET]]&lt;= 3, Tabelle121415[[#This Row],[DET]] &lt;= 5)), 1, 0)</f>
        <v>1</v>
      </c>
      <c r="E69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69">
        <f>IF(AND(Tabelle121415[[#This Row],[Simple]]=0,Tabelle121415[[#This Row],[Average]]=0), 1, 0)</f>
        <v>0</v>
      </c>
      <c r="G69">
        <v>0</v>
      </c>
      <c r="H69">
        <v>0</v>
      </c>
      <c r="I69">
        <f>Tabelle121415[[#This Row],[Count]]*(Tabelle121415[[#This Row],[Simple]]*4+Tabelle121415[[#This Row],[Average]]*5+Tabelle121415[[#This Row],[Complex]]*7)</f>
        <v>0</v>
      </c>
    </row>
    <row r="70" spans="2:11" x14ac:dyDescent="0.25">
      <c r="B70" t="s">
        <v>17</v>
      </c>
      <c r="C70">
        <v>0</v>
      </c>
      <c r="D70">
        <f>IF(OR(AND(Tabelle121415[[#This Row],[FTR/RET]]&lt;=1, Tabelle121415[[#This Row],[DET]] &lt;= 19), AND(Tabelle121415[[#This Row],[FTR/RET]]&lt;= 3, Tabelle121415[[#This Row],[DET]] &lt;= 5)), 1, 0)</f>
        <v>1</v>
      </c>
      <c r="E7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70">
        <f>IF(AND(Tabelle121415[[#This Row],[Simple]]=0,Tabelle121415[[#This Row],[Average]]=0), 1, 0)</f>
        <v>0</v>
      </c>
      <c r="G70">
        <v>0</v>
      </c>
      <c r="H70">
        <v>0</v>
      </c>
      <c r="I70">
        <f>Tabelle121415[[#This Row],[Count]]*(3*Tabelle121415[[#This Row],[Simple]]+4*Tabelle121415[[#This Row],[Average]]+6*Tabelle121415[[#This Row],[Complex]])</f>
        <v>0</v>
      </c>
    </row>
    <row r="71" spans="2:11" x14ac:dyDescent="0.25">
      <c r="B71" t="s">
        <v>18</v>
      </c>
      <c r="C71">
        <v>0</v>
      </c>
      <c r="D71">
        <f>IF(OR(AND(Tabelle121415[[#This Row],[FTR/RET]]&lt;2, Tabelle121415[[#This Row],[DET]] &lt;= 50), AND(Tabelle121415[[#This Row],[FTR/RET]]&lt;=5, Tabelle121415[[#This Row],[DET]] &lt; 20)), 1, 0)</f>
        <v>1</v>
      </c>
      <c r="E71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71">
        <f>IF(AND(Tabelle121415[[#This Row],[Simple]]=0,Tabelle121415[[#This Row],[Average]]=0), 1, 0)</f>
        <v>0</v>
      </c>
      <c r="G71">
        <v>0</v>
      </c>
      <c r="H71">
        <v>0</v>
      </c>
      <c r="I71">
        <f>Tabelle121415[[#This Row],[Count]]*(7*Tabelle121415[[#This Row],[Simple]]+10*Tabelle121415[[#This Row],[Average]]+15*Tabelle121415[[#This Row],[Complex]])</f>
        <v>0</v>
      </c>
    </row>
    <row r="72" spans="2:11" x14ac:dyDescent="0.25">
      <c r="B72" t="s">
        <v>19</v>
      </c>
      <c r="C72">
        <v>0</v>
      </c>
      <c r="D72">
        <f>IF(OR(AND(Tabelle121415[[#This Row],[FTR/RET]]&lt;2, Tabelle121415[[#This Row],[DET]] &lt;= 50), AND(Tabelle121415[[#This Row],[FTR/RET]]&lt;=5, Tabelle121415[[#This Row],[DET]] &lt; 20)), 1, 0)</f>
        <v>1</v>
      </c>
      <c r="E7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72">
        <f>IF(AND(Tabelle121415[[#This Row],[Simple]]=0,Tabelle121415[[#This Row],[Average]]=0), 1, 0)</f>
        <v>0</v>
      </c>
      <c r="G72">
        <v>0</v>
      </c>
      <c r="H72">
        <v>0</v>
      </c>
      <c r="I72">
        <f>Tabelle121415[[#This Row],[Count]]*(5*Tabelle121415[[#This Row],[Simple]]+7*Tabelle121415[[#This Row],[Average]]+10*Tabelle121415[[#This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Tabelle1</vt:lpstr>
      <vt:lpstr>AdministrateBarsFP</vt:lpstr>
      <vt:lpstr>ChangeInfoFP</vt:lpstr>
      <vt:lpstr>CommentFP</vt:lpstr>
      <vt:lpstr>GetBarInfoFP</vt:lpstr>
      <vt:lpstr>LoginFP</vt:lpstr>
      <vt:lpstr>RateBarFP</vt:lpstr>
      <vt:lpstr>SearchBarFP</vt:lpstr>
      <vt:lpstr>SeeMapsFP</vt:lpstr>
      <vt:lpstr>SeePinboardsFP</vt:lpstr>
      <vt:lpstr>SetTagsFP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Leon Gottschick</cp:lastModifiedBy>
  <dcterms:created xsi:type="dcterms:W3CDTF">2016-04-06T09:08:04Z</dcterms:created>
  <dcterms:modified xsi:type="dcterms:W3CDTF">2017-04-22T19:27:16Z</dcterms:modified>
</cp:coreProperties>
</file>