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udit-my.sharepoint.com/personal/ngoul003_fiu_edu/Documents/Research/Scleroderma Project/Data/"/>
    </mc:Choice>
  </mc:AlternateContent>
  <xr:revisionPtr revIDLastSave="790" documentId="8_{B60297D6-DA06-4532-BB71-6F66B2FB8DDE}" xr6:coauthVersionLast="47" xr6:coauthVersionMax="47" xr10:uidLastSave="{00385FC2-DB8B-4C23-9C47-C8E1C097B54F}"/>
  <bookViews>
    <workbookView xWindow="-28920" yWindow="-120" windowWidth="29040" windowHeight="15720" xr2:uid="{8B89FDDE-7FCE-46C5-89B2-4E0F992D245D}"/>
  </bookViews>
  <sheets>
    <sheet name="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D49" i="1"/>
  <c r="D50" i="1"/>
  <c r="D48" i="1"/>
  <c r="D58" i="1" s="1"/>
  <c r="D43" i="1"/>
  <c r="E59" i="1"/>
  <c r="E60" i="1"/>
  <c r="E58" i="1"/>
  <c r="B44" i="1"/>
  <c r="B50" i="1"/>
  <c r="B49" i="1"/>
  <c r="D9" i="1"/>
  <c r="D30" i="1"/>
  <c r="F35" i="1" s="1"/>
  <c r="F74" i="1" s="1"/>
  <c r="D29" i="1"/>
  <c r="F34" i="1" s="1"/>
  <c r="F73" i="1" s="1"/>
  <c r="D28" i="1"/>
  <c r="C28" i="1"/>
  <c r="C23" i="1" s="1"/>
  <c r="B25" i="1"/>
  <c r="B39" i="1" s="1"/>
  <c r="B24" i="1"/>
  <c r="B38" i="1" s="1"/>
  <c r="B30" i="1"/>
  <c r="B35" i="1" s="1"/>
  <c r="B29" i="1"/>
  <c r="B34" i="1" s="1"/>
  <c r="C30" i="1"/>
  <c r="C29" i="1"/>
  <c r="B23" i="1"/>
  <c r="B37" i="1" s="1"/>
  <c r="B28" i="1"/>
  <c r="B33" i="1" s="1"/>
  <c r="C43" i="1" s="1"/>
  <c r="B13" i="1"/>
  <c r="C16" i="1" s="1"/>
  <c r="E13" i="1"/>
  <c r="D16" i="1" s="1"/>
  <c r="C13" i="1"/>
  <c r="D13" i="1"/>
  <c r="B9" i="1"/>
  <c r="C9" i="1"/>
  <c r="C33" i="1" l="1"/>
  <c r="D25" i="1"/>
  <c r="F33" i="1"/>
  <c r="F72" i="1" s="1"/>
  <c r="D23" i="1"/>
  <c r="D24" i="1"/>
  <c r="F38" i="1" s="1"/>
  <c r="G73" i="1" s="1"/>
  <c r="F37" i="1"/>
  <c r="G72" i="1" s="1"/>
  <c r="F39" i="1"/>
  <c r="G74" i="1" s="1"/>
  <c r="C34" i="1"/>
  <c r="B73" i="1" s="1"/>
  <c r="E39" i="1"/>
  <c r="E38" i="1"/>
  <c r="E37" i="1"/>
  <c r="E35" i="1"/>
  <c r="E34" i="1"/>
  <c r="E33" i="1"/>
  <c r="C49" i="1"/>
  <c r="C48" i="1"/>
  <c r="D35" i="1"/>
  <c r="C50" i="1"/>
  <c r="C44" i="1"/>
  <c r="D33" i="1"/>
  <c r="D34" i="1"/>
  <c r="C45" i="1"/>
  <c r="C35" i="1"/>
  <c r="B74" i="1" s="1"/>
  <c r="C25" i="1"/>
  <c r="C39" i="1" s="1"/>
  <c r="D37" i="1"/>
  <c r="C24" i="1"/>
  <c r="C38" i="1" s="1"/>
  <c r="B16" i="1"/>
  <c r="D19" i="1"/>
  <c r="E19" i="1"/>
  <c r="E16" i="1"/>
  <c r="B72" i="1" l="1"/>
  <c r="C54" i="1"/>
  <c r="D39" i="1"/>
  <c r="H39" i="1" s="1"/>
  <c r="D74" i="1"/>
  <c r="G39" i="1"/>
  <c r="D73" i="1"/>
  <c r="G38" i="1"/>
  <c r="H37" i="1"/>
  <c r="E4" i="1"/>
  <c r="E3" i="1"/>
  <c r="E5" i="1"/>
  <c r="C73" i="1"/>
  <c r="C72" i="1"/>
  <c r="C74" i="1"/>
  <c r="E72" i="1"/>
  <c r="D45" i="1"/>
  <c r="D55" i="1" s="1"/>
  <c r="D38" i="1"/>
  <c r="D59" i="1"/>
  <c r="F59" i="1" s="1"/>
  <c r="D60" i="1"/>
  <c r="F60" i="1" s="1"/>
  <c r="D44" i="1"/>
  <c r="D54" i="1" s="1"/>
  <c r="D53" i="1"/>
  <c r="C53" i="1"/>
  <c r="C55" i="1"/>
  <c r="C37" i="1"/>
  <c r="E74" i="1" l="1"/>
  <c r="F3" i="1"/>
  <c r="F5" i="1"/>
  <c r="F4" i="1"/>
  <c r="D72" i="1"/>
  <c r="G37" i="1"/>
  <c r="E73" i="1"/>
  <c r="H38" i="1"/>
  <c r="B77" i="1"/>
  <c r="C58" i="1"/>
  <c r="C60" i="1"/>
  <c r="C59" i="1"/>
</calcChain>
</file>

<file path=xl/sharedStrings.xml><?xml version="1.0" encoding="utf-8"?>
<sst xmlns="http://schemas.openxmlformats.org/spreadsheetml/2006/main" count="97" uniqueCount="73">
  <si>
    <t>US % Black</t>
  </si>
  <si>
    <t>SE US Pop</t>
  </si>
  <si>
    <t>SE % Black</t>
  </si>
  <si>
    <t>US Black Pop</t>
  </si>
  <si>
    <t>SE Black Pop</t>
  </si>
  <si>
    <t>US Pop</t>
  </si>
  <si>
    <t>Est US Incidence Rate (Fan)</t>
  </si>
  <si>
    <t>Est US SSc Patients (Mayes)</t>
  </si>
  <si>
    <t>Est US SSc Total Incidence (Mayes)</t>
  </si>
  <si>
    <t>Est SE SSc Total Incidence (Mayes)</t>
  </si>
  <si>
    <t>Est SE SSc Incidence (Fan)</t>
  </si>
  <si>
    <t>Est US SSc Incidence (Fan)</t>
  </si>
  <si>
    <t>Est US Black Incidence (Mayes)</t>
  </si>
  <si>
    <t>Est SE Black Incidence (Mayes)</t>
  </si>
  <si>
    <t>Est Black Incidence rate (Mayes)</t>
  </si>
  <si>
    <t>Est White Incidence rate (Mayes)</t>
  </si>
  <si>
    <t>Est Incidence rate all (Mayes)</t>
  </si>
  <si>
    <t>Prevalence</t>
  </si>
  <si>
    <t>Incidence</t>
  </si>
  <si>
    <t>Est US Prevalence All (Fan)</t>
  </si>
  <si>
    <t>Est Black Prevalence (Mayes)</t>
  </si>
  <si>
    <t>Est US Black SSc Pts (Mayes-Fan)</t>
  </si>
  <si>
    <t>Est US Black SSc Pts (Mayes)</t>
  </si>
  <si>
    <t>Est US SSc Pts (Mayes)</t>
  </si>
  <si>
    <t>Est US SSc Pts (Fan)</t>
  </si>
  <si>
    <t>95% CI Upper</t>
  </si>
  <si>
    <t>95% CI Lower</t>
  </si>
  <si>
    <t>Est Rep'd Black Pts US (Mayes)</t>
  </si>
  <si>
    <t>Est Rep'd Black Pts SE (Mayes)</t>
  </si>
  <si>
    <t>Est Rep'd Black Pts US (Mayes-Fan)</t>
  </si>
  <si>
    <t>Est Rep'd Black SE (Mayes-Fan)</t>
  </si>
  <si>
    <t>Est Unrep'd Black Pts US (Mayes)</t>
  </si>
  <si>
    <t>Est Unrep'd Black Pts SE (Mayes)</t>
  </si>
  <si>
    <t>Est Unrep'd Black Pts US (Mayes-Fan)</t>
  </si>
  <si>
    <t>Est SE Black pts (Mayes)</t>
  </si>
  <si>
    <t>Est SE Black pts (Mayes-Fan)</t>
  </si>
  <si>
    <t>Est Unrep'd Black Pts SE (Mayes-Fan)</t>
  </si>
  <si>
    <t>Representation</t>
  </si>
  <si>
    <t>Census Data</t>
  </si>
  <si>
    <t>Black:All SSc Pts Ratio US (Mayes)</t>
  </si>
  <si>
    <t>Est US Black SSc Patients (Mayes)</t>
  </si>
  <si>
    <t>Est SE SSc Patients (Mayes)</t>
  </si>
  <si>
    <t>Est SE Black SSc Patients (Mayes)</t>
  </si>
  <si>
    <t>Black:All SSc Pts Ratio SE (Mayes)</t>
  </si>
  <si>
    <t>Est US SSc Patients (Mayes-Fan)</t>
  </si>
  <si>
    <t>Est SE SSc Patients (Mayes-Fan)</t>
  </si>
  <si>
    <t>Est US Black SSc Patients (Mayes-Fan)</t>
  </si>
  <si>
    <t>Black:All SSc Pts Ratio US (Mayes-Fan)</t>
  </si>
  <si>
    <t>Est SE Black SSc Patients (Mayes-Fan)</t>
  </si>
  <si>
    <t>Black:All SSc Pts Ratio SE (Mayes-Fan)</t>
  </si>
  <si>
    <t>Est SE SSc pts (Mayes)</t>
  </si>
  <si>
    <t>Est SE SSc pts (Mayes-Fan)</t>
  </si>
  <si>
    <t>Est Percent Black in US CTs (Hartoyo)</t>
  </si>
  <si>
    <t>Estimate</t>
  </si>
  <si>
    <t>Est Prevalence All Races (Mayes)</t>
  </si>
  <si>
    <t>Est White Prevalence (Mayes)</t>
  </si>
  <si>
    <t>Est White Prevalence (Mayes-Fan)</t>
  </si>
  <si>
    <t>US % White</t>
  </si>
  <si>
    <t>Est Percent White in US CTs (Hartoyo)</t>
  </si>
  <si>
    <t>US White Pop</t>
  </si>
  <si>
    <t>Est US White SSc Pts (Mayes)</t>
  </si>
  <si>
    <t>Est US White SSc Pts (Mayes-Fan)</t>
  </si>
  <si>
    <t>White:All SSc Pts Ratio US (Mayes)</t>
  </si>
  <si>
    <t>White:All SSc Pts Ratio US (Mayes-Fan)</t>
  </si>
  <si>
    <t>Estimated Proportion of Black SSc Patients (Note: CI's for Mayes-Fan estimates are narrower because study n is larger)</t>
  </si>
  <si>
    <t>White US CT Observed vs Expected Ratio</t>
  </si>
  <si>
    <t>Black US CT Observed vs Expected Ratio</t>
  </si>
  <si>
    <t>Difference in SE vs national proportion Black</t>
  </si>
  <si>
    <t>% Unrep Black Pts US (Mayes-Fan)</t>
  </si>
  <si>
    <t>% Unrep Black Pts SE (Mayes-Fan)</t>
  </si>
  <si>
    <t>% of Pts Black in US</t>
  </si>
  <si>
    <t>% of Pts Black in SE</t>
  </si>
  <si>
    <r>
      <t xml:space="preserve">Est US Prevalence Black (Mayes-Fan) - </t>
    </r>
    <r>
      <rPr>
        <sz val="11"/>
        <color theme="1"/>
        <rFont val="Aptos Narrow"/>
        <family val="2"/>
        <scheme val="minor"/>
      </rPr>
      <t>Assuming US's black:all races prevalence ratio is the same as seen in Mayes' Detroit patient population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</si>
</sst>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"/>
    <numFmt numFmtId="167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wrapText="1"/>
    </xf>
    <xf numFmtId="0" fontId="2" fillId="4" borderId="0" xfId="0" applyFont="1" applyFill="1"/>
    <xf numFmtId="0" fontId="0" fillId="4" borderId="0" xfId="0" applyFill="1"/>
    <xf numFmtId="2" fontId="0" fillId="0" borderId="0" xfId="0" applyNumberFormat="1"/>
    <xf numFmtId="2" fontId="0" fillId="3" borderId="0" xfId="0" applyNumberFormat="1" applyFill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166" fontId="0" fillId="0" borderId="0" xfId="0" applyNumberFormat="1"/>
    <xf numFmtId="164" fontId="4" fillId="5" borderId="0" xfId="0" applyNumberFormat="1" applyFont="1" applyFill="1"/>
    <xf numFmtId="167" fontId="0" fillId="3" borderId="0" xfId="1" applyNumberFormat="1" applyFont="1" applyFill="1"/>
    <xf numFmtId="167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5293-6A72-438C-9A39-7ECFA770B0FC}">
  <dimension ref="A1:H77"/>
  <sheetViews>
    <sheetView tabSelected="1" zoomScale="85" zoomScaleNormal="85" workbookViewId="0">
      <selection activeCell="C7" sqref="C7"/>
    </sheetView>
  </sheetViews>
  <sheetFormatPr defaultRowHeight="15" x14ac:dyDescent="0.25"/>
  <cols>
    <col min="1" max="1" width="12.7109375" customWidth="1"/>
    <col min="2" max="2" width="37.140625" customWidth="1"/>
    <col min="3" max="3" width="35" customWidth="1"/>
    <col min="4" max="4" width="34.85546875" customWidth="1"/>
    <col min="5" max="5" width="34.140625" customWidth="1"/>
    <col min="6" max="6" width="34.85546875" customWidth="1"/>
    <col min="7" max="7" width="35.28515625" customWidth="1"/>
    <col min="8" max="8" width="21.140625" customWidth="1"/>
  </cols>
  <sheetData>
    <row r="1" spans="1:8" s="7" customFormat="1" x14ac:dyDescent="0.25">
      <c r="A1" s="6" t="s">
        <v>38</v>
      </c>
    </row>
    <row r="2" spans="1:8" x14ac:dyDescent="0.25">
      <c r="B2" s="1" t="s">
        <v>5</v>
      </c>
      <c r="C2" s="1" t="s">
        <v>1</v>
      </c>
      <c r="E2" s="14" t="s">
        <v>65</v>
      </c>
      <c r="F2" s="14" t="s">
        <v>66</v>
      </c>
      <c r="G2" s="1"/>
      <c r="H2" s="1"/>
    </row>
    <row r="3" spans="1:8" x14ac:dyDescent="0.25">
      <c r="B3">
        <v>340110988</v>
      </c>
      <c r="C3">
        <v>78680908</v>
      </c>
      <c r="D3" s="15"/>
      <c r="E3" s="18">
        <f>B48/F$72</f>
        <v>1.2113708222987003</v>
      </c>
      <c r="F3" s="18">
        <f>B43/B$72</f>
        <v>0.49892630540183036</v>
      </c>
      <c r="G3" s="11"/>
      <c r="H3" s="11"/>
    </row>
    <row r="4" spans="1:8" x14ac:dyDescent="0.25">
      <c r="D4" s="15"/>
      <c r="E4" s="18">
        <f t="shared" ref="E4:E5" si="0">B49/F$72</f>
        <v>1.1724656957270585</v>
      </c>
      <c r="F4" s="18">
        <f>B44/B$72</f>
        <v>0.37832580030741092</v>
      </c>
      <c r="G4" s="11"/>
      <c r="H4" s="11"/>
    </row>
    <row r="5" spans="1:8" x14ac:dyDescent="0.25">
      <c r="B5" s="1" t="s">
        <v>0</v>
      </c>
      <c r="C5" s="1" t="s">
        <v>2</v>
      </c>
      <c r="D5" s="14" t="s">
        <v>57</v>
      </c>
      <c r="E5" s="18">
        <f t="shared" si="0"/>
        <v>1.2502759488703419</v>
      </c>
      <c r="F5" s="18">
        <f>B45/B$72</f>
        <v>0.62225640336632781</v>
      </c>
      <c r="G5" s="11"/>
      <c r="H5" s="11"/>
    </row>
    <row r="6" spans="1:8" x14ac:dyDescent="0.25">
      <c r="B6">
        <v>0.13700000000000001</v>
      </c>
      <c r="C6">
        <v>0.2235491</v>
      </c>
      <c r="D6" s="15">
        <v>0.753</v>
      </c>
      <c r="E6" s="15"/>
      <c r="F6" s="15"/>
    </row>
    <row r="7" spans="1:8" x14ac:dyDescent="0.25">
      <c r="D7" s="15"/>
      <c r="E7" s="15"/>
      <c r="F7" s="15"/>
    </row>
    <row r="8" spans="1:8" x14ac:dyDescent="0.25">
      <c r="B8" s="1" t="s">
        <v>3</v>
      </c>
      <c r="C8" s="1" t="s">
        <v>4</v>
      </c>
      <c r="D8" s="14" t="s">
        <v>59</v>
      </c>
      <c r="E8" s="15"/>
      <c r="F8" s="15"/>
    </row>
    <row r="9" spans="1:8" x14ac:dyDescent="0.25">
      <c r="B9">
        <f>B3*B6</f>
        <v>46595205.356000006</v>
      </c>
      <c r="C9">
        <f>C3*C6</f>
        <v>17589046.170582801</v>
      </c>
      <c r="D9" s="15">
        <f>B3*D6</f>
        <v>256103573.96399999</v>
      </c>
      <c r="E9" s="15"/>
      <c r="F9" s="15"/>
    </row>
    <row r="10" spans="1:8" x14ac:dyDescent="0.25">
      <c r="D10" s="15"/>
      <c r="E10" s="15"/>
      <c r="F10" s="15"/>
    </row>
    <row r="11" spans="1:8" s="7" customFormat="1" x14ac:dyDescent="0.25">
      <c r="A11" s="6" t="s">
        <v>18</v>
      </c>
    </row>
    <row r="12" spans="1:8" s="1" customFormat="1" x14ac:dyDescent="0.25">
      <c r="B12" s="1" t="s">
        <v>6</v>
      </c>
      <c r="C12" s="1" t="s">
        <v>14</v>
      </c>
      <c r="D12" s="1" t="s">
        <v>15</v>
      </c>
      <c r="E12" s="1" t="s">
        <v>16</v>
      </c>
    </row>
    <row r="13" spans="1:8" x14ac:dyDescent="0.25">
      <c r="B13">
        <f>15.1/100000</f>
        <v>1.5099999999999998E-4</v>
      </c>
      <c r="C13">
        <f>23.7/1000000</f>
        <v>2.37E-5</v>
      </c>
      <c r="D13">
        <f>18.3/1000000</f>
        <v>1.8300000000000001E-5</v>
      </c>
      <c r="E13">
        <f>19.3/1000000</f>
        <v>1.9300000000000002E-5</v>
      </c>
    </row>
    <row r="15" spans="1:8" s="1" customFormat="1" x14ac:dyDescent="0.25">
      <c r="B15" s="1" t="s">
        <v>11</v>
      </c>
      <c r="C15" s="1" t="s">
        <v>10</v>
      </c>
      <c r="D15" s="1" t="s">
        <v>8</v>
      </c>
      <c r="E15" s="1" t="s">
        <v>9</v>
      </c>
    </row>
    <row r="16" spans="1:8" x14ac:dyDescent="0.25">
      <c r="B16" s="12">
        <f>B3*B13</f>
        <v>51356.759187999996</v>
      </c>
      <c r="C16" s="12">
        <f xml:space="preserve"> C3*B13</f>
        <v>11880.817107999999</v>
      </c>
      <c r="D16" s="12">
        <f>B3*E13</f>
        <v>6564.1420684000004</v>
      </c>
      <c r="E16" s="12">
        <f>C3*E13</f>
        <v>1518.5415244000001</v>
      </c>
    </row>
    <row r="18" spans="1:6" s="1" customFormat="1" x14ac:dyDescent="0.25">
      <c r="D18" s="1" t="s">
        <v>12</v>
      </c>
      <c r="E18" s="1" t="s">
        <v>13</v>
      </c>
    </row>
    <row r="19" spans="1:6" x14ac:dyDescent="0.25">
      <c r="D19" s="12">
        <f>B9*C13</f>
        <v>1104.3063669372002</v>
      </c>
      <c r="E19" s="12">
        <f>C9*C13</f>
        <v>416.86039424281239</v>
      </c>
    </row>
    <row r="21" spans="1:6" s="7" customFormat="1" x14ac:dyDescent="0.25">
      <c r="A21" s="6" t="s">
        <v>17</v>
      </c>
    </row>
    <row r="22" spans="1:6" s="1" customFormat="1" ht="60" x14ac:dyDescent="0.25">
      <c r="B22" s="1" t="s">
        <v>19</v>
      </c>
      <c r="C22" s="5" t="s">
        <v>72</v>
      </c>
      <c r="D22" s="1" t="s">
        <v>56</v>
      </c>
    </row>
    <row r="23" spans="1:6" x14ac:dyDescent="0.25">
      <c r="A23" t="s">
        <v>53</v>
      </c>
      <c r="B23">
        <f>25.9/100000</f>
        <v>2.5900000000000001E-4</v>
      </c>
      <c r="C23">
        <f>C28/B28*B23</f>
        <v>3.3723512396694215E-4</v>
      </c>
      <c r="D23">
        <f>D28/B28*B23</f>
        <v>2.4048471074380163E-4</v>
      </c>
    </row>
    <row r="24" spans="1:6" x14ac:dyDescent="0.25">
      <c r="A24" t="s">
        <v>26</v>
      </c>
      <c r="B24">
        <f>25.5/100000</f>
        <v>2.5500000000000002E-4</v>
      </c>
      <c r="C24">
        <f>C28/B28*B24</f>
        <v>3.3202685950413228E-4</v>
      </c>
      <c r="D24">
        <f>D28/B28*B24</f>
        <v>2.367706611570248E-4</v>
      </c>
    </row>
    <row r="25" spans="1:6" x14ac:dyDescent="0.25">
      <c r="A25" t="s">
        <v>25</v>
      </c>
      <c r="B25">
        <f>26.4/100000</f>
        <v>2.6399999999999997E-4</v>
      </c>
      <c r="C25">
        <f>C28/B28*B25</f>
        <v>3.4374545454545451E-4</v>
      </c>
      <c r="D25">
        <f>D28/B28*B25</f>
        <v>2.4512727272727266E-4</v>
      </c>
    </row>
    <row r="27" spans="1:6" s="1" customFormat="1" x14ac:dyDescent="0.25">
      <c r="B27" s="1" t="s">
        <v>54</v>
      </c>
      <c r="C27" s="1" t="s">
        <v>20</v>
      </c>
      <c r="D27" s="1" t="s">
        <v>55</v>
      </c>
    </row>
    <row r="28" spans="1:6" x14ac:dyDescent="0.25">
      <c r="A28" t="s">
        <v>53</v>
      </c>
      <c r="B28" s="10">
        <f xml:space="preserve"> 242/1000000</f>
        <v>2.42E-4</v>
      </c>
      <c r="C28" s="10">
        <f xml:space="preserve"> 315.1/1000000</f>
        <v>3.1510000000000002E-4</v>
      </c>
      <c r="D28">
        <f>224.7/1000000</f>
        <v>2.2469999999999999E-4</v>
      </c>
    </row>
    <row r="29" spans="1:6" x14ac:dyDescent="0.25">
      <c r="A29" t="s">
        <v>26</v>
      </c>
      <c r="B29" s="10">
        <f>213/1000000</f>
        <v>2.13E-4</v>
      </c>
      <c r="C29" s="10">
        <f>282/1000000</f>
        <v>2.8200000000000002E-4</v>
      </c>
      <c r="D29">
        <f>197/1000000</f>
        <v>1.9699999999999999E-4</v>
      </c>
    </row>
    <row r="30" spans="1:6" x14ac:dyDescent="0.25">
      <c r="A30" t="s">
        <v>25</v>
      </c>
      <c r="B30" s="10">
        <f>274/1000000</f>
        <v>2.7399999999999999E-4</v>
      </c>
      <c r="C30" s="10">
        <f>352/1000000</f>
        <v>3.5199999999999999E-4</v>
      </c>
      <c r="D30">
        <f>256/1000000</f>
        <v>2.5599999999999999E-4</v>
      </c>
    </row>
    <row r="32" spans="1:6" x14ac:dyDescent="0.25">
      <c r="B32" s="4" t="s">
        <v>23</v>
      </c>
      <c r="C32" s="4" t="s">
        <v>22</v>
      </c>
      <c r="D32" s="4" t="s">
        <v>34</v>
      </c>
      <c r="E32" s="4" t="s">
        <v>50</v>
      </c>
      <c r="F32" s="4" t="s">
        <v>60</v>
      </c>
    </row>
    <row r="33" spans="1:8" x14ac:dyDescent="0.25">
      <c r="A33" t="s">
        <v>53</v>
      </c>
      <c r="B33" s="9">
        <f>B3*B28</f>
        <v>82306.859096</v>
      </c>
      <c r="C33" s="9">
        <f>C28*B9</f>
        <v>14682.149207675602</v>
      </c>
      <c r="D33" s="9">
        <f>$C$9*C28</f>
        <v>5542.3084483506409</v>
      </c>
      <c r="E33" s="9">
        <f>C$3*B28</f>
        <v>19040.779736</v>
      </c>
      <c r="F33" s="9">
        <f>D28*D9</f>
        <v>57546.473069710795</v>
      </c>
    </row>
    <row r="34" spans="1:8" x14ac:dyDescent="0.25">
      <c r="A34" t="s">
        <v>26</v>
      </c>
      <c r="B34" s="9">
        <f>B3*B29</f>
        <v>72443.640444000004</v>
      </c>
      <c r="C34" s="9">
        <f>C29*B9</f>
        <v>13139.847910392004</v>
      </c>
      <c r="D34" s="9">
        <f>$C$9*C29</f>
        <v>4960.1110201043502</v>
      </c>
      <c r="E34" s="9">
        <f>C$3*B29</f>
        <v>16759.033404000002</v>
      </c>
      <c r="F34" s="9">
        <f>D29*D9</f>
        <v>50452.404070907993</v>
      </c>
    </row>
    <row r="35" spans="1:8" x14ac:dyDescent="0.25">
      <c r="A35" t="s">
        <v>25</v>
      </c>
      <c r="B35" s="9">
        <f>B3*B30</f>
        <v>93190.410711999997</v>
      </c>
      <c r="C35" s="9">
        <f>C30*B9</f>
        <v>16401.512285312001</v>
      </c>
      <c r="D35" s="9">
        <f>$C$9*C30</f>
        <v>6191.3442520451463</v>
      </c>
      <c r="E35" s="9">
        <f>C$3*B30</f>
        <v>21558.568791999998</v>
      </c>
      <c r="F35" s="9">
        <f>D30*D9</f>
        <v>65562.514934783991</v>
      </c>
    </row>
    <row r="36" spans="1:8" x14ac:dyDescent="0.25">
      <c r="B36" s="4" t="s">
        <v>24</v>
      </c>
      <c r="C36" s="4" t="s">
        <v>21</v>
      </c>
      <c r="D36" s="4" t="s">
        <v>35</v>
      </c>
      <c r="E36" s="4" t="s">
        <v>51</v>
      </c>
      <c r="F36" s="4" t="s">
        <v>61</v>
      </c>
      <c r="G36" s="4" t="s">
        <v>70</v>
      </c>
      <c r="H36" s="4" t="s">
        <v>71</v>
      </c>
    </row>
    <row r="37" spans="1:8" x14ac:dyDescent="0.25">
      <c r="A37" t="s">
        <v>53</v>
      </c>
      <c r="B37" s="9">
        <f>B3*B23</f>
        <v>88088.745892000006</v>
      </c>
      <c r="C37" s="9">
        <f>B9*C23</f>
        <v>15713.539854495788</v>
      </c>
      <c r="D37" s="9">
        <f>$C$9*C23</f>
        <v>5931.6441657967598</v>
      </c>
      <c r="E37" s="9">
        <f>C$3*B23</f>
        <v>20378.355172</v>
      </c>
      <c r="F37" s="9">
        <f>$D$9*D23</f>
        <v>61588.99390518634</v>
      </c>
      <c r="G37" s="19">
        <f>C37/B$37</f>
        <v>0.17838305785123967</v>
      </c>
      <c r="H37" s="19">
        <f>D37/E$37</f>
        <v>0.29107570830578516</v>
      </c>
    </row>
    <row r="38" spans="1:8" x14ac:dyDescent="0.25">
      <c r="A38" t="s">
        <v>26</v>
      </c>
      <c r="B38" s="9">
        <f>B3*B24</f>
        <v>86728.301940000005</v>
      </c>
      <c r="C38" s="9">
        <f>B9*C24</f>
        <v>15470.859702302805</v>
      </c>
      <c r="D38" s="9">
        <f>$C$9*C24</f>
        <v>5840.0357616917918</v>
      </c>
      <c r="E38" s="9">
        <f>C$3*B24</f>
        <v>20063.631540000002</v>
      </c>
      <c r="F38" s="9">
        <f t="shared" ref="F38:F39" si="1">$D$9*D24</f>
        <v>60637.812532133277</v>
      </c>
      <c r="G38" s="19">
        <f t="shared" ref="G38:G39" si="2">C38/B$37</f>
        <v>0.17562810715083446</v>
      </c>
      <c r="H38" s="19">
        <f t="shared" ref="H38:H39" si="3">D38/E$37</f>
        <v>0.28658033057133292</v>
      </c>
    </row>
    <row r="39" spans="1:8" x14ac:dyDescent="0.25">
      <c r="A39" t="s">
        <v>25</v>
      </c>
      <c r="B39" s="9">
        <f>B3*B25</f>
        <v>89789.300831999994</v>
      </c>
      <c r="C39" s="9">
        <f>B9*C25</f>
        <v>16016.890044737018</v>
      </c>
      <c r="D39" s="9">
        <f>$C$9*C25</f>
        <v>6046.154670927971</v>
      </c>
      <c r="E39" s="9">
        <f>C$3*B25</f>
        <v>20771.759711999999</v>
      </c>
      <c r="F39" s="9">
        <f t="shared" si="1"/>
        <v>62777.970621502674</v>
      </c>
      <c r="G39" s="19">
        <f t="shared" si="2"/>
        <v>0.18182674622674622</v>
      </c>
      <c r="H39" s="19">
        <f t="shared" si="3"/>
        <v>0.29669493047385048</v>
      </c>
    </row>
    <row r="41" spans="1:8" s="7" customFormat="1" x14ac:dyDescent="0.25">
      <c r="A41" s="6" t="s">
        <v>37</v>
      </c>
    </row>
    <row r="42" spans="1:8" s="1" customFormat="1" x14ac:dyDescent="0.25">
      <c r="B42" s="1" t="s">
        <v>52</v>
      </c>
      <c r="C42" s="1" t="s">
        <v>27</v>
      </c>
      <c r="D42" s="1" t="s">
        <v>28</v>
      </c>
    </row>
    <row r="43" spans="1:8" x14ac:dyDescent="0.25">
      <c r="A43" t="s">
        <v>53</v>
      </c>
      <c r="B43" s="17">
        <v>8.8999999999999996E-2</v>
      </c>
      <c r="C43" s="8">
        <f>B33*B43</f>
        <v>7325.310459544</v>
      </c>
      <c r="D43" s="8">
        <f>$D$33*B43</f>
        <v>493.26545190320701</v>
      </c>
    </row>
    <row r="44" spans="1:8" x14ac:dyDescent="0.25">
      <c r="A44" t="s">
        <v>26</v>
      </c>
      <c r="B44" s="17">
        <f>B43 - (1.96*(SQRT((B43*(1-B43))/673)))</f>
        <v>6.7486913122853445E-2</v>
      </c>
      <c r="C44" s="8">
        <f>B33*B44</f>
        <v>5554.6358492266918</v>
      </c>
      <c r="D44" s="8">
        <f>$D$33*B44</f>
        <v>374.03328875389639</v>
      </c>
    </row>
    <row r="45" spans="1:8" x14ac:dyDescent="0.25">
      <c r="A45" t="s">
        <v>25</v>
      </c>
      <c r="B45" s="17">
        <v>0.111</v>
      </c>
      <c r="C45" s="8">
        <f>B33*B45</f>
        <v>9136.0613596559997</v>
      </c>
      <c r="D45" s="8">
        <f>$D$33*B45</f>
        <v>615.19623776692117</v>
      </c>
    </row>
    <row r="46" spans="1:8" x14ac:dyDescent="0.25">
      <c r="B46" s="11"/>
    </row>
    <row r="47" spans="1:8" s="1" customFormat="1" x14ac:dyDescent="0.25">
      <c r="B47" s="16" t="s">
        <v>58</v>
      </c>
      <c r="C47" s="1" t="s">
        <v>29</v>
      </c>
      <c r="D47" s="1" t="s">
        <v>30</v>
      </c>
    </row>
    <row r="48" spans="1:8" x14ac:dyDescent="0.25">
      <c r="A48" t="s">
        <v>53</v>
      </c>
      <c r="B48" s="11">
        <v>0.84695393760000004</v>
      </c>
      <c r="C48" s="8">
        <f>$B$37*B43</f>
        <v>7839.8983843880005</v>
      </c>
      <c r="D48" s="8">
        <f>$E$37*B43</f>
        <v>1813.673610308</v>
      </c>
    </row>
    <row r="49" spans="1:6" x14ac:dyDescent="0.25">
      <c r="A49" t="s">
        <v>26</v>
      </c>
      <c r="B49" s="11">
        <f>B48 - (1.96*(SQRT((B48*(1-B48))/673)))</f>
        <v>0.81975264668550474</v>
      </c>
      <c r="C49" s="8">
        <f>$B$37*B44</f>
        <v>5944.837541114518</v>
      </c>
      <c r="D49" s="8">
        <f t="shared" ref="D49:D50" si="4">$E$37*B44</f>
        <v>1375.272285079415</v>
      </c>
    </row>
    <row r="50" spans="1:6" x14ac:dyDescent="0.25">
      <c r="A50" t="s">
        <v>25</v>
      </c>
      <c r="B50" s="11">
        <f>(1.96*(SQRT((B48*(1-B48))/673)))+B48</f>
        <v>0.87415522851449534</v>
      </c>
      <c r="C50" s="8">
        <f>$B$37*B45</f>
        <v>9777.8507940120016</v>
      </c>
      <c r="D50" s="8">
        <f t="shared" si="4"/>
        <v>2261.9974240920001</v>
      </c>
    </row>
    <row r="52" spans="1:6" x14ac:dyDescent="0.25">
      <c r="C52" s="3" t="s">
        <v>31</v>
      </c>
      <c r="D52" s="3" t="s">
        <v>32</v>
      </c>
    </row>
    <row r="53" spans="1:6" x14ac:dyDescent="0.25">
      <c r="A53" t="s">
        <v>53</v>
      </c>
      <c r="C53" s="13">
        <f>C33-C43</f>
        <v>7356.8387481316022</v>
      </c>
      <c r="D53" s="13">
        <f xml:space="preserve"> D33-D43</f>
        <v>5049.0429964474342</v>
      </c>
    </row>
    <row r="54" spans="1:6" x14ac:dyDescent="0.25">
      <c r="A54" t="s">
        <v>25</v>
      </c>
      <c r="C54" s="13">
        <f>C33-C44</f>
        <v>9127.5133584489104</v>
      </c>
      <c r="D54" s="13">
        <f>D33-D44</f>
        <v>5168.2751595967447</v>
      </c>
    </row>
    <row r="55" spans="1:6" x14ac:dyDescent="0.25">
      <c r="A55" t="s">
        <v>26</v>
      </c>
      <c r="C55" s="13">
        <f>C33-C45</f>
        <v>5546.0878480196025</v>
      </c>
      <c r="D55" s="13">
        <f>D33-D45</f>
        <v>4927.1122105837194</v>
      </c>
    </row>
    <row r="56" spans="1:6" x14ac:dyDescent="0.25">
      <c r="C56" s="2"/>
      <c r="D56" s="2"/>
    </row>
    <row r="57" spans="1:6" x14ac:dyDescent="0.25">
      <c r="C57" s="3" t="s">
        <v>33</v>
      </c>
      <c r="D57" s="3" t="s">
        <v>36</v>
      </c>
      <c r="E57" s="3" t="s">
        <v>68</v>
      </c>
      <c r="F57" s="3" t="s">
        <v>69</v>
      </c>
    </row>
    <row r="58" spans="1:6" x14ac:dyDescent="0.25">
      <c r="A58" t="s">
        <v>53</v>
      </c>
      <c r="C58" s="13">
        <f t="shared" ref="C58:D60" si="5">C$37-C48</f>
        <v>7873.6414701077874</v>
      </c>
      <c r="D58" s="13">
        <f>D$37-D48</f>
        <v>4117.9705554887596</v>
      </c>
      <c r="E58" s="20">
        <f>C58/C$37</f>
        <v>0.50107369459816953</v>
      </c>
      <c r="F58" s="20">
        <f>D58/D$37</f>
        <v>0.69423762457531346</v>
      </c>
    </row>
    <row r="59" spans="1:6" x14ac:dyDescent="0.25">
      <c r="A59" t="s">
        <v>25</v>
      </c>
      <c r="C59" s="13">
        <f t="shared" si="5"/>
        <v>9768.7023133812691</v>
      </c>
      <c r="D59" s="13">
        <f t="shared" si="5"/>
        <v>4556.3718807173445</v>
      </c>
      <c r="E59" s="20">
        <f t="shared" ref="E59:E60" si="6">C59/C$37</f>
        <v>0.62167419969258897</v>
      </c>
      <c r="F59" s="20">
        <f t="shared" ref="F59:F60" si="7">D59/D$37</f>
        <v>0.76814652958962792</v>
      </c>
    </row>
    <row r="60" spans="1:6" x14ac:dyDescent="0.25">
      <c r="A60" t="s">
        <v>26</v>
      </c>
      <c r="C60" s="13">
        <f t="shared" si="5"/>
        <v>5935.6890604837863</v>
      </c>
      <c r="D60" s="13">
        <f t="shared" si="5"/>
        <v>3669.6467417047597</v>
      </c>
      <c r="E60" s="20">
        <f t="shared" si="6"/>
        <v>0.37774359663367202</v>
      </c>
      <c r="F60" s="20">
        <f t="shared" si="7"/>
        <v>0.61865591379617757</v>
      </c>
    </row>
    <row r="62" spans="1:6" s="7" customFormat="1" x14ac:dyDescent="0.25">
      <c r="A62" s="6" t="s">
        <v>64</v>
      </c>
    </row>
    <row r="63" spans="1:6" hidden="1" x14ac:dyDescent="0.25">
      <c r="B63" t="s">
        <v>7</v>
      </c>
      <c r="C63" t="s">
        <v>41</v>
      </c>
      <c r="D63" t="s">
        <v>44</v>
      </c>
      <c r="E63" t="s">
        <v>45</v>
      </c>
    </row>
    <row r="64" spans="1:6" hidden="1" x14ac:dyDescent="0.25"/>
    <row r="65" spans="1:7" hidden="1" x14ac:dyDescent="0.25"/>
    <row r="66" spans="1:7" hidden="1" x14ac:dyDescent="0.25"/>
    <row r="67" spans="1:7" hidden="1" x14ac:dyDescent="0.25">
      <c r="B67" t="s">
        <v>40</v>
      </c>
      <c r="C67" t="s">
        <v>42</v>
      </c>
      <c r="D67" t="s">
        <v>46</v>
      </c>
      <c r="E67" t="s">
        <v>48</v>
      </c>
    </row>
    <row r="68" spans="1:7" hidden="1" x14ac:dyDescent="0.25"/>
    <row r="69" spans="1:7" hidden="1" x14ac:dyDescent="0.25"/>
    <row r="70" spans="1:7" hidden="1" x14ac:dyDescent="0.25"/>
    <row r="71" spans="1:7" s="1" customFormat="1" x14ac:dyDescent="0.25">
      <c r="B71" s="1" t="s">
        <v>39</v>
      </c>
      <c r="C71" s="1" t="s">
        <v>43</v>
      </c>
      <c r="D71" s="1" t="s">
        <v>47</v>
      </c>
      <c r="E71" s="1" t="s">
        <v>49</v>
      </c>
      <c r="F71" s="1" t="s">
        <v>62</v>
      </c>
      <c r="G71" s="1" t="s">
        <v>63</v>
      </c>
    </row>
    <row r="72" spans="1:7" x14ac:dyDescent="0.25">
      <c r="A72" t="s">
        <v>53</v>
      </c>
      <c r="B72" s="11">
        <f>C33/B$33</f>
        <v>0.1783830578512397</v>
      </c>
      <c r="C72" s="11">
        <f>D33/E$33</f>
        <v>0.29107570830578516</v>
      </c>
      <c r="D72" s="11">
        <f>C37/B$37</f>
        <v>0.17838305785123967</v>
      </c>
      <c r="E72" s="11">
        <f>D37/E$37</f>
        <v>0.29107570830578516</v>
      </c>
      <c r="F72">
        <f>F33/B$33</f>
        <v>0.69916983471074379</v>
      </c>
      <c r="G72">
        <f>F37/B$37</f>
        <v>0.69916983471074357</v>
      </c>
    </row>
    <row r="73" spans="1:7" x14ac:dyDescent="0.25">
      <c r="A73" t="s">
        <v>25</v>
      </c>
      <c r="B73" s="11">
        <f>C34/B$33</f>
        <v>0.1596446280991736</v>
      </c>
      <c r="C73" s="11">
        <f>D34/E$33</f>
        <v>0.26049936446280997</v>
      </c>
      <c r="D73" s="11">
        <f>C38/B$37</f>
        <v>0.17562810715083446</v>
      </c>
      <c r="E73" s="11">
        <f>D38/E$37</f>
        <v>0.28658033057133292</v>
      </c>
      <c r="F73">
        <f>F34/B$33</f>
        <v>0.61297933884297506</v>
      </c>
      <c r="G73">
        <f t="shared" ref="G73:G74" si="8">F38/B$37</f>
        <v>0.68837184498548121</v>
      </c>
    </row>
    <row r="74" spans="1:7" x14ac:dyDescent="0.25">
      <c r="A74" t="s">
        <v>26</v>
      </c>
      <c r="B74" s="11">
        <f>C35/B$33</f>
        <v>0.1992727272727273</v>
      </c>
      <c r="C74" s="11">
        <f>D35/E$33</f>
        <v>0.32516232727272731</v>
      </c>
      <c r="D74" s="11">
        <f>C39/B$37</f>
        <v>0.18182674622674622</v>
      </c>
      <c r="E74" s="11">
        <f>D39/E$37</f>
        <v>0.29669493047385048</v>
      </c>
      <c r="F74">
        <f>F35/B$33</f>
        <v>0.79656198347107432</v>
      </c>
      <c r="G74">
        <f t="shared" si="8"/>
        <v>0.71266732186732162</v>
      </c>
    </row>
    <row r="76" spans="1:7" x14ac:dyDescent="0.25">
      <c r="B76" t="s">
        <v>67</v>
      </c>
    </row>
    <row r="77" spans="1:7" x14ac:dyDescent="0.25">
      <c r="B77" s="11">
        <f>E72/D72</f>
        <v>1.6317452554744527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Goulett</dc:creator>
  <cp:lastModifiedBy>Natalie Goulett</cp:lastModifiedBy>
  <dcterms:created xsi:type="dcterms:W3CDTF">2025-05-22T02:21:37Z</dcterms:created>
  <dcterms:modified xsi:type="dcterms:W3CDTF">2025-07-17T01:02:34Z</dcterms:modified>
</cp:coreProperties>
</file>