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Recoveries\@Ms_d\Data Analysis\Resources\Datacamp Resources\Excel\Financial Modeling in Excel\"/>
    </mc:Choice>
  </mc:AlternateContent>
  <xr:revisionPtr revIDLastSave="0" documentId="13_ncr:1_{7CB014DE-FA6F-46E5-B4FC-A965DAD523B3}" xr6:coauthVersionLast="47" xr6:coauthVersionMax="47" xr10:uidLastSave="{00000000-0000-0000-0000-000000000000}"/>
  <bookViews>
    <workbookView xWindow="-120" yWindow="-120" windowWidth="20730" windowHeight="11040" xr2:uid="{4FDF45FB-1CFF-4C45-826A-662E4B25C150}"/>
  </bookViews>
  <sheets>
    <sheet name="Model" sheetId="1" r:id="rId1"/>
    <sheet name="Time-Value Analysis" sheetId="9" r:id="rId2"/>
  </sheets>
  <definedNames>
    <definedName name="AcquisitionCapRate" comment="The capitalization rate assumed for determining the purchase price of the property.">Model!$F$3</definedName>
    <definedName name="CostGrowth" comment="The rate at which estimated costs will grow each year.">Model!$B$10</definedName>
    <definedName name="ExitCapRate" comment="The capitalization rate assumed for determining the sell price of the property.">Model!$F$7</definedName>
    <definedName name="HoldingPeriod" comment="The number of years until the asset is sold.">Model!$F$6</definedName>
    <definedName name="PresentValue">Model!$J$7</definedName>
    <definedName name="PurchasePrice" comment="The purchase price of the property.">Model!$F$2</definedName>
    <definedName name="RentGrowth" comment="The annual rate at which rental income will increase.">Model!$B$11</definedName>
    <definedName name="SellPrice" comment="The estimated sale price of the asset based based on net operating income and the exit cap rate.">Model!$F$8</definedName>
    <definedName name="StartingRent" comment="This is the expected rent starting in Year 2.">Model!$E$19</definedName>
    <definedName name="Units">Model!$B$3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D51" i="1"/>
  <c r="C3" i="9"/>
  <c r="F41" i="1" l="1"/>
  <c r="G41" i="1" s="1"/>
  <c r="H41" i="1" s="1"/>
  <c r="I41" i="1" s="1"/>
  <c r="J41" i="1" s="1"/>
  <c r="K41" i="1" s="1"/>
  <c r="L41" i="1" s="1"/>
  <c r="M41" i="1" s="1"/>
  <c r="N41" i="1" s="1"/>
  <c r="E15" i="1"/>
  <c r="F15" i="1" s="1"/>
  <c r="G15" i="1" l="1"/>
  <c r="H15" i="1" s="1"/>
  <c r="I15" i="1" s="1"/>
  <c r="J15" i="1" s="1"/>
  <c r="K15" i="1" s="1"/>
  <c r="L15" i="1" s="1"/>
  <c r="M15" i="1" s="1"/>
  <c r="N15" i="1" s="1"/>
  <c r="G3" i="9"/>
  <c r="G2" i="9"/>
  <c r="C2" i="9"/>
  <c r="F37" i="1"/>
  <c r="G37" i="1" s="1"/>
  <c r="H37" i="1" s="1"/>
  <c r="I37" i="1" s="1"/>
  <c r="J37" i="1" s="1"/>
  <c r="K37" i="1" s="1"/>
  <c r="L37" i="1" s="1"/>
  <c r="M37" i="1" s="1"/>
  <c r="N37" i="1" s="1"/>
  <c r="F19" i="1" l="1"/>
  <c r="D44" i="1"/>
  <c r="B51" i="1"/>
  <c r="B44" i="1"/>
  <c r="B28" i="1"/>
  <c r="D21" i="1"/>
  <c r="D28" i="1" s="1"/>
  <c r="B46" i="1" l="1"/>
  <c r="F2" i="1" s="1"/>
  <c r="G19" i="1"/>
  <c r="D46" i="1"/>
  <c r="L23" i="1"/>
  <c r="M23" i="1"/>
  <c r="N23" i="1"/>
  <c r="K23" i="1"/>
  <c r="J23" i="1"/>
  <c r="I23" i="1"/>
  <c r="H23" i="1"/>
  <c r="G23" i="1"/>
  <c r="F23" i="1"/>
  <c r="E23" i="1"/>
  <c r="E16" i="1"/>
  <c r="E36" i="1" l="1"/>
  <c r="E18" i="1"/>
  <c r="D48" i="1"/>
  <c r="D53" i="1" s="1"/>
  <c r="B53" i="1"/>
  <c r="H19" i="1"/>
  <c r="F16" i="1"/>
  <c r="F36" i="1" l="1"/>
  <c r="F39" i="1"/>
  <c r="F18" i="1"/>
  <c r="I19" i="1"/>
  <c r="J19" i="1" s="1"/>
  <c r="E42" i="1"/>
  <c r="F42" i="1" s="1"/>
  <c r="G16" i="1"/>
  <c r="E21" i="1"/>
  <c r="G39" i="1" l="1"/>
  <c r="G36" i="1"/>
  <c r="G18" i="1"/>
  <c r="E30" i="1"/>
  <c r="E25" i="1"/>
  <c r="E28" i="1" s="1"/>
  <c r="E33" i="1"/>
  <c r="E40" i="1"/>
  <c r="K19" i="1"/>
  <c r="G42" i="1"/>
  <c r="F40" i="1"/>
  <c r="H16" i="1"/>
  <c r="H39" i="1" l="1"/>
  <c r="H36" i="1"/>
  <c r="H18" i="1"/>
  <c r="L19" i="1"/>
  <c r="H42" i="1"/>
  <c r="G40" i="1"/>
  <c r="E44" i="1"/>
  <c r="E46" i="1" s="1"/>
  <c r="I16" i="1"/>
  <c r="F21" i="1"/>
  <c r="I36" i="1" l="1"/>
  <c r="I18" i="1"/>
  <c r="I39" i="1"/>
  <c r="F30" i="1"/>
  <c r="F25" i="1"/>
  <c r="F28" i="1" s="1"/>
  <c r="F33" i="1"/>
  <c r="M19" i="1"/>
  <c r="I42" i="1"/>
  <c r="H40" i="1"/>
  <c r="J16" i="1"/>
  <c r="G21" i="1"/>
  <c r="J39" i="1" l="1"/>
  <c r="J36" i="1"/>
  <c r="J18" i="1"/>
  <c r="G30" i="1"/>
  <c r="G25" i="1"/>
  <c r="G28" i="1" s="1"/>
  <c r="G33" i="1"/>
  <c r="N19" i="1"/>
  <c r="J42" i="1"/>
  <c r="I40" i="1"/>
  <c r="F44" i="1"/>
  <c r="F46" i="1" s="1"/>
  <c r="K16" i="1"/>
  <c r="H21" i="1"/>
  <c r="K36" i="1" l="1"/>
  <c r="K18" i="1"/>
  <c r="K39" i="1"/>
  <c r="H30" i="1"/>
  <c r="H25" i="1"/>
  <c r="H28" i="1" s="1"/>
  <c r="H33" i="1"/>
  <c r="K42" i="1"/>
  <c r="J40" i="1"/>
  <c r="G44" i="1"/>
  <c r="G46" i="1" s="1"/>
  <c r="L16" i="1"/>
  <c r="I21" i="1"/>
  <c r="L39" i="1" l="1"/>
  <c r="L36" i="1"/>
  <c r="L18" i="1"/>
  <c r="I25" i="1"/>
  <c r="I28" i="1" s="1"/>
  <c r="I33" i="1"/>
  <c r="L42" i="1"/>
  <c r="K40" i="1"/>
  <c r="H44" i="1"/>
  <c r="H46" i="1" s="1"/>
  <c r="M16" i="1"/>
  <c r="I30" i="1"/>
  <c r="J21" i="1"/>
  <c r="M36" i="1" l="1"/>
  <c r="M18" i="1"/>
  <c r="M39" i="1"/>
  <c r="J25" i="1"/>
  <c r="J28" i="1" s="1"/>
  <c r="J33" i="1"/>
  <c r="M42" i="1"/>
  <c r="L40" i="1"/>
  <c r="I44" i="1"/>
  <c r="I46" i="1" s="1"/>
  <c r="N16" i="1"/>
  <c r="J30" i="1"/>
  <c r="K21" i="1"/>
  <c r="N36" i="1" l="1"/>
  <c r="N18" i="1"/>
  <c r="N39" i="1"/>
  <c r="K25" i="1"/>
  <c r="K28" i="1" s="1"/>
  <c r="K33" i="1"/>
  <c r="N42" i="1"/>
  <c r="N40" i="1" s="1"/>
  <c r="M40" i="1"/>
  <c r="J44" i="1"/>
  <c r="J46" i="1" s="1"/>
  <c r="K30" i="1"/>
  <c r="L21" i="1"/>
  <c r="L25" i="1" l="1"/>
  <c r="L28" i="1" s="1"/>
  <c r="L33" i="1"/>
  <c r="K44" i="1"/>
  <c r="K46" i="1" s="1"/>
  <c r="L30" i="1"/>
  <c r="M21" i="1"/>
  <c r="N21" i="1"/>
  <c r="M25" i="1" l="1"/>
  <c r="M28" i="1" s="1"/>
  <c r="M33" i="1"/>
  <c r="N25" i="1"/>
  <c r="N28" i="1" s="1"/>
  <c r="N33" i="1"/>
  <c r="L44" i="1"/>
  <c r="L46" i="1" s="1"/>
  <c r="N30" i="1"/>
  <c r="M30" i="1"/>
  <c r="M44" i="1" l="1"/>
  <c r="M46" i="1" s="1"/>
  <c r="N44" i="1"/>
  <c r="N46" i="1" s="1"/>
  <c r="F8" i="1" l="1"/>
  <c r="M48" i="1" s="1"/>
  <c r="M51" i="1" s="1"/>
  <c r="M53" i="1" s="1"/>
  <c r="F48" i="1" l="1"/>
  <c r="F51" i="1" s="1"/>
  <c r="F53" i="1" s="1"/>
  <c r="J48" i="1"/>
  <c r="J51" i="1" s="1"/>
  <c r="J53" i="1" s="1"/>
  <c r="E48" i="1"/>
  <c r="H48" i="1"/>
  <c r="H51" i="1" s="1"/>
  <c r="H53" i="1" s="1"/>
  <c r="G48" i="1"/>
  <c r="G51" i="1" s="1"/>
  <c r="G53" i="1" s="1"/>
  <c r="N48" i="1"/>
  <c r="N51" i="1" s="1"/>
  <c r="N53" i="1" s="1"/>
  <c r="I48" i="1"/>
  <c r="I51" i="1" s="1"/>
  <c r="I53" i="1" s="1"/>
  <c r="K48" i="1"/>
  <c r="K51" i="1" s="1"/>
  <c r="K53" i="1" s="1"/>
  <c r="L48" i="1"/>
  <c r="L51" i="1" s="1"/>
  <c r="L53" i="1" s="1"/>
  <c r="E53" i="1" l="1"/>
  <c r="J8" i="1" s="1"/>
  <c r="J2" i="1"/>
  <c r="C4" i="9" s="1"/>
  <c r="C5" i="9" l="1"/>
  <c r="J6" i="1" s="1"/>
  <c r="J10" i="1"/>
  <c r="J9" i="1"/>
  <c r="J3" i="1"/>
  <c r="G4" i="9" s="1"/>
  <c r="G5" i="9" s="1"/>
  <c r="J11" i="1"/>
  <c r="J7" i="1" l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7" authorId="0" shapeId="0" xr:uid="{25F4E4E8-E487-4F35-B23D-6DD7C04A4164}">
      <text>
        <r>
          <rPr>
            <b/>
            <sz val="10"/>
            <color indexed="81"/>
            <rFont val="Tahoma"/>
            <family val="2"/>
          </rPr>
          <t>The analyzed present value of the total return.</t>
        </r>
      </text>
    </comment>
  </commentList>
</comments>
</file>

<file path=xl/sharedStrings.xml><?xml version="1.0" encoding="utf-8"?>
<sst xmlns="http://schemas.openxmlformats.org/spreadsheetml/2006/main" count="69" uniqueCount="63">
  <si>
    <t>Units</t>
  </si>
  <si>
    <t>Year Built</t>
  </si>
  <si>
    <t>Effective Monthly Rent / Unit</t>
  </si>
  <si>
    <t>Total Rental Income</t>
  </si>
  <si>
    <t>Delinquency %</t>
  </si>
  <si>
    <t>Repairs &amp; Maintenance</t>
  </si>
  <si>
    <t>Utilities (Vacancy)</t>
  </si>
  <si>
    <t>Taxes</t>
  </si>
  <si>
    <t>Total Operating Expenses</t>
  </si>
  <si>
    <t>Net Operating Income</t>
  </si>
  <si>
    <t>Renovations</t>
  </si>
  <si>
    <t>Total Capital Expenditures</t>
  </si>
  <si>
    <t>Tax rate</t>
  </si>
  <si>
    <t>Assessed value</t>
  </si>
  <si>
    <t>Avg. Occupancy</t>
  </si>
  <si>
    <t>R&amp;M Ratio</t>
  </si>
  <si>
    <t>Asset Details</t>
  </si>
  <si>
    <t>Turn Ratio</t>
  </si>
  <si>
    <t>Avg. Utilities Cost / Vacant Unit</t>
  </si>
  <si>
    <t>Net Income</t>
  </si>
  <si>
    <t>Last Remodeled</t>
  </si>
  <si>
    <t>N/A</t>
  </si>
  <si>
    <t>Avg. Occupied Units</t>
  </si>
  <si>
    <t>Acquisition Details</t>
  </si>
  <si>
    <t>Purchase Price</t>
  </si>
  <si>
    <t>Cap Rate</t>
  </si>
  <si>
    <t>Sale Details</t>
  </si>
  <si>
    <t>Sale Price</t>
  </si>
  <si>
    <t>Net Potential Rent</t>
  </si>
  <si>
    <t>Vacancy</t>
  </si>
  <si>
    <t>Cash Flow Analysis</t>
  </si>
  <si>
    <t>Delinquency</t>
  </si>
  <si>
    <t>Salaries and Wages</t>
  </si>
  <si>
    <t>Last Year Financials</t>
  </si>
  <si>
    <t>Operational Assumptions</t>
  </si>
  <si>
    <t>Rent Growth %</t>
  </si>
  <si>
    <t>Cost Growth %</t>
  </si>
  <si>
    <t>Exit Cap Rate</t>
  </si>
  <si>
    <t>Holding Period (Years)</t>
  </si>
  <si>
    <t>Seller</t>
  </si>
  <si>
    <t>Property (Purchase) Sale</t>
  </si>
  <si>
    <t>Turn &amp; Marketing Expenses</t>
  </si>
  <si>
    <t>Benchmark Rate</t>
  </si>
  <si>
    <t>Present Value</t>
  </si>
  <si>
    <t>Future Value</t>
  </si>
  <si>
    <t>Total Investment</t>
  </si>
  <si>
    <t>IRR</t>
  </si>
  <si>
    <t>NPV</t>
  </si>
  <si>
    <t>PV</t>
  </si>
  <si>
    <t>Profit Metrics</t>
  </si>
  <si>
    <t>Total Return</t>
  </si>
  <si>
    <t>FV</t>
  </si>
  <si>
    <t>XNPV</t>
  </si>
  <si>
    <t>XIRR</t>
  </si>
  <si>
    <t>Rate</t>
  </si>
  <si>
    <t>Nper</t>
  </si>
  <si>
    <t>johnboscokene95@gmail.com | Johnny419 | Ken042 | 2741584</t>
  </si>
  <si>
    <t>Building Name</t>
  </si>
  <si>
    <t>Capital Estate Mgmt</t>
  </si>
  <si>
    <t>Gozie Building</t>
  </si>
  <si>
    <t>Return on Investment (ROI)</t>
  </si>
  <si>
    <t>Buyer</t>
  </si>
  <si>
    <t>InvEstate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</si>
</sst>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Year&quot;\ 0"/>
    <numFmt numFmtId="165" formatCode="_(* #,##0_);_(* \(#,##0\);_(* &quot;-&quot;??_);_(@_)"/>
    <numFmt numFmtId="166" formatCode="_(* #,##0_);_(* \(#,##0\);_(* &quot;-&quot;?_);_(@_)"/>
    <numFmt numFmtId="167" formatCode="[$-409]d/mm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CE7F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0" applyNumberFormat="1"/>
    <xf numFmtId="0" fontId="3" fillId="0" borderId="0" xfId="0" applyFont="1"/>
    <xf numFmtId="0" fontId="2" fillId="0" borderId="1" xfId="0" applyFont="1" applyBorder="1"/>
    <xf numFmtId="0" fontId="0" fillId="2" borderId="0" xfId="0" applyFill="1"/>
    <xf numFmtId="166" fontId="6" fillId="0" borderId="0" xfId="0" applyNumberFormat="1" applyFont="1"/>
    <xf numFmtId="165" fontId="6" fillId="0" borderId="0" xfId="1" applyNumberFormat="1" applyFont="1"/>
    <xf numFmtId="10" fontId="7" fillId="0" borderId="0" xfId="0" applyNumberFormat="1" applyFont="1"/>
    <xf numFmtId="10" fontId="6" fillId="0" borderId="0" xfId="2" applyNumberFormat="1" applyFont="1"/>
    <xf numFmtId="43" fontId="0" fillId="0" borderId="0" xfId="0" applyNumberFormat="1"/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165" fontId="4" fillId="0" borderId="0" xfId="1" applyNumberFormat="1" applyFont="1"/>
    <xf numFmtId="165" fontId="4" fillId="0" borderId="0" xfId="0" applyNumberFormat="1" applyFont="1"/>
    <xf numFmtId="165" fontId="5" fillId="0" borderId="1" xfId="0" applyNumberFormat="1" applyFont="1" applyBorder="1"/>
    <xf numFmtId="166" fontId="4" fillId="0" borderId="0" xfId="0" applyNumberFormat="1" applyFont="1"/>
    <xf numFmtId="10" fontId="8" fillId="0" borderId="0" xfId="2" applyNumberFormat="1" applyFont="1"/>
    <xf numFmtId="166" fontId="8" fillId="0" borderId="0" xfId="0" applyNumberFormat="1" applyFont="1"/>
    <xf numFmtId="166" fontId="5" fillId="0" borderId="1" xfId="0" applyNumberFormat="1" applyFont="1" applyBorder="1"/>
    <xf numFmtId="10" fontId="6" fillId="0" borderId="0" xfId="0" applyNumberFormat="1" applyFont="1"/>
    <xf numFmtId="0" fontId="3" fillId="0" borderId="0" xfId="0" applyFont="1" applyAlignment="1">
      <alignment horizontal="right"/>
    </xf>
    <xf numFmtId="10" fontId="0" fillId="0" borderId="0" xfId="0" applyNumberFormat="1"/>
    <xf numFmtId="1" fontId="0" fillId="0" borderId="0" xfId="0" applyNumberFormat="1"/>
    <xf numFmtId="10" fontId="6" fillId="2" borderId="0" xfId="2" applyNumberFormat="1" applyFont="1" applyFill="1"/>
    <xf numFmtId="165" fontId="6" fillId="0" borderId="0" xfId="1" applyNumberFormat="1" applyFont="1" applyAlignment="1">
      <alignment horizontal="center"/>
    </xf>
    <xf numFmtId="10" fontId="4" fillId="0" borderId="0" xfId="0" applyNumberFormat="1" applyFont="1"/>
    <xf numFmtId="165" fontId="0" fillId="0" borderId="0" xfId="0" applyNumberFormat="1"/>
    <xf numFmtId="164" fontId="0" fillId="0" borderId="1" xfId="1" applyNumberFormat="1" applyFont="1" applyBorder="1" applyAlignment="1">
      <alignment horizontal="center"/>
    </xf>
    <xf numFmtId="0" fontId="6" fillId="0" borderId="0" xfId="0" applyFont="1"/>
    <xf numFmtId="165" fontId="0" fillId="0" borderId="0" xfId="1" applyNumberFormat="1" applyFont="1"/>
    <xf numFmtId="0" fontId="5" fillId="3" borderId="0" xfId="0" applyFont="1" applyFill="1" applyAlignment="1">
      <alignment horizontal="centerContinuous"/>
    </xf>
    <xf numFmtId="0" fontId="5" fillId="3" borderId="0" xfId="0" applyFont="1" applyFill="1"/>
    <xf numFmtId="0" fontId="4" fillId="3" borderId="0" xfId="0" applyFont="1" applyFill="1"/>
    <xf numFmtId="10" fontId="0" fillId="0" borderId="0" xfId="2" applyNumberFormat="1" applyFont="1"/>
    <xf numFmtId="0" fontId="8" fillId="0" borderId="0" xfId="0" applyFont="1"/>
    <xf numFmtId="0" fontId="8" fillId="0" borderId="0" xfId="1" applyNumberFormat="1" applyFont="1"/>
    <xf numFmtId="0" fontId="4" fillId="0" borderId="0" xfId="1" applyNumberFormat="1" applyFont="1"/>
    <xf numFmtId="165" fontId="0" fillId="2" borderId="0" xfId="1" applyNumberFormat="1" applyFont="1" applyFill="1"/>
    <xf numFmtId="10" fontId="0" fillId="2" borderId="0" xfId="2" applyNumberFormat="1" applyFont="1" applyFill="1"/>
    <xf numFmtId="10" fontId="9" fillId="0" borderId="0" xfId="2" applyNumberFormat="1" applyFont="1"/>
    <xf numFmtId="165" fontId="9" fillId="0" borderId="0" xfId="1" applyNumberFormat="1" applyFont="1"/>
    <xf numFmtId="165" fontId="4" fillId="2" borderId="0" xfId="1" applyNumberFormat="1" applyFont="1" applyFill="1"/>
    <xf numFmtId="165" fontId="9" fillId="2" borderId="0" xfId="1" applyNumberFormat="1" applyFont="1" applyFill="1"/>
    <xf numFmtId="14" fontId="0" fillId="0" borderId="0" xfId="0" applyNumberFormat="1"/>
    <xf numFmtId="14" fontId="4" fillId="0" borderId="0" xfId="0" applyNumberFormat="1" applyFont="1"/>
    <xf numFmtId="10" fontId="4" fillId="2" borderId="0" xfId="0" applyNumberFormat="1" applyFont="1" applyFill="1"/>
    <xf numFmtId="167" fontId="0" fillId="0" borderId="0" xfId="0" applyNumberFormat="1" applyAlignment="1">
      <alignment horizontal="center"/>
    </xf>
    <xf numFmtId="0" fontId="11" fillId="0" borderId="0" xfId="3"/>
    <xf numFmtId="166" fontId="7" fillId="0" borderId="0" xfId="0" applyNumberFormat="1" applyFont="1"/>
    <xf numFmtId="10" fontId="12" fillId="0" borderId="0" xfId="0" applyNumberFormat="1" applyFont="1"/>
    <xf numFmtId="0" fontId="12" fillId="0" borderId="0" xfId="0" applyFont="1"/>
    <xf numFmtId="165" fontId="12" fillId="0" borderId="0" xfId="1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CE7F5"/>
      <color rgb="FFE4D8FC"/>
      <color rgb="FFC7AEF8"/>
      <color rgb="FF5E17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455983</xdr:colOff>
      <xdr:row>0</xdr:row>
      <xdr:rowOff>173907</xdr:rowOff>
    </xdr:from>
    <xdr:to>
      <xdr:col>13</xdr:col>
      <xdr:colOff>678909</xdr:colOff>
      <xdr:row>9</xdr:row>
      <xdr:rowOff>4009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6D38F3-082B-A193-B498-003F3B517A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0156"/>
        <a:stretch/>
      </xdr:blipFill>
      <xdr:spPr>
        <a:xfrm>
          <a:off x="10538297" y="173907"/>
          <a:ext cx="2594043" cy="1558831"/>
        </a:xfrm>
        <a:prstGeom prst="rect">
          <a:avLst/>
        </a:prstGeom>
      </xdr:spPr>
    </xdr:pic>
    <xdr:clientData/>
  </xdr:twoCellAnchor>
  <xdr:twoCellAnchor editAs="oneCell">
    <xdr:from>
      <xdr:col>10</xdr:col>
      <xdr:colOff>435719</xdr:colOff>
      <xdr:row>0</xdr:row>
      <xdr:rowOff>141861</xdr:rowOff>
    </xdr:from>
    <xdr:to>
      <xdr:col>13</xdr:col>
      <xdr:colOff>739707</xdr:colOff>
      <xdr:row>9</xdr:row>
      <xdr:rowOff>182393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64326B-2AD1-A177-A6C8-D0745022A7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4105" b="14362"/>
        <a:stretch/>
      </xdr:blipFill>
      <xdr:spPr>
        <a:xfrm>
          <a:off x="10518033" y="141861"/>
          <a:ext cx="2675105" cy="1773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ohnboscokene95@gmail.com%20%7C%20Johnny419%20%7C%20Ken042%20%7C%2027415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7A92-7447-413E-AB34-D9282C61BBCD}">
  <dimension ref="A1:O90"/>
  <sheetViews>
    <sheetView showGridLines="0" tabSelected="1" zoomScale="98" zoomScaleNormal="98" workbookViewId="0">
      <selection activeCell="J6" sqref="J6"/>
    </sheetView>
  </sheetViews>
  <sheetFormatPr defaultRowHeight="15" x14ac:dyDescent="0.25"/>
  <cols>
    <col min="1" max="1" width="26.5703125" customWidth="1"/>
    <col min="2" max="2" width="24" style="12" customWidth="1"/>
    <col min="3" max="3" width="5.42578125" customWidth="1"/>
    <col min="4" max="5" width="11.85546875" customWidth="1"/>
    <col min="6" max="6" width="12.42578125" customWidth="1"/>
    <col min="7" max="8" width="11.85546875" customWidth="1"/>
    <col min="9" max="9" width="11.7109375" customWidth="1"/>
    <col min="10" max="10" width="14.28515625" customWidth="1"/>
    <col min="11" max="13" width="11.85546875" customWidth="1"/>
    <col min="14" max="14" width="12.28515625" customWidth="1"/>
  </cols>
  <sheetData>
    <row r="1" spans="1:14" x14ac:dyDescent="0.25">
      <c r="A1" s="34" t="s">
        <v>16</v>
      </c>
      <c r="B1" s="34"/>
      <c r="D1" s="34" t="s">
        <v>23</v>
      </c>
      <c r="E1" s="34"/>
      <c r="F1" s="34"/>
      <c r="H1" s="34" t="s">
        <v>49</v>
      </c>
      <c r="I1" s="34"/>
      <c r="J1" s="34"/>
    </row>
    <row r="2" spans="1:14" x14ac:dyDescent="0.25">
      <c r="A2" t="s">
        <v>57</v>
      </c>
      <c r="B2" s="10" t="s">
        <v>59</v>
      </c>
      <c r="D2" t="s">
        <v>24</v>
      </c>
      <c r="F2" s="30">
        <f>B46/AcquisitionCapRate</f>
        <v>58412150</v>
      </c>
      <c r="H2" t="s">
        <v>45</v>
      </c>
      <c r="J2" s="33">
        <f>ABS(SUM(D51,E51))</f>
        <v>61912150</v>
      </c>
    </row>
    <row r="3" spans="1:14" x14ac:dyDescent="0.25">
      <c r="A3" s="4" t="s">
        <v>0</v>
      </c>
      <c r="B3" s="11">
        <v>20</v>
      </c>
      <c r="D3" s="4" t="s">
        <v>25</v>
      </c>
      <c r="E3" s="4"/>
      <c r="F3" s="27">
        <v>0.06</v>
      </c>
      <c r="H3" s="4" t="s">
        <v>50</v>
      </c>
      <c r="I3" s="4"/>
      <c r="J3" s="41">
        <f>SUM(D53:N53)</f>
        <v>174284137.38975674</v>
      </c>
      <c r="K3" s="26"/>
    </row>
    <row r="4" spans="1:14" x14ac:dyDescent="0.25">
      <c r="A4" t="s">
        <v>1</v>
      </c>
      <c r="B4" s="10">
        <v>2003</v>
      </c>
      <c r="H4" t="s">
        <v>60</v>
      </c>
      <c r="J4" s="37">
        <f>J3/J2</f>
        <v>2.8150231802603649</v>
      </c>
    </row>
    <row r="5" spans="1:14" x14ac:dyDescent="0.25">
      <c r="A5" s="4" t="s">
        <v>20</v>
      </c>
      <c r="B5" s="11" t="s">
        <v>21</v>
      </c>
      <c r="D5" s="34" t="s">
        <v>26</v>
      </c>
      <c r="E5" s="34"/>
      <c r="F5" s="34"/>
      <c r="H5" s="4" t="s">
        <v>42</v>
      </c>
      <c r="I5" s="4"/>
      <c r="J5" s="49">
        <v>0.16500000000000001</v>
      </c>
    </row>
    <row r="6" spans="1:14" x14ac:dyDescent="0.25">
      <c r="A6" t="s">
        <v>39</v>
      </c>
      <c r="B6" s="10" t="s">
        <v>58</v>
      </c>
      <c r="D6" t="s">
        <v>38</v>
      </c>
      <c r="F6" s="32">
        <v>10</v>
      </c>
      <c r="H6" t="s">
        <v>51</v>
      </c>
      <c r="J6" s="44">
        <f>'Time-Value Analysis'!C5</f>
        <v>285124895.73863202</v>
      </c>
    </row>
    <row r="7" spans="1:14" x14ac:dyDescent="0.25">
      <c r="A7" s="4" t="s">
        <v>61</v>
      </c>
      <c r="B7" s="11" t="s">
        <v>62</v>
      </c>
      <c r="D7" s="4" t="s">
        <v>37</v>
      </c>
      <c r="E7" s="4"/>
      <c r="F7" s="27">
        <v>0.05</v>
      </c>
      <c r="H7" s="4" t="s">
        <v>48</v>
      </c>
      <c r="I7" s="4"/>
      <c r="J7" s="46">
        <f>'Time-Value Analysis'!G5</f>
        <v>37844137.141172245</v>
      </c>
    </row>
    <row r="8" spans="1:14" x14ac:dyDescent="0.25">
      <c r="D8" t="s">
        <v>27</v>
      </c>
      <c r="F8" s="33">
        <f>HLOOKUP(HoldingPeriod,D16:N46,31,0)/ExitCapRate</f>
        <v>177126498.19006681</v>
      </c>
      <c r="H8" t="s">
        <v>47</v>
      </c>
      <c r="J8" s="16">
        <f>NPV(J5,D53:N53)</f>
        <v>564905.35569467896</v>
      </c>
    </row>
    <row r="9" spans="1:14" x14ac:dyDescent="0.25">
      <c r="A9" s="34" t="s">
        <v>34</v>
      </c>
      <c r="B9" s="34"/>
      <c r="H9" s="4" t="s">
        <v>52</v>
      </c>
      <c r="I9" s="4"/>
      <c r="J9" s="45">
        <f>XNPV(J5,D53:N53,D15:N15)</f>
        <v>614151.71355213225</v>
      </c>
    </row>
    <row r="10" spans="1:14" x14ac:dyDescent="0.25">
      <c r="A10" s="25" t="s">
        <v>36</v>
      </c>
      <c r="B10" s="8">
        <v>0.02</v>
      </c>
      <c r="H10" t="s">
        <v>46</v>
      </c>
      <c r="J10" s="25">
        <f>IRR(D53:N53)</f>
        <v>0.16650253897546885</v>
      </c>
    </row>
    <row r="11" spans="1:14" x14ac:dyDescent="0.25">
      <c r="A11" s="4" t="s">
        <v>35</v>
      </c>
      <c r="B11" s="27">
        <v>0.05</v>
      </c>
      <c r="H11" s="4" t="s">
        <v>53</v>
      </c>
      <c r="I11" s="4"/>
      <c r="J11" s="42">
        <f>XIRR(D53:N53,D15:N15)</f>
        <v>0.16640186905860907</v>
      </c>
    </row>
    <row r="14" spans="1:14" x14ac:dyDescent="0.25">
      <c r="A14" s="35" t="s">
        <v>30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</row>
    <row r="15" spans="1:14" s="47" customFormat="1" x14ac:dyDescent="0.25">
      <c r="B15" s="48"/>
      <c r="D15" s="50">
        <v>45991</v>
      </c>
      <c r="E15" s="50">
        <f>EOMONTH(D15,12)</f>
        <v>46356</v>
      </c>
      <c r="F15" s="50">
        <f>EOMONTH(E15,12)</f>
        <v>46721</v>
      </c>
      <c r="G15" s="50">
        <f>EOMONTH(F15,12)</f>
        <v>47087</v>
      </c>
      <c r="H15" s="50">
        <f>EOMONTH(G15,12)</f>
        <v>47452</v>
      </c>
      <c r="I15" s="50">
        <f>EOMONTH(H15,12)</f>
        <v>47817</v>
      </c>
      <c r="J15" s="50">
        <f>EOMONTH(I15,12)</f>
        <v>48182</v>
      </c>
      <c r="K15" s="50">
        <f>EOMONTH(J15,12)</f>
        <v>48548</v>
      </c>
      <c r="L15" s="50">
        <f>EOMONTH(K15,12)</f>
        <v>48913</v>
      </c>
      <c r="M15" s="50">
        <f>EOMONTH(L15,12)</f>
        <v>49278</v>
      </c>
      <c r="N15" s="50">
        <f>EOMONTH(M15,12)</f>
        <v>49643</v>
      </c>
    </row>
    <row r="16" spans="1:14" x14ac:dyDescent="0.25">
      <c r="B16" s="13" t="s">
        <v>33</v>
      </c>
      <c r="C16" s="1"/>
      <c r="D16" s="31">
        <v>0</v>
      </c>
      <c r="E16" s="31">
        <f>D16+1</f>
        <v>1</v>
      </c>
      <c r="F16" s="31">
        <f>E16+1</f>
        <v>2</v>
      </c>
      <c r="G16" s="31">
        <f>F16+1</f>
        <v>3</v>
      </c>
      <c r="H16" s="31">
        <f>G16+1</f>
        <v>4</v>
      </c>
      <c r="I16" s="31">
        <f>H16+1</f>
        <v>5</v>
      </c>
      <c r="J16" s="31">
        <f>I16+1</f>
        <v>6</v>
      </c>
      <c r="K16" s="31">
        <f>J16+1</f>
        <v>7</v>
      </c>
      <c r="L16" s="31">
        <f>K16+1</f>
        <v>8</v>
      </c>
      <c r="M16" s="31">
        <f>L16+1</f>
        <v>9</v>
      </c>
      <c r="N16" s="31">
        <f>M16+1</f>
        <v>10</v>
      </c>
    </row>
    <row r="17" spans="1:15" x14ac:dyDescent="0.25">
      <c r="B17" s="14"/>
      <c r="G17" s="1"/>
      <c r="H17" s="1"/>
      <c r="I17" s="1"/>
      <c r="J17" s="1"/>
    </row>
    <row r="18" spans="1:15" x14ac:dyDescent="0.25">
      <c r="A18" t="s">
        <v>28</v>
      </c>
      <c r="B18" s="15">
        <v>5880000</v>
      </c>
      <c r="D18" s="15">
        <v>0</v>
      </c>
      <c r="E18" s="15">
        <f>IF(HoldingPeriod&lt;E16,0,E19*Units*12)</f>
        <v>9336000</v>
      </c>
      <c r="F18" s="15">
        <f>IF(HoldingPeriod&lt;F16,0,F19*Units*12)</f>
        <v>9802800</v>
      </c>
      <c r="G18" s="15">
        <f>IF(HoldingPeriod&lt;G16,0,G19*Units*12)</f>
        <v>10292940</v>
      </c>
      <c r="H18" s="15">
        <f>IF(HoldingPeriod&lt;H16,0,H19*Units*12)</f>
        <v>10807587</v>
      </c>
      <c r="I18" s="15">
        <f>IF(HoldingPeriod&lt;I16,0,I19*Units*12)</f>
        <v>11347966.350000001</v>
      </c>
      <c r="J18" s="15">
        <f>IF(HoldingPeriod&lt;J16,0,J19*Units*12)</f>
        <v>11915364.667500004</v>
      </c>
      <c r="K18" s="15">
        <f>IF(HoldingPeriod&lt;K16,0,K19*Units*12)</f>
        <v>12511132.900875004</v>
      </c>
      <c r="L18" s="15">
        <f>IF(HoldingPeriod&lt;L16,0,L19*Units*12)</f>
        <v>13136689.545918753</v>
      </c>
      <c r="M18" s="15">
        <f>IF(HoldingPeriod&lt;M16,0,M19*Units*12)</f>
        <v>13793524.023214694</v>
      </c>
      <c r="N18" s="15">
        <f>IF(HoldingPeriod&lt;N16,0,N19*Units*12)</f>
        <v>14483200.224375427</v>
      </c>
    </row>
    <row r="19" spans="1:15" x14ac:dyDescent="0.25">
      <c r="A19" s="24" t="s">
        <v>2</v>
      </c>
      <c r="B19" s="6">
        <v>24500</v>
      </c>
      <c r="C19" s="30"/>
      <c r="D19" s="6"/>
      <c r="E19" s="6">
        <v>38900</v>
      </c>
      <c r="F19" s="16">
        <f>E19*(1+RentGrowth)</f>
        <v>40845</v>
      </c>
      <c r="G19" s="16">
        <f>F19*(1+RentGrowth)</f>
        <v>42887.25</v>
      </c>
      <c r="H19" s="16">
        <f>G19*(1+RentGrowth)</f>
        <v>45031.612500000003</v>
      </c>
      <c r="I19" s="16">
        <f>H19*(1+RentGrowth)</f>
        <v>47283.193125000005</v>
      </c>
      <c r="J19" s="16">
        <f>I19*(1+RentGrowth)</f>
        <v>49647.352781250011</v>
      </c>
      <c r="K19" s="16">
        <f>J19*(1+RentGrowth)</f>
        <v>52129.720420312515</v>
      </c>
      <c r="L19" s="16">
        <f>K19*(1+RentGrowth)</f>
        <v>54736.20644132814</v>
      </c>
      <c r="M19" s="16">
        <f>L19*(1+RentGrowth)</f>
        <v>57473.016763394553</v>
      </c>
      <c r="N19" s="16">
        <f>M19*(1+RentGrowth)</f>
        <v>60346.667601564281</v>
      </c>
    </row>
    <row r="20" spans="1:15" x14ac:dyDescent="0.25">
      <c r="B20" s="15"/>
      <c r="D20" s="15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spans="1:15" x14ac:dyDescent="0.25">
      <c r="A21" t="s">
        <v>29</v>
      </c>
      <c r="B21" s="16">
        <v>-220500</v>
      </c>
      <c r="D21" s="16">
        <f>-D18*(1-D23)</f>
        <v>0</v>
      </c>
      <c r="E21" s="16">
        <f>-E18*(1-E23)</f>
        <v>-2334000</v>
      </c>
      <c r="F21" s="16">
        <f>-F18*(1-F23)</f>
        <v>-980279.99999999977</v>
      </c>
      <c r="G21" s="16">
        <f>-G18*(1-G23)</f>
        <v>-514647.00000000047</v>
      </c>
      <c r="H21" s="16">
        <f>-H18*(1-H23)</f>
        <v>-540379.35000000044</v>
      </c>
      <c r="I21" s="16">
        <f>-I18*(1-I23)</f>
        <v>-567398.31750000059</v>
      </c>
      <c r="J21" s="16">
        <f>-J18*(1-J23)</f>
        <v>-595768.23337500077</v>
      </c>
      <c r="K21" s="16">
        <f>-K18*(1-K23)</f>
        <v>-625556.64504375076</v>
      </c>
      <c r="L21" s="16">
        <f>-L18*(1-L23)</f>
        <v>-656834.4772959383</v>
      </c>
      <c r="M21" s="16">
        <f>-M18*(1-M23)</f>
        <v>-689676.20116073533</v>
      </c>
      <c r="N21" s="16">
        <f>-N18*(1-N23)</f>
        <v>-724160.01121877204</v>
      </c>
    </row>
    <row r="22" spans="1:15" x14ac:dyDescent="0.25">
      <c r="A22" s="24" t="s">
        <v>22</v>
      </c>
      <c r="B22" s="6"/>
      <c r="D22" s="6"/>
      <c r="E22" s="6">
        <v>15</v>
      </c>
      <c r="F22" s="6">
        <v>18</v>
      </c>
      <c r="G22" s="6">
        <v>19</v>
      </c>
      <c r="H22" s="6">
        <v>19</v>
      </c>
      <c r="I22" s="6">
        <v>19</v>
      </c>
      <c r="J22" s="6">
        <v>19</v>
      </c>
      <c r="K22" s="6">
        <v>19</v>
      </c>
      <c r="L22" s="6">
        <v>19</v>
      </c>
      <c r="M22" s="6">
        <v>19</v>
      </c>
      <c r="N22" s="6">
        <v>19</v>
      </c>
      <c r="O22" s="6"/>
    </row>
    <row r="23" spans="1:15" x14ac:dyDescent="0.25">
      <c r="A23" s="24" t="s">
        <v>14</v>
      </c>
      <c r="B23" s="23"/>
      <c r="D23" s="29"/>
      <c r="E23" s="29">
        <f>E22/Units</f>
        <v>0.75</v>
      </c>
      <c r="F23" s="29">
        <f>F22/Units</f>
        <v>0.9</v>
      </c>
      <c r="G23" s="29">
        <f>G22/Units</f>
        <v>0.95</v>
      </c>
      <c r="H23" s="29">
        <f>H22/Units</f>
        <v>0.95</v>
      </c>
      <c r="I23" s="29">
        <f>I22/Units</f>
        <v>0.95</v>
      </c>
      <c r="J23" s="29">
        <f>J22/Units</f>
        <v>0.95</v>
      </c>
      <c r="K23" s="29">
        <f>K22/Units</f>
        <v>0.95</v>
      </c>
      <c r="L23" s="29">
        <f>L22/Units</f>
        <v>0.95</v>
      </c>
      <c r="M23" s="29">
        <f>M22/Units</f>
        <v>0.95</v>
      </c>
      <c r="N23" s="29">
        <f>N22/Units</f>
        <v>0.95</v>
      </c>
    </row>
    <row r="24" spans="1:15" x14ac:dyDescent="0.25">
      <c r="A24" s="24"/>
      <c r="B24" s="23"/>
      <c r="D24" s="23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5" x14ac:dyDescent="0.25">
      <c r="A25" t="s">
        <v>31</v>
      </c>
      <c r="B25" s="17">
        <v>-171000</v>
      </c>
      <c r="D25" s="17">
        <v>0</v>
      </c>
      <c r="E25" s="17">
        <f>-SUM(E21,E18)*E26</f>
        <v>-840240</v>
      </c>
      <c r="F25" s="17">
        <f>-SUM(F21,F18)*F26</f>
        <v>-529351.19999999995</v>
      </c>
      <c r="G25" s="17">
        <f>-SUM(G21,G18)*G26</f>
        <v>-391131.72000000003</v>
      </c>
      <c r="H25" s="17">
        <f>-SUM(H21,H18)*H26</f>
        <v>-410688.30600000004</v>
      </c>
      <c r="I25" s="17">
        <f>-SUM(I21,I18)*I26</f>
        <v>-431222.72130000003</v>
      </c>
      <c r="J25" s="17">
        <f>-SUM(J21,J18)*J26</f>
        <v>-452783.85736500012</v>
      </c>
      <c r="K25" s="17">
        <f>-SUM(K21,K18)*K26</f>
        <v>-475423.05023325013</v>
      </c>
      <c r="L25" s="17">
        <f>-SUM(L21,L18)*L26</f>
        <v>-499194.20274491259</v>
      </c>
      <c r="M25" s="17">
        <f>-SUM(M21,M18)*M26</f>
        <v>-524153.91288215842</v>
      </c>
      <c r="N25" s="17">
        <f>-SUM(N21,N18)*N26</f>
        <v>-550361.60852626618</v>
      </c>
    </row>
    <row r="26" spans="1:15" x14ac:dyDescent="0.25">
      <c r="A26" s="24" t="s">
        <v>4</v>
      </c>
      <c r="B26" s="7"/>
      <c r="D26" s="7"/>
      <c r="E26" s="7">
        <v>0.12</v>
      </c>
      <c r="F26" s="7">
        <v>0.06</v>
      </c>
      <c r="G26" s="7">
        <v>0.04</v>
      </c>
      <c r="H26" s="7">
        <v>0.04</v>
      </c>
      <c r="I26" s="7">
        <v>0.04</v>
      </c>
      <c r="J26" s="7">
        <v>0.04</v>
      </c>
      <c r="K26" s="7">
        <v>0.04</v>
      </c>
      <c r="L26" s="7">
        <v>0.04</v>
      </c>
      <c r="M26" s="7">
        <v>0.04</v>
      </c>
      <c r="N26" s="7">
        <v>0.04</v>
      </c>
    </row>
    <row r="27" spans="1:15" x14ac:dyDescent="0.25">
      <c r="B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5" x14ac:dyDescent="0.25">
      <c r="A28" s="3" t="s">
        <v>3</v>
      </c>
      <c r="B28" s="18">
        <f>SUM(B18,B21,B25)</f>
        <v>5488500</v>
      </c>
      <c r="D28" s="18">
        <f>SUM(D18,D21,D25)</f>
        <v>0</v>
      </c>
      <c r="E28" s="18">
        <f>SUM(E18,E21,E25)</f>
        <v>6161760</v>
      </c>
      <c r="F28" s="18">
        <f>SUM(F18,F21,F25)</f>
        <v>8293168.7999999998</v>
      </c>
      <c r="G28" s="18">
        <f>SUM(G18,G21,G25)</f>
        <v>9387161.2799999993</v>
      </c>
      <c r="H28" s="18">
        <f>SUM(H18,H21,H25)</f>
        <v>9856519.3440000005</v>
      </c>
      <c r="I28" s="18">
        <f>SUM(I18,I21,I25)</f>
        <v>10349345.3112</v>
      </c>
      <c r="J28" s="18">
        <f>SUM(J18,J21,J25)</f>
        <v>10866812.576760001</v>
      </c>
      <c r="K28" s="18">
        <f>SUM(K18,K21,K25)</f>
        <v>11410153.205598002</v>
      </c>
      <c r="L28" s="18">
        <f>SUM(L18,L21,L25)</f>
        <v>11980660.865877902</v>
      </c>
      <c r="M28" s="18">
        <f>SUM(M18,M21,M25)</f>
        <v>12579693.909171801</v>
      </c>
      <c r="N28" s="18">
        <f>SUM(N18,N21,N25)</f>
        <v>13208678.604630388</v>
      </c>
    </row>
    <row r="29" spans="1:15" x14ac:dyDescent="0.25"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5" x14ac:dyDescent="0.25">
      <c r="A30" t="s">
        <v>5</v>
      </c>
      <c r="B30" s="19">
        <v>-350380</v>
      </c>
      <c r="D30" s="19">
        <v>0</v>
      </c>
      <c r="E30" s="19">
        <f>-SUM(E$18+E$21)*E31</f>
        <v>-280080</v>
      </c>
      <c r="F30" s="19">
        <f>-SUM(F18+F21)*F31</f>
        <v>-352900.8</v>
      </c>
      <c r="G30" s="19">
        <f>-SUM(G18+G21)*G31</f>
        <v>-391131.72000000003</v>
      </c>
      <c r="H30" s="19">
        <f>-SUM(H18+H21)*H31</f>
        <v>-410688.30600000004</v>
      </c>
      <c r="I30" s="19">
        <f>SUM(I18+I21)*I31</f>
        <v>431222.72130000003</v>
      </c>
      <c r="J30" s="19">
        <f>SUM(J18+J21)*J31</f>
        <v>452783.85736500012</v>
      </c>
      <c r="K30" s="19">
        <f>SUM(K18+K21)*K31</f>
        <v>475423.05023325013</v>
      </c>
      <c r="L30" s="19">
        <f>SUM(L18+L21)*L31</f>
        <v>499194.20274491259</v>
      </c>
      <c r="M30" s="19">
        <f>SUM(M18+M21)*M31</f>
        <v>524153.91288215842</v>
      </c>
      <c r="N30" s="19">
        <f>SUM(N18+N21)*N31</f>
        <v>550361.60852626618</v>
      </c>
    </row>
    <row r="31" spans="1:15" x14ac:dyDescent="0.25">
      <c r="A31" s="24" t="s">
        <v>15</v>
      </c>
      <c r="B31" s="8"/>
      <c r="D31" s="8"/>
      <c r="E31" s="8">
        <v>0.04</v>
      </c>
      <c r="F31" s="8">
        <v>0.04</v>
      </c>
      <c r="G31" s="8">
        <v>0.04</v>
      </c>
      <c r="H31" s="8">
        <v>0.04</v>
      </c>
      <c r="I31" s="8">
        <v>0.04</v>
      </c>
      <c r="J31" s="8">
        <v>0.04</v>
      </c>
      <c r="K31" s="8">
        <v>0.04</v>
      </c>
      <c r="L31" s="8">
        <v>0.04</v>
      </c>
      <c r="M31" s="8">
        <v>0.04</v>
      </c>
      <c r="N31" s="8">
        <v>0.04</v>
      </c>
    </row>
    <row r="32" spans="1:15" x14ac:dyDescent="0.25">
      <c r="A32" s="2"/>
      <c r="B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1:14" x14ac:dyDescent="0.25">
      <c r="A33" t="s">
        <v>41</v>
      </c>
      <c r="B33" s="19">
        <v>-63100</v>
      </c>
      <c r="D33" s="19">
        <v>-450000</v>
      </c>
      <c r="E33" s="19">
        <f>-SUM(E$18+E$21)*E34</f>
        <v>-210060</v>
      </c>
      <c r="F33" s="19">
        <f>-SUM(F$18+F$21)*F34</f>
        <v>-44112.6</v>
      </c>
      <c r="G33" s="19">
        <f>-SUM(G$18+G$21)*G34</f>
        <v>-14667.4395</v>
      </c>
      <c r="H33" s="19">
        <f>-SUM(H$18+H$21)*H34</f>
        <v>-15400.811475</v>
      </c>
      <c r="I33" s="19">
        <f>-SUM(I$18+I$21)*I34</f>
        <v>-16170.852048750001</v>
      </c>
      <c r="J33" s="19">
        <f>-SUM(J$18+J$21)*J34</f>
        <v>-16979.394651187504</v>
      </c>
      <c r="K33" s="19">
        <f>-SUM(K$18+K$21)*K34</f>
        <v>-17828.364383746881</v>
      </c>
      <c r="L33" s="19">
        <f>-SUM(L$18+L$21)*L34</f>
        <v>-18719.782602934221</v>
      </c>
      <c r="M33" s="19">
        <f>-SUM(M$18+M$21)*M34</f>
        <v>-19655.771733080939</v>
      </c>
      <c r="N33" s="19">
        <f>-SUM(N$18+N$21)*N34</f>
        <v>-20638.560319734985</v>
      </c>
    </row>
    <row r="34" spans="1:14" x14ac:dyDescent="0.25">
      <c r="A34" s="24" t="s">
        <v>17</v>
      </c>
      <c r="B34" s="8"/>
      <c r="D34" s="8"/>
      <c r="E34" s="8">
        <v>0.03</v>
      </c>
      <c r="F34" s="8">
        <v>5.0000000000000001E-3</v>
      </c>
      <c r="G34" s="8">
        <v>1.5E-3</v>
      </c>
      <c r="H34" s="8">
        <v>1.5E-3</v>
      </c>
      <c r="I34" s="8">
        <v>1.5E-3</v>
      </c>
      <c r="J34" s="8">
        <v>1.5E-3</v>
      </c>
      <c r="K34" s="8">
        <v>1.5E-3</v>
      </c>
      <c r="L34" s="8">
        <v>1.5E-3</v>
      </c>
      <c r="M34" s="8">
        <v>1.5E-3</v>
      </c>
      <c r="N34" s="8">
        <v>1.5E-3</v>
      </c>
    </row>
    <row r="35" spans="1:14" x14ac:dyDescent="0.25">
      <c r="B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5">
      <c r="A36" t="s">
        <v>6</v>
      </c>
      <c r="B36" s="19">
        <v>-87305</v>
      </c>
      <c r="D36" s="19">
        <v>0</v>
      </c>
      <c r="E36" s="19">
        <f>-IF(HoldingPeriod&lt;E16,0,(Units-E22)*E37)</f>
        <v>-109130</v>
      </c>
      <c r="F36" s="19">
        <f>-IF(HoldingPeriod&lt;F16,0,(Units-F22)*F37)</f>
        <v>-44525.04</v>
      </c>
      <c r="G36" s="19">
        <f>-IF(HoldingPeriod&lt;G16,0,(Units-G22)*G37)</f>
        <v>-22707.770400000001</v>
      </c>
      <c r="H36" s="19">
        <f>-IF(HoldingPeriod&lt;H16,0,(Units-H22)*H37)</f>
        <v>-23161.925808</v>
      </c>
      <c r="I36" s="19">
        <f>-IF(HoldingPeriod&lt;I16,0,(Units-I22)*I37)</f>
        <v>-23625.16432416</v>
      </c>
      <c r="J36" s="19">
        <f>-IF(HoldingPeriod&lt;J16,0,(Units-J22)*J37)</f>
        <v>-24097.667610643199</v>
      </c>
      <c r="K36" s="19">
        <f>-IF(HoldingPeriod&lt;K16,0,(Units-K22)*K37)</f>
        <v>-24579.620962856065</v>
      </c>
      <c r="L36" s="19">
        <f>-IF(HoldingPeriod&lt;L16,0,(Units-L22)*L37)</f>
        <v>-25071.213382113187</v>
      </c>
      <c r="M36" s="19">
        <f>-IF(HoldingPeriod&lt;M16,0,(Units-M22)*M37)</f>
        <v>-25572.637649755452</v>
      </c>
      <c r="N36" s="19">
        <f>-IF(HoldingPeriod&lt;N16,0,(Units-N22)*N37)</f>
        <v>-26084.09040275056</v>
      </c>
    </row>
    <row r="37" spans="1:14" x14ac:dyDescent="0.25">
      <c r="A37" s="24" t="s">
        <v>18</v>
      </c>
      <c r="B37" s="5"/>
      <c r="D37" s="5"/>
      <c r="E37" s="5">
        <v>21826</v>
      </c>
      <c r="F37" s="5">
        <f t="shared" ref="F37:N37" si="0">E37*(1+CostGrowth)</f>
        <v>22262.52</v>
      </c>
      <c r="G37" s="5">
        <f t="shared" si="0"/>
        <v>22707.770400000001</v>
      </c>
      <c r="H37" s="5">
        <f t="shared" si="0"/>
        <v>23161.925808</v>
      </c>
      <c r="I37" s="5">
        <f t="shared" si="0"/>
        <v>23625.16432416</v>
      </c>
      <c r="J37" s="5">
        <f t="shared" si="0"/>
        <v>24097.667610643199</v>
      </c>
      <c r="K37" s="5">
        <f t="shared" si="0"/>
        <v>24579.620962856065</v>
      </c>
      <c r="L37" s="5">
        <f t="shared" si="0"/>
        <v>25071.213382113187</v>
      </c>
      <c r="M37" s="5">
        <f t="shared" si="0"/>
        <v>25572.637649755452</v>
      </c>
      <c r="N37" s="5">
        <f t="shared" si="0"/>
        <v>26084.09040275056</v>
      </c>
    </row>
    <row r="38" spans="1:14" x14ac:dyDescent="0.25">
      <c r="B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5">
      <c r="A39" t="s">
        <v>32</v>
      </c>
      <c r="B39" s="19">
        <v>-1236000</v>
      </c>
      <c r="D39" s="19">
        <v>0</v>
      </c>
      <c r="E39" s="19">
        <v>-1620000</v>
      </c>
      <c r="F39" s="19">
        <f>IF(HoldingPeriod&lt;F16,0,E$39*(1+CostGrowth))</f>
        <v>-1652400</v>
      </c>
      <c r="G39" s="19">
        <f>IF(HoldingPeriod&lt;G16,0,F$39*(1+CostGrowth))</f>
        <v>-1685448</v>
      </c>
      <c r="H39" s="19">
        <f>IF(HoldingPeriod&lt;H16,0,G$39*(1+CostGrowth))</f>
        <v>-1719156.96</v>
      </c>
      <c r="I39" s="19">
        <f>IF(HoldingPeriod&lt;I16,0,H$39*(1+CostGrowth))</f>
        <v>-1753540.0992000001</v>
      </c>
      <c r="J39" s="19">
        <f>IF(HoldingPeriod&lt;J16,0,I$39*(1+CostGrowth))</f>
        <v>-1788610.9011840001</v>
      </c>
      <c r="K39" s="19">
        <f>IF(HoldingPeriod&lt;K16,0,J$39*(1+CostGrowth))</f>
        <v>-1824383.11920768</v>
      </c>
      <c r="L39" s="19">
        <f>IF(HoldingPeriod&lt;L16,0,K$39*(1+CostGrowth))</f>
        <v>-1860870.7815918336</v>
      </c>
      <c r="M39" s="19">
        <f>IF(HoldingPeriod&lt;M16,0,L$39*(1+CostGrowth))</f>
        <v>-1898088.1972236703</v>
      </c>
      <c r="N39" s="19">
        <f>IF(HoldingPeriod&lt;N16,0,M$39*(1+CostGrowth))</f>
        <v>-1936049.9611681437</v>
      </c>
    </row>
    <row r="40" spans="1:14" x14ac:dyDescent="0.25">
      <c r="A40" t="s">
        <v>7</v>
      </c>
      <c r="B40" s="19">
        <v>-246986</v>
      </c>
      <c r="D40" s="19">
        <v>0</v>
      </c>
      <c r="E40" s="19">
        <f>IF(HoldingPeriod&lt;E16,0,-E41*E42)</f>
        <v>-2044425.2500000002</v>
      </c>
      <c r="F40" s="19">
        <f>IF(HoldingPeriod&lt;F16,0,-F41*F42)</f>
        <v>-2127020.0301000001</v>
      </c>
      <c r="G40" s="19">
        <f>IF(HoldingPeriod&lt;G16,0,-G41*G42)</f>
        <v>-2212951.6393160401</v>
      </c>
      <c r="H40" s="19">
        <f>IF(HoldingPeriod&lt;H16,0,-H41*H42)</f>
        <v>-2302354.8855444081</v>
      </c>
      <c r="I40" s="19">
        <f>IF(HoldingPeriod&lt;I16,0,-I41*I42)</f>
        <v>-2395370.0229204022</v>
      </c>
      <c r="J40" s="19">
        <f>IF(HoldingPeriod&lt;J16,0,-J41*J42)</f>
        <v>-2492142.9718463863</v>
      </c>
      <c r="K40" s="19">
        <f>IF(HoldingPeriod&lt;K16,0,-K41*K42)</f>
        <v>-2592825.5479089809</v>
      </c>
      <c r="L40" s="19">
        <f>IF(HoldingPeriod&lt;L16,0,-L41*L42)</f>
        <v>-2697575.7000445034</v>
      </c>
      <c r="M40" s="19">
        <f>IF(HoldingPeriod&lt;M16,0,-M41*M42)</f>
        <v>-2806557.7583263014</v>
      </c>
      <c r="N40" s="19">
        <f>IF(HoldingPeriod&lt;N16,0,-N41*N42)</f>
        <v>-2919942.6917626839</v>
      </c>
    </row>
    <row r="41" spans="1:14" x14ac:dyDescent="0.25">
      <c r="A41" s="24" t="s">
        <v>12</v>
      </c>
      <c r="B41" s="8"/>
      <c r="D41" s="8"/>
      <c r="E41" s="8">
        <v>3.5000000000000003E-2</v>
      </c>
      <c r="F41" s="8">
        <f t="shared" ref="F41:N41" si="1">E41*(1+CostGrowth)</f>
        <v>3.5700000000000003E-2</v>
      </c>
      <c r="G41" s="8">
        <f t="shared" si="1"/>
        <v>3.6414000000000002E-2</v>
      </c>
      <c r="H41" s="8">
        <f t="shared" si="1"/>
        <v>3.714228E-2</v>
      </c>
      <c r="I41" s="8">
        <f t="shared" si="1"/>
        <v>3.78851256E-2</v>
      </c>
      <c r="J41" s="8">
        <f t="shared" si="1"/>
        <v>3.8642828112000004E-2</v>
      </c>
      <c r="K41" s="8">
        <f t="shared" si="1"/>
        <v>3.9415684674240004E-2</v>
      </c>
      <c r="L41" s="8">
        <f t="shared" si="1"/>
        <v>4.0203998367724807E-2</v>
      </c>
      <c r="M41" s="8">
        <f t="shared" si="1"/>
        <v>4.1008078335079301E-2</v>
      </c>
      <c r="N41" s="8">
        <f t="shared" si="1"/>
        <v>4.1828239901780889E-2</v>
      </c>
    </row>
    <row r="42" spans="1:14" x14ac:dyDescent="0.25">
      <c r="A42" s="24" t="s">
        <v>13</v>
      </c>
      <c r="B42" s="5"/>
      <c r="D42" s="5"/>
      <c r="E42" s="5">
        <f>-D48</f>
        <v>58412150</v>
      </c>
      <c r="F42" s="5">
        <f t="shared" ref="F42:N42" si="2">E42*(1+CostGrowth)</f>
        <v>59580393</v>
      </c>
      <c r="G42" s="5">
        <f t="shared" si="2"/>
        <v>60772000.859999999</v>
      </c>
      <c r="H42" s="5">
        <f t="shared" si="2"/>
        <v>61987440.8772</v>
      </c>
      <c r="I42" s="5">
        <f t="shared" si="2"/>
        <v>63227189.694743998</v>
      </c>
      <c r="J42" s="5">
        <f t="shared" si="2"/>
        <v>64491733.488638878</v>
      </c>
      <c r="K42" s="5">
        <f t="shared" si="2"/>
        <v>65781568.158411659</v>
      </c>
      <c r="L42" s="5">
        <f t="shared" si="2"/>
        <v>67097199.521579891</v>
      </c>
      <c r="M42" s="5">
        <f t="shared" si="2"/>
        <v>68439143.512011483</v>
      </c>
      <c r="N42" s="5">
        <f t="shared" si="2"/>
        <v>69807926.38225171</v>
      </c>
    </row>
    <row r="43" spans="1:14" x14ac:dyDescent="0.25">
      <c r="A43" s="2"/>
      <c r="B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spans="1:14" x14ac:dyDescent="0.25">
      <c r="A44" s="3" t="s">
        <v>8</v>
      </c>
      <c r="B44" s="22">
        <f>SUM(B30,B33,B36,B39,B40)</f>
        <v>-1983771</v>
      </c>
      <c r="D44" s="22">
        <f t="shared" ref="D44:N44" si="3">SUM(D30,D33,D36,D39,D40)</f>
        <v>-450000</v>
      </c>
      <c r="E44" s="22">
        <f t="shared" si="3"/>
        <v>-4263695.25</v>
      </c>
      <c r="F44" s="22">
        <f t="shared" si="3"/>
        <v>-4220958.4701000005</v>
      </c>
      <c r="G44" s="22">
        <f t="shared" si="3"/>
        <v>-4326906.56921604</v>
      </c>
      <c r="H44" s="22">
        <f t="shared" si="3"/>
        <v>-4470762.8888274077</v>
      </c>
      <c r="I44" s="22">
        <f t="shared" si="3"/>
        <v>-3757483.4171933122</v>
      </c>
      <c r="J44" s="22">
        <f t="shared" si="3"/>
        <v>-3869047.0779272169</v>
      </c>
      <c r="K44" s="22">
        <f t="shared" si="3"/>
        <v>-3984193.6022300133</v>
      </c>
      <c r="L44" s="22">
        <f t="shared" si="3"/>
        <v>-4103043.2748764716</v>
      </c>
      <c r="M44" s="22">
        <f t="shared" si="3"/>
        <v>-4225720.4520506496</v>
      </c>
      <c r="N44" s="22">
        <f t="shared" si="3"/>
        <v>-4352353.6951270467</v>
      </c>
    </row>
    <row r="45" spans="1:14" x14ac:dyDescent="0.25"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3" t="s">
        <v>9</v>
      </c>
      <c r="B46" s="18">
        <f>SUM(B28,B44)</f>
        <v>3504729</v>
      </c>
      <c r="D46" s="18">
        <f>SUM(D28,D44)</f>
        <v>-450000</v>
      </c>
      <c r="E46" s="18">
        <f>SUM(E28,E44)</f>
        <v>1898064.75</v>
      </c>
      <c r="F46" s="18">
        <f>SUM(F28,F44)</f>
        <v>4072210.3298999993</v>
      </c>
      <c r="G46" s="18">
        <f>SUM(G28,G44)</f>
        <v>5060254.7107839594</v>
      </c>
      <c r="H46" s="18">
        <f>SUM(H28,H44)</f>
        <v>5385756.4551725928</v>
      </c>
      <c r="I46" s="18">
        <f>SUM(I28,I44)</f>
        <v>6591861.8940066881</v>
      </c>
      <c r="J46" s="18">
        <f>SUM(J28,J44)</f>
        <v>6997765.4988327846</v>
      </c>
      <c r="K46" s="18">
        <f>SUM(K28,K44)</f>
        <v>7425959.603367989</v>
      </c>
      <c r="L46" s="18">
        <f>SUM(L28,L44)</f>
        <v>7877617.5910014305</v>
      </c>
      <c r="M46" s="18">
        <f>SUM(M28,M44)</f>
        <v>8353973.4571211515</v>
      </c>
      <c r="N46" s="18">
        <f>SUM(N28,N44)</f>
        <v>8856324.9095033407</v>
      </c>
    </row>
    <row r="47" spans="1:14" x14ac:dyDescent="0.25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t="s">
        <v>40</v>
      </c>
      <c r="B48" s="19">
        <v>-1000</v>
      </c>
      <c r="D48" s="19">
        <f>-PurchasePrice</f>
        <v>-58412150</v>
      </c>
      <c r="E48" s="19">
        <f>IF(HoldingPeriod=E16,SellPrice,0)</f>
        <v>0</v>
      </c>
      <c r="F48" s="19">
        <f>IF(HoldingPeriod=F16,SellPrice,0)</f>
        <v>0</v>
      </c>
      <c r="G48" s="19">
        <f>IF(HoldingPeriod=G16,SellPrice,0)</f>
        <v>0</v>
      </c>
      <c r="H48" s="19">
        <f>IF(HoldingPeriod=H16,SellPrice,0)</f>
        <v>0</v>
      </c>
      <c r="I48" s="19">
        <f>IF(HoldingPeriod=I16,SellPrice,0)</f>
        <v>0</v>
      </c>
      <c r="J48" s="19">
        <f>IF(HoldingPeriod=J16,SellPrice,0)</f>
        <v>0</v>
      </c>
      <c r="K48" s="19">
        <f>IF(HoldingPeriod=K16,SellPrice,0)</f>
        <v>0</v>
      </c>
      <c r="L48" s="19">
        <f>IF(HoldingPeriod=L16,SellPrice,0)</f>
        <v>0</v>
      </c>
      <c r="M48" s="19">
        <f>IF(HoldingPeriod=M16,SellPrice,0)</f>
        <v>0</v>
      </c>
      <c r="N48" s="19">
        <f>IF(HoldingPeriod=N16,SellPrice,0)</f>
        <v>177126498.19006681</v>
      </c>
    </row>
    <row r="49" spans="1:14" x14ac:dyDescent="0.25">
      <c r="A49" t="s">
        <v>10</v>
      </c>
      <c r="B49" s="19">
        <v>-273180</v>
      </c>
      <c r="D49" s="52">
        <v>-3500000</v>
      </c>
      <c r="E49" s="52"/>
      <c r="F49" s="19">
        <v>0</v>
      </c>
      <c r="G49" s="19">
        <v>0</v>
      </c>
      <c r="H49" s="52">
        <v>-600000</v>
      </c>
      <c r="I49" s="19">
        <v>0</v>
      </c>
      <c r="J49" s="19">
        <v>0</v>
      </c>
      <c r="K49" s="52">
        <v>-1000000</v>
      </c>
      <c r="L49" s="19">
        <v>0</v>
      </c>
      <c r="M49" s="19">
        <v>0</v>
      </c>
      <c r="N49" s="52">
        <v>-1400000</v>
      </c>
    </row>
    <row r="50" spans="1:14" x14ac:dyDescent="0.25">
      <c r="B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5">
      <c r="A51" s="3" t="s">
        <v>11</v>
      </c>
      <c r="B51" s="18">
        <f>SUM(B48:B49)</f>
        <v>-274180</v>
      </c>
      <c r="D51" s="18">
        <f>SUM(D48,D49)</f>
        <v>-61912150</v>
      </c>
      <c r="E51" s="18">
        <f>SUM(E48,E49)</f>
        <v>0</v>
      </c>
      <c r="F51" s="18">
        <f t="shared" ref="D51:N51" si="4">SUM(F48:F49)</f>
        <v>0</v>
      </c>
      <c r="G51" s="18">
        <f t="shared" si="4"/>
        <v>0</v>
      </c>
      <c r="H51" s="18">
        <f t="shared" si="4"/>
        <v>-600000</v>
      </c>
      <c r="I51" s="18">
        <f t="shared" si="4"/>
        <v>0</v>
      </c>
      <c r="J51" s="18">
        <f t="shared" si="4"/>
        <v>0</v>
      </c>
      <c r="K51" s="18">
        <f t="shared" si="4"/>
        <v>-1000000</v>
      </c>
      <c r="L51" s="18">
        <f t="shared" si="4"/>
        <v>0</v>
      </c>
      <c r="M51" s="18">
        <f t="shared" si="4"/>
        <v>0</v>
      </c>
      <c r="N51" s="18">
        <f t="shared" si="4"/>
        <v>175726498.19006681</v>
      </c>
    </row>
    <row r="52" spans="1:14" x14ac:dyDescent="0.25"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3" t="s">
        <v>19</v>
      </c>
      <c r="B53" s="18">
        <f>SUM(B46,B51)</f>
        <v>3230549</v>
      </c>
      <c r="C53" s="30"/>
      <c r="D53" s="18">
        <f>SUM(D46,D51)</f>
        <v>-62362150</v>
      </c>
      <c r="E53" s="18">
        <f t="shared" ref="D53:N53" si="5">SUM(E46,E51)</f>
        <v>1898064.75</v>
      </c>
      <c r="F53" s="18">
        <f t="shared" si="5"/>
        <v>4072210.3298999993</v>
      </c>
      <c r="G53" s="18">
        <f t="shared" si="5"/>
        <v>5060254.7107839594</v>
      </c>
      <c r="H53" s="18">
        <f t="shared" si="5"/>
        <v>4785756.4551725928</v>
      </c>
      <c r="I53" s="18">
        <f t="shared" si="5"/>
        <v>6591861.8940066881</v>
      </c>
      <c r="J53" s="18">
        <f t="shared" si="5"/>
        <v>6997765.4988327846</v>
      </c>
      <c r="K53" s="18">
        <f t="shared" si="5"/>
        <v>6425959.603367989</v>
      </c>
      <c r="L53" s="18">
        <f t="shared" si="5"/>
        <v>7877617.5910014305</v>
      </c>
      <c r="M53" s="18">
        <f t="shared" si="5"/>
        <v>8353973.4571211515</v>
      </c>
      <c r="N53" s="18">
        <f t="shared" si="5"/>
        <v>184582823.09957016</v>
      </c>
    </row>
    <row r="57" spans="1:14" x14ac:dyDescent="0.25">
      <c r="B57"/>
      <c r="N57" s="9"/>
    </row>
    <row r="58" spans="1:14" x14ac:dyDescent="0.25">
      <c r="B58"/>
    </row>
    <row r="59" spans="1:14" x14ac:dyDescent="0.25">
      <c r="B59"/>
    </row>
    <row r="60" spans="1:14" x14ac:dyDescent="0.25">
      <c r="B60"/>
    </row>
    <row r="61" spans="1:14" x14ac:dyDescent="0.25">
      <c r="B61"/>
    </row>
    <row r="62" spans="1:14" x14ac:dyDescent="0.25">
      <c r="B62"/>
    </row>
    <row r="63" spans="1:14" x14ac:dyDescent="0.25">
      <c r="B63"/>
    </row>
    <row r="64" spans="1:14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90" spans="4:4" x14ac:dyDescent="0.25">
      <c r="D90">
        <v>2300</v>
      </c>
    </row>
  </sheetData>
  <scenarios current="0" show="0" sqref="N46">
    <scenario name="Expected Rent" locked="1" count="2" user="Nick Edwards" comment="The expected rent and rent growth assumptions.">
      <inputCells r="B11" val="0.05" numFmtId="10"/>
      <inputCells r="D61" undone="1" val="2300" numFmtId="165"/>
    </scenario>
    <scenario name="High Rent" locked="1" count="2" user="Nick Edwards" comment="Higher than expected rent and rent growth assumptions.">
      <inputCells r="B11" val="0.08" numFmtId="10"/>
      <inputCells r="D61" undone="1" val="2500" numFmtId="165"/>
    </scenario>
  </scenarios>
  <dataValidations count="1">
    <dataValidation type="whole" allowBlank="1" showInputMessage="1" showErrorMessage="1" sqref="F6" xr:uid="{4ED3CCB3-79ED-46A4-8821-0D4229049CCE}">
      <formula1>1</formula1>
      <formula2>10</formula2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887A-0F69-4B45-8E2E-727D652DF0C9}">
  <dimension ref="A1:P60"/>
  <sheetViews>
    <sheetView showGridLines="0" workbookViewId="0">
      <selection activeCell="E10" sqref="E10"/>
    </sheetView>
  </sheetViews>
  <sheetFormatPr defaultRowHeight="15" x14ac:dyDescent="0.25"/>
  <cols>
    <col min="1" max="1" width="18.85546875" bestFit="1" customWidth="1"/>
    <col min="2" max="2" width="16.42578125" bestFit="1" customWidth="1"/>
    <col min="3" max="3" width="13.42578125" customWidth="1"/>
    <col min="4" max="4" width="10.5703125" bestFit="1" customWidth="1"/>
    <col min="5" max="5" width="19" bestFit="1" customWidth="1"/>
    <col min="6" max="6" width="11.140625" style="12" bestFit="1" customWidth="1"/>
    <col min="7" max="7" width="15.42578125" style="12" bestFit="1" customWidth="1"/>
    <col min="8" max="12" width="10.5703125" bestFit="1" customWidth="1"/>
  </cols>
  <sheetData>
    <row r="1" spans="1:16" x14ac:dyDescent="0.25">
      <c r="A1" s="34" t="s">
        <v>44</v>
      </c>
      <c r="B1" s="34"/>
      <c r="C1" s="34"/>
      <c r="E1" s="34" t="s">
        <v>43</v>
      </c>
      <c r="F1" s="34"/>
      <c r="G1" s="34"/>
    </row>
    <row r="2" spans="1:16" x14ac:dyDescent="0.25">
      <c r="A2" t="s">
        <v>54</v>
      </c>
      <c r="C2" s="53">
        <f>Model!J5</f>
        <v>0.16500000000000001</v>
      </c>
      <c r="E2" t="s">
        <v>54</v>
      </c>
      <c r="F2" s="38"/>
      <c r="G2" s="43">
        <f>Model!J5</f>
        <v>0.16500000000000001</v>
      </c>
    </row>
    <row r="3" spans="1:16" x14ac:dyDescent="0.25">
      <c r="A3" t="s">
        <v>55</v>
      </c>
      <c r="C3" s="54">
        <f>HoldingPeriod</f>
        <v>10</v>
      </c>
      <c r="E3" t="s">
        <v>55</v>
      </c>
      <c r="F3" s="38"/>
      <c r="G3" s="44">
        <f>HoldingPeriod</f>
        <v>10</v>
      </c>
    </row>
    <row r="4" spans="1:16" x14ac:dyDescent="0.25">
      <c r="A4" t="s">
        <v>48</v>
      </c>
      <c r="C4" s="55">
        <f>Model!J2</f>
        <v>61912150</v>
      </c>
      <c r="E4" t="s">
        <v>51</v>
      </c>
      <c r="F4" s="39"/>
      <c r="G4" s="44">
        <f>Model!J3</f>
        <v>174284137.38975674</v>
      </c>
    </row>
    <row r="5" spans="1:16" x14ac:dyDescent="0.25">
      <c r="A5" t="s">
        <v>51</v>
      </c>
      <c r="C5" s="16">
        <f>FV(C2,C3,,-C4)</f>
        <v>285124895.73863202</v>
      </c>
      <c r="E5" t="s">
        <v>48</v>
      </c>
      <c r="F5" s="40"/>
      <c r="G5" s="16">
        <f>-PV(G2,G3,,G4)</f>
        <v>37844137.141172245</v>
      </c>
    </row>
    <row r="6" spans="1:16" x14ac:dyDescent="0.25">
      <c r="B6" s="12"/>
      <c r="C6" s="12"/>
      <c r="G6" s="16"/>
    </row>
    <row r="7" spans="1:16" x14ac:dyDescent="0.25">
      <c r="B7" s="12"/>
      <c r="C7" s="12"/>
    </row>
    <row r="8" spans="1:16" x14ac:dyDescent="0.25">
      <c r="B8" s="12"/>
      <c r="C8" s="12"/>
    </row>
    <row r="9" spans="1:16" x14ac:dyDescent="0.25">
      <c r="B9" s="12"/>
      <c r="C9" s="12"/>
    </row>
    <row r="10" spans="1:16" x14ac:dyDescent="0.25">
      <c r="B10" s="12"/>
      <c r="C10" s="12"/>
    </row>
    <row r="11" spans="1:16" x14ac:dyDescent="0.25">
      <c r="B11" s="12"/>
      <c r="C11" s="12"/>
    </row>
    <row r="12" spans="1:16" x14ac:dyDescent="0.25">
      <c r="B12" s="12"/>
      <c r="C12" s="12"/>
    </row>
    <row r="13" spans="1:16" x14ac:dyDescent="0.25">
      <c r="B13" s="12"/>
      <c r="C13" s="12"/>
    </row>
    <row r="14" spans="1:16" x14ac:dyDescent="0.25">
      <c r="B14" s="12"/>
      <c r="C14" s="12"/>
    </row>
    <row r="15" spans="1:16" x14ac:dyDescent="0.25">
      <c r="N15" s="12"/>
      <c r="O15" s="12"/>
      <c r="P15" s="12"/>
    </row>
    <row r="60" spans="1:1" x14ac:dyDescent="0.25">
      <c r="A60" s="51" t="s">
        <v>56</v>
      </c>
    </row>
  </sheetData>
  <hyperlinks>
    <hyperlink ref="A60" r:id="rId1" xr:uid="{D82C7C34-56C6-40F6-861C-D169EA8D86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Model</vt:lpstr>
      <vt:lpstr>Time-Value Analysis</vt:lpstr>
      <vt:lpstr>AcquisitionCapRate</vt:lpstr>
      <vt:lpstr>CostGrowth</vt:lpstr>
      <vt:lpstr>ExitCapRate</vt:lpstr>
      <vt:lpstr>HoldingPeriod</vt:lpstr>
      <vt:lpstr>PresentValue</vt:lpstr>
      <vt:lpstr>PurchasePrice</vt:lpstr>
      <vt:lpstr>RentGrowth</vt:lpstr>
      <vt:lpstr>SellPrice</vt:lpstr>
      <vt:lpstr>StartingRent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JOHNBOSCO OBI</cp:lastModifiedBy>
  <dcterms:created xsi:type="dcterms:W3CDTF">2023-09-18T02:06:14Z</dcterms:created>
  <dcterms:modified xsi:type="dcterms:W3CDTF">2025-05-17T07:53:37Z</dcterms:modified>
</cp:coreProperties>
</file>