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Desktop\School\519\"/>
    </mc:Choice>
  </mc:AlternateContent>
  <xr:revisionPtr revIDLastSave="0" documentId="13_ncr:1_{AE88D359-111D-450F-A96E-FDC1EDA3B672}" xr6:coauthVersionLast="47" xr6:coauthVersionMax="47" xr10:uidLastSave="{00000000-0000-0000-0000-000000000000}"/>
  <bookViews>
    <workbookView xWindow="-108" yWindow="-108" windowWidth="23256" windowHeight="12576" xr2:uid="{F6D5B8F5-3379-4786-84C1-5A4A0AD0DC4E}"/>
  </bookViews>
  <sheets>
    <sheet name="Orbit and Input" sheetId="1" r:id="rId1"/>
    <sheet name="Launch Azimuth Calculation" sheetId="2" r:id="rId2"/>
    <sheet name="Time Of Flight" sheetId="3" r:id="rId3"/>
    <sheet name="Impact Point On Burnout" sheetId="5" r:id="rId4"/>
  </sheets>
  <definedNames>
    <definedName name="ApogeeRadius">'Time Of Flight'!$C$6</definedName>
    <definedName name="Case1Angle">'Impact Point On Burnout'!$D$5</definedName>
    <definedName name="Case1Velocity">'Impact Point On Burnout'!$D$4</definedName>
    <definedName name="Case2Altitude">'Impact Point On Burnout'!$E$3</definedName>
    <definedName name="Case2Angle">'Impact Point On Burnout'!$E$5</definedName>
    <definedName name="Case2Burnout">'Impact Point On Burnout'!$E$6</definedName>
    <definedName name="Case2Velocity">'Impact Point On Burnout'!$E$4</definedName>
    <definedName name="Case3Altitude">'Impact Point On Burnout'!$F$3</definedName>
    <definedName name="Case3Angle">'Impact Point On Burnout'!$F$5</definedName>
    <definedName name="Case3Burnout">'Impact Point On Burnout'!$F$6</definedName>
    <definedName name="Case3Velocity">'Impact Point On Burnout'!$F$4</definedName>
    <definedName name="Case4Altitude">'Impact Point On Burnout'!$G$3</definedName>
    <definedName name="Case4Angle">'Impact Point On Burnout'!$G$5</definedName>
    <definedName name="Case4Burnout">'Impact Point On Burnout'!$G$6</definedName>
    <definedName name="Case4Velocity">'Impact Point On Burnout'!$G$4</definedName>
    <definedName name="DeltaV">'Orbit and Input'!$D$31</definedName>
    <definedName name="E1Deg">'Time Of Flight'!$G$5</definedName>
    <definedName name="E1Rad">'Time Of Flight'!$G$5</definedName>
    <definedName name="E2Deg">'Time Of Flight'!$G$6</definedName>
    <definedName name="E2Rad">'Time Of Flight'!$G$6</definedName>
    <definedName name="EarthMass">'Orbit and Input'!$F$5</definedName>
    <definedName name="EarthRadius">'Orbit and Input'!$H$5</definedName>
    <definedName name="EarthVelocity">'Launch Azimuth Calculation'!$C$13</definedName>
    <definedName name="eccentricity">'Time Of Flight'!$G$4</definedName>
    <definedName name="Eccentricity1">'Orbit and Input'!$F$8</definedName>
    <definedName name="Eccentricity2">'Orbit and Input'!$F$11</definedName>
    <definedName name="EccentricityT">'Orbit and Input'!$F$15</definedName>
    <definedName name="Edeg1">'Time Of Flight'!$G$5</definedName>
    <definedName name="Energy1">'Orbit and Input'!$I$7</definedName>
    <definedName name="Energy2">'Orbit and Input'!$I$10</definedName>
    <definedName name="EnergyT">'Orbit and Input'!$I$13</definedName>
    <definedName name="g0">'Orbit and Input'!$H$3</definedName>
    <definedName name="GravityConstant">'Orbit and Input'!$F$3</definedName>
    <definedName name="hOrb1">'Orbit and Input'!$F$9</definedName>
    <definedName name="hOrb2">'Orbit and Input'!$F$12</definedName>
    <definedName name="Incl1">'Orbit and Input'!$C$9</definedName>
    <definedName name="Incl1ΔV">'Orbit and Input'!$K$16</definedName>
    <definedName name="Incl1ΔV1">'Orbit and Input'!$K$16</definedName>
    <definedName name="Incl2">'Orbit and Input'!$C$12</definedName>
    <definedName name="Incl2ΔV">'Orbit and Input'!$K$17</definedName>
    <definedName name="IntertialAzimuth">'Launch Azimuth Calculation'!$C$7</definedName>
    <definedName name="ISP">'Orbit and Input'!$D$28</definedName>
    <definedName name="LaunchSiteLat">'Launch Azimuth Calculation'!$C$5</definedName>
    <definedName name="LaunchSiteLate">'Launch Azimuth Calculation'!$C$5</definedName>
    <definedName name="MassFinal">'Orbit and Input'!$D$30</definedName>
    <definedName name="MassInitial">'Orbit and Input'!$D$29</definedName>
    <definedName name="MinDeltaVBurn1SMAOnly">'Orbit and Input'!$Q$20</definedName>
    <definedName name="MinDeltaVBurn2SMAOnly">'Orbit and Input'!$Q$22</definedName>
    <definedName name="mu">'Orbit and Input'!$F$4</definedName>
    <definedName name="Orb1aAltitude">'Orbit and Input'!$D$8</definedName>
    <definedName name="Orb1ApogeeVelocity">'Orbit and Input'!$K$8</definedName>
    <definedName name="Orb1aRadius">'Orbit and Input'!$C$14</definedName>
    <definedName name="Orb1aRadius1">'Orbit and Input'!$C$8</definedName>
    <definedName name="Orb1P">'Orbit and Input'!$C$7</definedName>
    <definedName name="Orb1PAltitude">'Orbit and Input'!$D$7</definedName>
    <definedName name="Orb1PerigeeVelocity">'Orbit and Input'!$K$7</definedName>
    <definedName name="Orb1pRadius">'Orbit and Input'!$C$13</definedName>
    <definedName name="Orb1pRadius1">'Orbit and Input'!$C$7</definedName>
    <definedName name="Orb2aAltitude">'Orbit and Input'!$D$11</definedName>
    <definedName name="Orb2ApogeeVelocity">'Orbit and Input'!$K$11</definedName>
    <definedName name="Orb2aRadius">'Orbit and Input'!$C$16</definedName>
    <definedName name="Orb2aRadius1">'Orbit and Input'!$C$11</definedName>
    <definedName name="Orb2pAltitude">'Orbit and Input'!$D$10</definedName>
    <definedName name="Orb2PerigeeVelocity">'Orbit and Input'!$K$10</definedName>
    <definedName name="Orb2pRadius">'Orbit and Input'!$C$15</definedName>
    <definedName name="Orb2pRadius1">'Orbit and Input'!$C$10</definedName>
    <definedName name="OrbitIncl">'Launch Azimuth Calculation'!$C$6</definedName>
    <definedName name="OrbitRadius">'Launch Azimuth Calculation'!$C$11</definedName>
    <definedName name="PerigeeRadius">'Time Of Flight'!$C$5</definedName>
    <definedName name="Period1">'Orbit and Input'!$I$8</definedName>
    <definedName name="Period2">'Orbit and Input'!$I$11</definedName>
    <definedName name="RelativeAzimuth">'Launch Azimuth Calculation'!$C$17</definedName>
    <definedName name="RelativeVelocity">'Launch Azimuth Calculation'!$C$16</definedName>
    <definedName name="Selector">'Orbit and Input'!$D$5</definedName>
    <definedName name="SemiMA1">'Orbit and Input'!$F$7</definedName>
    <definedName name="SemiMajor1">'Orbit and Input'!$F$7</definedName>
    <definedName name="SemiMajor2">'Orbit and Input'!$F$10</definedName>
    <definedName name="SemiMajorT">'Orbit and Input'!$F$13</definedName>
    <definedName name="solver_adj" localSheetId="0" hidden="1">'Orbit and Input'!$H$35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'Orbit and Input'!$U$62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'Orbit and Input'!$H$49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'Orbit and Input'!$U$68+'Orbit and Input'!$U$77+'Orbit and Input'!$U$86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ransferOrbitAngularMomentum">'Orbit and Input'!$F$14</definedName>
    <definedName name="TransferOrbitApogeeVelocity">'Orbit and Input'!$K$14</definedName>
    <definedName name="TransferOrbPerigeeVelocity">'Orbit and Input'!$K$13</definedName>
    <definedName name="TransferPeriod">'Orbit and Input'!$I$14</definedName>
    <definedName name="TrueAnomaly1">'Time Of Flight'!$C$2</definedName>
    <definedName name="TrueAnomaly2">'Time Of Flight'!$C$3</definedName>
    <definedName name="Vinertial">'Launch Azimuth Calculation'!$C$12</definedName>
    <definedName name="VxRelative">'Launch Azimuth Calculation'!$C$14</definedName>
    <definedName name="VyRelative">'Launch Azimuth Calculation'!$C$15</definedName>
    <definedName name="ΔIncl1">'Orbit and Input'!$I$16</definedName>
    <definedName name="ΔIncl2">'Orbit and Input'!$I$17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8" i="1" l="1"/>
  <c r="H97" i="1"/>
  <c r="Q58" i="1"/>
  <c r="G7" i="3"/>
  <c r="G6" i="3"/>
  <c r="U86" i="1"/>
  <c r="U87" i="1" s="1"/>
  <c r="W85" i="1"/>
  <c r="W84" i="1"/>
  <c r="W76" i="1"/>
  <c r="W75" i="1"/>
  <c r="W68" i="1"/>
  <c r="W77" i="1"/>
  <c r="W86" i="1"/>
  <c r="W69" i="1"/>
  <c r="W70" i="1" s="1"/>
  <c r="U69" i="1"/>
  <c r="U70" i="1" s="1"/>
  <c r="U71" i="1" s="1"/>
  <c r="W87" i="1"/>
  <c r="U78" i="1"/>
  <c r="J92" i="1"/>
  <c r="H66" i="1"/>
  <c r="H62" i="1"/>
  <c r="N74" i="1"/>
  <c r="K74" i="1"/>
  <c r="W88" i="1" l="1"/>
  <c r="W78" i="1"/>
  <c r="U79" i="1"/>
  <c r="U88" i="1" s="1"/>
  <c r="U91" i="1" s="1"/>
  <c r="W72" i="1"/>
  <c r="W71" i="1"/>
  <c r="W79" i="1"/>
  <c r="W81" i="1" s="1"/>
  <c r="U72" i="1"/>
  <c r="C76" i="1"/>
  <c r="C75" i="1"/>
  <c r="C73" i="1"/>
  <c r="C72" i="1"/>
  <c r="H44" i="1"/>
  <c r="H45" i="1" s="1"/>
  <c r="H36" i="1"/>
  <c r="H37" i="1" s="1"/>
  <c r="I17" i="1"/>
  <c r="J45" i="1"/>
  <c r="Q47" i="1"/>
  <c r="G10" i="5"/>
  <c r="G12" i="5" s="1"/>
  <c r="F10" i="5"/>
  <c r="F12" i="5" s="1"/>
  <c r="E10" i="5"/>
  <c r="E12" i="5" s="1"/>
  <c r="D10" i="5"/>
  <c r="G9" i="5"/>
  <c r="F9" i="5"/>
  <c r="E9" i="5"/>
  <c r="D9" i="5"/>
  <c r="J36" i="1"/>
  <c r="J37" i="1" s="1"/>
  <c r="C7" i="3"/>
  <c r="G4" i="3"/>
  <c r="C13" i="2"/>
  <c r="C16" i="1" a="1"/>
  <c r="C16" i="1" s="1"/>
  <c r="S11" i="1" s="1"/>
  <c r="C15" i="1"/>
  <c r="S10" i="1" s="1"/>
  <c r="C14" i="1"/>
  <c r="S6" i="1" s="1"/>
  <c r="C13" i="1"/>
  <c r="S5" i="1" s="1"/>
  <c r="C12" i="2"/>
  <c r="C7" i="2"/>
  <c r="H3" i="1"/>
  <c r="D37" i="1" s="1"/>
  <c r="F3" i="1"/>
  <c r="F5" i="1"/>
  <c r="W91" i="1" l="1"/>
  <c r="W90" i="1"/>
  <c r="W89" i="1"/>
  <c r="U80" i="1"/>
  <c r="U81" i="1"/>
  <c r="W80" i="1"/>
  <c r="U90" i="1"/>
  <c r="U89" i="1"/>
  <c r="H46" i="1"/>
  <c r="H49" i="1" s="1"/>
  <c r="H39" i="1"/>
  <c r="H38" i="1"/>
  <c r="J39" i="1"/>
  <c r="J38" i="1"/>
  <c r="J46" i="1"/>
  <c r="J48" i="1" s="1"/>
  <c r="S34" i="1"/>
  <c r="S29" i="1"/>
  <c r="G11" i="5"/>
  <c r="G13" i="5" s="1"/>
  <c r="F11" i="5"/>
  <c r="F13" i="5" s="1"/>
  <c r="E11" i="5"/>
  <c r="E13" i="5" s="1"/>
  <c r="D12" i="5"/>
  <c r="D11" i="5" s="1"/>
  <c r="D13" i="5" s="1"/>
  <c r="G5" i="3"/>
  <c r="G8" i="3" s="1"/>
  <c r="C15" i="2"/>
  <c r="C14" i="2"/>
  <c r="D34" i="1"/>
  <c r="D33" i="1"/>
  <c r="D35" i="1"/>
  <c r="D36" i="1"/>
  <c r="F88" i="1" l="1"/>
  <c r="H61" i="1"/>
  <c r="H63" i="1" s="1"/>
  <c r="F89" i="1" s="1"/>
  <c r="C61" i="1"/>
  <c r="C62" i="1"/>
  <c r="H48" i="1"/>
  <c r="H47" i="1"/>
  <c r="J47" i="1"/>
  <c r="J49" i="1"/>
  <c r="E14" i="5"/>
  <c r="E18" i="5" s="1"/>
  <c r="F14" i="5"/>
  <c r="F15" i="5" s="1"/>
  <c r="F16" i="5" s="1"/>
  <c r="F17" i="5" s="1"/>
  <c r="G14" i="5"/>
  <c r="G18" i="5" s="1"/>
  <c r="D14" i="5"/>
  <c r="C17" i="2"/>
  <c r="C18" i="2" s="1"/>
  <c r="C16" i="2"/>
  <c r="C19" i="2" s="1"/>
  <c r="F8" i="1"/>
  <c r="F7" i="1"/>
  <c r="Q57" i="1" l="1"/>
  <c r="I21" i="1"/>
  <c r="I22" i="1" s="1"/>
  <c r="Q55" i="1"/>
  <c r="F20" i="5"/>
  <c r="F21" i="5" s="1"/>
  <c r="F22" i="5" s="1"/>
  <c r="E15" i="5"/>
  <c r="E16" i="5" s="1"/>
  <c r="E17" i="5" s="1"/>
  <c r="D62" i="1"/>
  <c r="E62" i="1" s="1"/>
  <c r="F73" i="1" s="1"/>
  <c r="D73" i="1" s="1"/>
  <c r="G73" i="1" s="1"/>
  <c r="H73" i="1" s="1"/>
  <c r="J85" i="1"/>
  <c r="D61" i="1"/>
  <c r="E61" i="1" s="1"/>
  <c r="F72" i="1" s="1"/>
  <c r="D72" i="1" s="1"/>
  <c r="J84" i="1"/>
  <c r="T29" i="1"/>
  <c r="C66" i="1"/>
  <c r="C65" i="1"/>
  <c r="G15" i="5"/>
  <c r="G16" i="5" s="1"/>
  <c r="G17" i="5" s="1"/>
  <c r="F18" i="5"/>
  <c r="D15" i="5"/>
  <c r="D16" i="5" s="1"/>
  <c r="D17" i="5" s="1"/>
  <c r="D18" i="5"/>
  <c r="F9" i="1"/>
  <c r="Q8" i="1" s="1"/>
  <c r="Q31" i="1" s="1"/>
  <c r="I7" i="1"/>
  <c r="Q7" i="1" s="1"/>
  <c r="Q30" i="1" s="1"/>
  <c r="I8" i="1"/>
  <c r="E73" i="1" l="1"/>
  <c r="G72" i="1"/>
  <c r="H72" i="1" s="1"/>
  <c r="K86" i="1"/>
  <c r="F23" i="5"/>
  <c r="F26" i="5"/>
  <c r="F28" i="5"/>
  <c r="D20" i="5"/>
  <c r="D21" i="5" s="1"/>
  <c r="D22" i="5" s="1"/>
  <c r="E20" i="5"/>
  <c r="E21" i="5" s="1"/>
  <c r="E22" i="5" s="1"/>
  <c r="G20" i="5"/>
  <c r="G21" i="5" s="1"/>
  <c r="G22" i="5" s="1"/>
  <c r="D65" i="1"/>
  <c r="E65" i="1" s="1"/>
  <c r="F75" i="1" s="1"/>
  <c r="D75" i="1" s="1"/>
  <c r="G75" i="1" s="1"/>
  <c r="F84" i="1"/>
  <c r="D66" i="1"/>
  <c r="E66" i="1" s="1"/>
  <c r="F76" i="1" s="1"/>
  <c r="D76" i="1" s="1"/>
  <c r="G76" i="1" s="1"/>
  <c r="F85" i="1"/>
  <c r="E72" i="1"/>
  <c r="Q9" i="1"/>
  <c r="Q32" i="1" s="1"/>
  <c r="K8" i="1"/>
  <c r="Q6" i="1" s="1"/>
  <c r="Q29" i="1" s="1"/>
  <c r="K7" i="1"/>
  <c r="F10" i="1"/>
  <c r="Q56" i="1" s="1"/>
  <c r="F11" i="1"/>
  <c r="F15" i="1"/>
  <c r="F13" i="1"/>
  <c r="I14" i="1" s="1"/>
  <c r="Q19" i="1" s="1"/>
  <c r="G86" i="1" l="1"/>
  <c r="H74" i="1"/>
  <c r="H95" i="1" s="1"/>
  <c r="E75" i="1"/>
  <c r="G23" i="5"/>
  <c r="G26" i="5"/>
  <c r="G28" i="5"/>
  <c r="E23" i="5"/>
  <c r="E26" i="5"/>
  <c r="E28" i="5"/>
  <c r="D23" i="5"/>
  <c r="D26" i="5"/>
  <c r="D28" i="5"/>
  <c r="F25" i="5"/>
  <c r="F30" i="5" s="1"/>
  <c r="F24" i="5"/>
  <c r="F29" i="5" s="1"/>
  <c r="H76" i="1"/>
  <c r="E76" i="1"/>
  <c r="H75" i="1"/>
  <c r="I11" i="1"/>
  <c r="Q14" i="1" s="1"/>
  <c r="Q37" i="1" s="1"/>
  <c r="T34" i="1"/>
  <c r="Q5" i="1"/>
  <c r="I13" i="1"/>
  <c r="Q17" i="1" s="1"/>
  <c r="I10" i="1"/>
  <c r="Q12" i="1" s="1"/>
  <c r="Q35" i="1" s="1"/>
  <c r="F14" i="1"/>
  <c r="Q18" i="1" s="1"/>
  <c r="F12" i="1"/>
  <c r="Q13" i="1" s="1"/>
  <c r="Q36" i="1" s="1"/>
  <c r="I74" i="1" l="1"/>
  <c r="J86" i="1"/>
  <c r="H77" i="1"/>
  <c r="H96" i="1" s="1"/>
  <c r="E25" i="5"/>
  <c r="E30" i="5" s="1"/>
  <c r="E24" i="5"/>
  <c r="E29" i="5" s="1"/>
  <c r="G25" i="5"/>
  <c r="G30" i="5" s="1"/>
  <c r="G24" i="5"/>
  <c r="G29" i="5" s="1"/>
  <c r="D25" i="5"/>
  <c r="D30" i="5" s="1"/>
  <c r="D24" i="5"/>
  <c r="D29" i="5" s="1"/>
  <c r="Q28" i="1"/>
  <c r="Q38" i="1" s="1"/>
  <c r="Q48" i="1" s="1"/>
  <c r="K11" i="1"/>
  <c r="K10" i="1"/>
  <c r="Q10" i="1" s="1"/>
  <c r="Q33" i="1" s="1"/>
  <c r="K14" i="1"/>
  <c r="K13" i="1"/>
  <c r="I77" i="1" l="1"/>
  <c r="F86" i="1"/>
  <c r="H94" i="1" s="1"/>
  <c r="Q23" i="1"/>
  <c r="Q15" i="1"/>
  <c r="Q21" i="1"/>
  <c r="Q40" i="1"/>
  <c r="Q39" i="1"/>
  <c r="Q41" i="1" s="1"/>
  <c r="Q42" i="1" s="1"/>
  <c r="K16" i="1"/>
  <c r="Q16" i="1"/>
  <c r="K17" i="1"/>
  <c r="Q11" i="1"/>
  <c r="Q34" i="1" s="1"/>
  <c r="Q22" i="1"/>
  <c r="Q20" i="1"/>
  <c r="Q49" i="1" l="1"/>
  <c r="Q50" i="1" s="1"/>
  <c r="S43" i="1"/>
  <c r="Q43" i="1"/>
  <c r="R43" i="1" s="1"/>
  <c r="Q25" i="1"/>
  <c r="Q24" i="1"/>
  <c r="Q52" i="1" l="1"/>
  <c r="Q54" i="1" s="1"/>
  <c r="Q51" i="1"/>
  <c r="Q53" i="1" s="1"/>
  <c r="Q44" i="1"/>
  <c r="Q45" i="1" s="1"/>
  <c r="Q46" i="1" s="1"/>
  <c r="S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<sst xmlns="http://schemas.openxmlformats.org/spreadsheetml/2006/main" count="523" uniqueCount="244">
  <si>
    <t>Orb1P</t>
  </si>
  <si>
    <t>Orb1A</t>
  </si>
  <si>
    <t>Incl1</t>
  </si>
  <si>
    <t>Orb2p</t>
  </si>
  <si>
    <t>Orb2A</t>
  </si>
  <si>
    <t>Incl2</t>
  </si>
  <si>
    <t>Altitude (km)</t>
  </si>
  <si>
    <t>Radius (km)</t>
  </si>
  <si>
    <t>SMA1</t>
  </si>
  <si>
    <t>Ecc1</t>
  </si>
  <si>
    <t>hOrb1</t>
  </si>
  <si>
    <t>SMA2</t>
  </si>
  <si>
    <t>Ecc2</t>
  </si>
  <si>
    <t>hOrb2</t>
  </si>
  <si>
    <t>SMAT</t>
  </si>
  <si>
    <t>hOrbT</t>
  </si>
  <si>
    <t>Ener1</t>
  </si>
  <si>
    <t>Per1</t>
  </si>
  <si>
    <t>Ener2</t>
  </si>
  <si>
    <t>Per2</t>
  </si>
  <si>
    <t>EnerT</t>
  </si>
  <si>
    <t>PerT</t>
  </si>
  <si>
    <t>Velocities</t>
  </si>
  <si>
    <t>km/s</t>
  </si>
  <si>
    <t>mu</t>
  </si>
  <si>
    <t>km^2/sec</t>
  </si>
  <si>
    <t>sec</t>
  </si>
  <si>
    <t>Periapsis Velocity</t>
  </si>
  <si>
    <t>Apopapsis Velocity</t>
  </si>
  <si>
    <t>EarthMass</t>
  </si>
  <si>
    <t>Gravity Const</t>
  </si>
  <si>
    <t>EccT</t>
  </si>
  <si>
    <t>km</t>
  </si>
  <si>
    <t>Input Values</t>
  </si>
  <si>
    <t>ISP</t>
  </si>
  <si>
    <t>Mass Init</t>
  </si>
  <si>
    <t>Mass Final</t>
  </si>
  <si>
    <t>Delta V</t>
  </si>
  <si>
    <t>kg</t>
  </si>
  <si>
    <t>m/s</t>
  </si>
  <si>
    <t>Output</t>
  </si>
  <si>
    <t>Use 3 Inputs</t>
  </si>
  <si>
    <t>Mass init</t>
  </si>
  <si>
    <t>Prop Used</t>
  </si>
  <si>
    <t>g_0</t>
  </si>
  <si>
    <t>Launch Azimuth Calculation</t>
  </si>
  <si>
    <t>Simple Launch Azimuth</t>
  </si>
  <si>
    <t>Launch Site Latitude</t>
  </si>
  <si>
    <t>Orbit Inclination</t>
  </si>
  <si>
    <t>Inertial Azimuth</t>
  </si>
  <si>
    <t>deg</t>
  </si>
  <si>
    <t>Real Launch Azimuth</t>
  </si>
  <si>
    <t>Orbit Radius</t>
  </si>
  <si>
    <t>Vx Relative</t>
  </si>
  <si>
    <t>Vy Relative</t>
  </si>
  <si>
    <t>Relative Velocity</t>
  </si>
  <si>
    <t>Relative Azimuth</t>
  </si>
  <si>
    <t>Delta Azimuth</t>
  </si>
  <si>
    <t>Delta V Savings</t>
  </si>
  <si>
    <t>Injection Inertial Velocity</t>
  </si>
  <si>
    <t>Earth Velocity</t>
  </si>
  <si>
    <t>Co-Apsidal Hohman</t>
  </si>
  <si>
    <t>Initial Orbit Energy</t>
  </si>
  <si>
    <t>Initial Orbit Angular Momentum</t>
  </si>
  <si>
    <t>Initial Orbit Period</t>
  </si>
  <si>
    <t>Initial Orbit Perigee Velocity</t>
  </si>
  <si>
    <t>Initial Orbit Apogee Velocity</t>
  </si>
  <si>
    <t>K^2/s^2</t>
  </si>
  <si>
    <t>K^2/s</t>
  </si>
  <si>
    <t>min</t>
  </si>
  <si>
    <t>Radii</t>
  </si>
  <si>
    <t>Final Orbit Perigee Velocity</t>
  </si>
  <si>
    <t>Final Orbit Apogee Velocity</t>
  </si>
  <si>
    <t>Final Orbit Energy</t>
  </si>
  <si>
    <t>Final Orbit Angular Momentum</t>
  </si>
  <si>
    <t>Final Orbit Period</t>
  </si>
  <si>
    <t>Transfer Orbit Perigee Velocity</t>
  </si>
  <si>
    <t>Transfer Orbit Apogee Velocity</t>
  </si>
  <si>
    <t>Transfer Orbit Energy</t>
  </si>
  <si>
    <t>Transfer Orbit Angular Momentum</t>
  </si>
  <si>
    <t>Transfer Orbit Time of Flight</t>
  </si>
  <si>
    <t>Min Delta V Burn 1 SMA only</t>
  </si>
  <si>
    <t>Min Delta V Burn 2 SMA only</t>
  </si>
  <si>
    <t>Total Delta V SMA only</t>
  </si>
  <si>
    <t>input fields</t>
  </si>
  <si>
    <t>Calculated Radius</t>
  </si>
  <si>
    <t>ΔIncl2</t>
  </si>
  <si>
    <t>ΔIncl1</t>
  </si>
  <si>
    <t>Min Delta V w/ΔIncl2</t>
  </si>
  <si>
    <t>Min Delta V w/ΔIncl1</t>
  </si>
  <si>
    <t>Total Delta V w/Δincl</t>
  </si>
  <si>
    <t>Transfer Perigee</t>
  </si>
  <si>
    <t>Transfer Apogee</t>
  </si>
  <si>
    <t>True Anomaly 1</t>
  </si>
  <si>
    <t>True Anomaly 2</t>
  </si>
  <si>
    <t>Perigee Radius</t>
  </si>
  <si>
    <t>Apogee Radius</t>
  </si>
  <si>
    <t>Eccentricity</t>
  </si>
  <si>
    <t>E1</t>
  </si>
  <si>
    <t>E2</t>
  </si>
  <si>
    <t>Δ t</t>
  </si>
  <si>
    <t>Semi Major Axis</t>
  </si>
  <si>
    <t>rad</t>
  </si>
  <si>
    <t>hrs</t>
  </si>
  <si>
    <t>Calculates time of flight between two points on an eliptical orbit</t>
  </si>
  <si>
    <t>Different MF</t>
  </si>
  <si>
    <t>Identical Stages</t>
  </si>
  <si>
    <t>Total Delta V</t>
  </si>
  <si>
    <t>Payload</t>
  </si>
  <si>
    <t>Stage 2</t>
  </si>
  <si>
    <t>MF</t>
  </si>
  <si>
    <t>Mass Ratio</t>
  </si>
  <si>
    <t>Total Mass</t>
  </si>
  <si>
    <t>Prop Mass</t>
  </si>
  <si>
    <t>Dry Mass</t>
  </si>
  <si>
    <t>Initial Conditions</t>
  </si>
  <si>
    <t>Units</t>
  </si>
  <si>
    <t>Case 1</t>
  </si>
  <si>
    <t>Case 2</t>
  </si>
  <si>
    <t>Case 3</t>
  </si>
  <si>
    <t>Case 4</t>
  </si>
  <si>
    <t>Altitude</t>
  </si>
  <si>
    <t>Velocity</t>
  </si>
  <si>
    <t>Angle</t>
  </si>
  <si>
    <t>Downrange at Burnout</t>
  </si>
  <si>
    <t>Results</t>
  </si>
  <si>
    <t>Horizontal Velocity</t>
  </si>
  <si>
    <t>Vertical Velocity</t>
  </si>
  <si>
    <t>Max Increase in Height</t>
  </si>
  <si>
    <t>Time to Max Height</t>
  </si>
  <si>
    <t>Distance to Ground</t>
  </si>
  <si>
    <t>Time to Ground</t>
  </si>
  <si>
    <t>Horizontal Distance</t>
  </si>
  <si>
    <t>Total DwnRng (Ls to Impact)</t>
  </si>
  <si>
    <t>Vacuum Impact Velocity</t>
  </si>
  <si>
    <t>With Earth Curve Correction</t>
  </si>
  <si>
    <t>Height Error</t>
  </si>
  <si>
    <t>Total Time burnout to Impact</t>
  </si>
  <si>
    <t>Delta Descent Time</t>
  </si>
  <si>
    <t>Delta Down Range</t>
  </si>
  <si>
    <t>Percent Down Range Change</t>
  </si>
  <si>
    <t>m/sec</t>
  </si>
  <si>
    <t>secs</t>
  </si>
  <si>
    <t>%</t>
  </si>
  <si>
    <t>Non-Hohmann 2nd Burn, Given Burn1 (perigee) Δvelocity</t>
  </si>
  <si>
    <t>Initiail Orbit Period</t>
  </si>
  <si>
    <t>Final orbit Angular Momentum</t>
  </si>
  <si>
    <t>Transfer Oribit Angular Momentum</t>
  </si>
  <si>
    <t>Transfer Orbitum Semi-Major Axis</t>
  </si>
  <si>
    <t>Transfer Orbit Apogee Radius</t>
  </si>
  <si>
    <t>Transfer Orbit Eccentricity</t>
  </si>
  <si>
    <t>True Anomaly of Burn 2</t>
  </si>
  <si>
    <t>Eccentric Anomaly</t>
  </si>
  <si>
    <t>Given Delta V Burn 1 SMA only</t>
  </si>
  <si>
    <t>Delta V Burn 1 w/Δincl1</t>
  </si>
  <si>
    <t>Transfer Orbit Velocity at Burn 2</t>
  </si>
  <si>
    <t>Flight Path Angle at Burn 2</t>
  </si>
  <si>
    <t>Delta V Burn 2 w/Δincl2</t>
  </si>
  <si>
    <t>Total Delta V w/inclination Changes</t>
  </si>
  <si>
    <t>Nodal Regression for Init Orbit</t>
  </si>
  <si>
    <t>Nodal Regression for Final Orbit</t>
  </si>
  <si>
    <t>Apsidal Rotation for Init Orbit</t>
  </si>
  <si>
    <t>Apsidal Rotation for Final Orbit</t>
  </si>
  <si>
    <t>km^2/s^</t>
  </si>
  <si>
    <t>km^2/s^2</t>
  </si>
  <si>
    <t>deg/day</t>
  </si>
  <si>
    <t>Orbit 1 Circular?</t>
  </si>
  <si>
    <t>Burn 1 Delta V</t>
  </si>
  <si>
    <t>Xfer Apogee &gt; Orbit 2?</t>
  </si>
  <si>
    <t>Delta V Burn 2 SMA only</t>
  </si>
  <si>
    <t>Stage 1</t>
  </si>
  <si>
    <t>Total Liftoff Mass</t>
  </si>
  <si>
    <t>Circular to Circular Orbit</t>
  </si>
  <si>
    <t>Lox</t>
  </si>
  <si>
    <t>Rp-1</t>
  </si>
  <si>
    <t>Propellent Breakdown</t>
  </si>
  <si>
    <t>LH2</t>
  </si>
  <si>
    <t>Liters</t>
  </si>
  <si>
    <t>Ox Ratio</t>
  </si>
  <si>
    <t>Weight (kg)</t>
  </si>
  <si>
    <t>Volume (m^3)</t>
  </si>
  <si>
    <t>Lox Density</t>
  </si>
  <si>
    <t>H2 Density</t>
  </si>
  <si>
    <t>Rp1 Density</t>
  </si>
  <si>
    <t>Kg/L</t>
  </si>
  <si>
    <t>Rp1</t>
  </si>
  <si>
    <t>Tank Volume and Weight</t>
  </si>
  <si>
    <t>Radius</t>
  </si>
  <si>
    <t>Diameter</t>
  </si>
  <si>
    <t>Tank height</t>
  </si>
  <si>
    <t>Total Height</t>
  </si>
  <si>
    <t>LOx</t>
  </si>
  <si>
    <t>RP-1</t>
  </si>
  <si>
    <t>+3% unusable</t>
  </si>
  <si>
    <t>m</t>
  </si>
  <si>
    <t>Wall Thickness Volume</t>
  </si>
  <si>
    <t>Al Density</t>
  </si>
  <si>
    <t>kg/m^3</t>
  </si>
  <si>
    <t>Tank Mass (kg)</t>
  </si>
  <si>
    <t>Mass includes +50% for Stringers/Isogrid Structure and Inter-Tank Structure</t>
  </si>
  <si>
    <t>Ms/Mp</t>
  </si>
  <si>
    <t>Total</t>
  </si>
  <si>
    <t>Time of Flight Evaluation for Orbit 1</t>
  </si>
  <si>
    <t>True Anomaly</t>
  </si>
  <si>
    <t>Time of Flight (min)</t>
  </si>
  <si>
    <t>Payload Fairing Connector</t>
  </si>
  <si>
    <t>Notes</t>
  </si>
  <si>
    <t>Based off Delta IV 4293-5 PAF</t>
  </si>
  <si>
    <t>Mass (kg)</t>
  </si>
  <si>
    <t>Mass and Height Breakdown Of Rocket</t>
  </si>
  <si>
    <t>Height (m)</t>
  </si>
  <si>
    <t>Interstage Adapter</t>
  </si>
  <si>
    <t>Based off Centaur Interstage Adapter</t>
  </si>
  <si>
    <t>Thrust Skirt</t>
  </si>
  <si>
    <t>1% Total Mass</t>
  </si>
  <si>
    <t>Electromechanical Actuators and engine controllers, batteries, ordinance systems, etc</t>
  </si>
  <si>
    <t>Triple Redundant Guidance computer, gyro, batteries, telemetry, etc</t>
  </si>
  <si>
    <t>Stage 2 Tank Mass Additions</t>
  </si>
  <si>
    <t>Stage 1 Tank Mass Additions</t>
  </si>
  <si>
    <t>2 engine plumbing</t>
  </si>
  <si>
    <t>Tanking/Detanking, feedlines, press</t>
  </si>
  <si>
    <t>Attitude Control</t>
  </si>
  <si>
    <t>Total:</t>
  </si>
  <si>
    <t>Raptor Engine</t>
  </si>
  <si>
    <t xml:space="preserve">Thrust To Weight </t>
  </si>
  <si>
    <t>Engine Thrust</t>
  </si>
  <si>
    <t>Needed</t>
  </si>
  <si>
    <t>Newtons</t>
  </si>
  <si>
    <t>Engines Needed</t>
  </si>
  <si>
    <t>&lt;0</t>
  </si>
  <si>
    <t>Total Mass:</t>
  </si>
  <si>
    <t>Tanks</t>
  </si>
  <si>
    <t>j2</t>
  </si>
  <si>
    <t>Earth Radius</t>
  </si>
  <si>
    <t>Varies depending on mission</t>
  </si>
  <si>
    <t>2 Stage Rocket Evaluator</t>
  </si>
  <si>
    <t>3 Stage Rocket Evaluator</t>
  </si>
  <si>
    <t>Stage 3</t>
  </si>
  <si>
    <t>Stage 2 MF:</t>
  </si>
  <si>
    <t>Stage 1 MF:</t>
  </si>
  <si>
    <t>Tank Wall Thickness S1</t>
  </si>
  <si>
    <t>Tank Wall Thickness S2</t>
  </si>
  <si>
    <t>Stage1 Height:</t>
  </si>
  <si>
    <t>Stage 2 Height: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</si>
</sst>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  <numFmt numFmtId="167" formatCode="0.0000"/>
    <numFmt numFmtId="168" formatCode="_(* #,##0.000_);_(* \(#,##0.000\);_(* &quot;-&quot;??_);_(@_)"/>
    <numFmt numFmtId="169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85">
    <xf numFmtId="0" fontId="0" fillId="0" borderId="0" xfId="0"/>
    <xf numFmtId="0" fontId="0" fillId="0" borderId="2" xfId="0" applyBorder="1"/>
    <xf numFmtId="0" fontId="3" fillId="0" borderId="2" xfId="0" applyFont="1" applyBorder="1"/>
    <xf numFmtId="0" fontId="3" fillId="0" borderId="0" xfId="0" applyFont="1"/>
    <xf numFmtId="0" fontId="0" fillId="0" borderId="7" xfId="0" applyBorder="1"/>
    <xf numFmtId="0" fontId="4" fillId="0" borderId="7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7" xfId="0" applyFont="1" applyBorder="1"/>
    <xf numFmtId="0" fontId="5" fillId="0" borderId="1" xfId="0" applyFont="1" applyBorder="1"/>
    <xf numFmtId="0" fontId="5" fillId="0" borderId="4" xfId="0" applyFont="1" applyBorder="1"/>
    <xf numFmtId="0" fontId="6" fillId="0" borderId="4" xfId="0" applyFont="1" applyBorder="1"/>
    <xf numFmtId="0" fontId="6" fillId="0" borderId="6" xfId="0" applyFont="1" applyBorder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6" fillId="0" borderId="7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2" xfId="0" applyFont="1" applyBorder="1"/>
    <xf numFmtId="0" fontId="7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1" fillId="0" borderId="7" xfId="0" applyFont="1" applyBorder="1"/>
    <xf numFmtId="0" fontId="7" fillId="0" borderId="6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9" fillId="0" borderId="1" xfId="0" applyFont="1" applyBorder="1" applyAlignment="1">
      <alignment horizontal="center"/>
    </xf>
    <xf numFmtId="0" fontId="0" fillId="0" borderId="1" xfId="0" applyBorder="1"/>
    <xf numFmtId="0" fontId="9" fillId="0" borderId="0" xfId="0" applyFont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0" xfId="0" applyFont="1" applyFill="1"/>
    <xf numFmtId="0" fontId="0" fillId="2" borderId="0" xfId="0" applyFill="1"/>
    <xf numFmtId="0" fontId="12" fillId="0" borderId="4" xfId="0" applyFont="1" applyBorder="1"/>
    <xf numFmtId="0" fontId="12" fillId="0" borderId="0" xfId="0" applyFont="1"/>
    <xf numFmtId="0" fontId="12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13" fillId="4" borderId="0" xfId="0" applyFont="1" applyFill="1" applyAlignment="1">
      <alignment horizontal="center"/>
    </xf>
    <xf numFmtId="0" fontId="0" fillId="4" borderId="2" xfId="0" applyFill="1" applyBorder="1"/>
    <xf numFmtId="0" fontId="0" fillId="4" borderId="7" xfId="0" applyFill="1" applyBorder="1"/>
    <xf numFmtId="0" fontId="0" fillId="4" borderId="0" xfId="0" applyFill="1"/>
    <xf numFmtId="0" fontId="13" fillId="0" borderId="3" xfId="0" applyFont="1" applyBorder="1"/>
    <xf numFmtId="167" fontId="0" fillId="0" borderId="0" xfId="0" applyNumberFormat="1"/>
    <xf numFmtId="168" fontId="0" fillId="0" borderId="0" xfId="1" applyNumberFormat="1" applyFont="1" applyBorder="1" applyAlignment="1">
      <alignment horizontal="center"/>
    </xf>
    <xf numFmtId="0" fontId="13" fillId="0" borderId="5" xfId="0" applyFont="1" applyBorder="1"/>
    <xf numFmtId="43" fontId="12" fillId="0" borderId="0" xfId="1" applyFont="1"/>
    <xf numFmtId="43" fontId="0" fillId="0" borderId="0" xfId="1" applyFont="1"/>
    <xf numFmtId="43" fontId="0" fillId="0" borderId="0" xfId="0" applyNumberFormat="1"/>
    <xf numFmtId="43" fontId="2" fillId="0" borderId="0" xfId="0" applyNumberFormat="1" applyFont="1"/>
    <xf numFmtId="0" fontId="2" fillId="0" borderId="12" xfId="0" applyFont="1" applyBorder="1"/>
    <xf numFmtId="43" fontId="2" fillId="0" borderId="13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2" fillId="0" borderId="2" xfId="0" applyFont="1" applyBorder="1" applyAlignment="1">
      <alignment horizontal="center" vertical="center"/>
    </xf>
    <xf numFmtId="169" fontId="0" fillId="0" borderId="0" xfId="0" applyNumberFormat="1"/>
    <xf numFmtId="0" fontId="0" fillId="0" borderId="0" xfId="0" quotePrefix="1"/>
    <xf numFmtId="0" fontId="0" fillId="0" borderId="17" xfId="0" applyBorder="1"/>
    <xf numFmtId="0" fontId="0" fillId="0" borderId="20" xfId="0" applyBorder="1"/>
    <xf numFmtId="0" fontId="2" fillId="0" borderId="21" xfId="0" applyFont="1" applyBorder="1" applyAlignment="1">
      <alignment horizontal="center"/>
    </xf>
    <xf numFmtId="0" fontId="2" fillId="0" borderId="20" xfId="0" applyFont="1" applyBorder="1"/>
    <xf numFmtId="0" fontId="0" fillId="0" borderId="21" xfId="0" applyBorder="1"/>
    <xf numFmtId="43" fontId="0" fillId="0" borderId="21" xfId="0" applyNumberFormat="1" applyBorder="1"/>
    <xf numFmtId="0" fontId="0" fillId="0" borderId="22" xfId="0" applyBorder="1"/>
    <xf numFmtId="0" fontId="0" fillId="0" borderId="23" xfId="0" applyBorder="1"/>
    <xf numFmtId="43" fontId="0" fillId="0" borderId="23" xfId="0" applyNumberFormat="1" applyBorder="1"/>
    <xf numFmtId="43" fontId="0" fillId="0" borderId="24" xfId="0" applyNumberFormat="1" applyBorder="1"/>
    <xf numFmtId="20" fontId="2" fillId="0" borderId="20" xfId="0" applyNumberFormat="1" applyFont="1" applyBorder="1"/>
    <xf numFmtId="0" fontId="2" fillId="0" borderId="21" xfId="0" applyFont="1" applyBorder="1"/>
    <xf numFmtId="169" fontId="0" fillId="0" borderId="23" xfId="0" applyNumberFormat="1" applyBorder="1"/>
    <xf numFmtId="0" fontId="2" fillId="0" borderId="19" xfId="0" applyFont="1" applyBorder="1"/>
    <xf numFmtId="0" fontId="2" fillId="0" borderId="22" xfId="0" applyFont="1" applyBorder="1"/>
    <xf numFmtId="0" fontId="0" fillId="0" borderId="24" xfId="0" applyBorder="1"/>
    <xf numFmtId="0" fontId="2" fillId="2" borderId="0" xfId="0" applyFont="1" applyFill="1" applyAlignment="1">
      <alignment horizontal="center" vertical="center"/>
    </xf>
    <xf numFmtId="9" fontId="2" fillId="0" borderId="0" xfId="2" applyFont="1"/>
    <xf numFmtId="0" fontId="2" fillId="0" borderId="0" xfId="0" applyFont="1" applyAlignment="1">
      <alignment horizontal="right"/>
    </xf>
    <xf numFmtId="43" fontId="2" fillId="0" borderId="21" xfId="0" applyNumberFormat="1" applyFont="1" applyBorder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2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43" fontId="0" fillId="0" borderId="23" xfId="0" applyNumberFormat="1" applyBorder="1" applyAlignment="1">
      <alignment horizontal="center"/>
    </xf>
    <xf numFmtId="43" fontId="0" fillId="0" borderId="24" xfId="0" applyNumberForma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4" fillId="0" borderId="0" xfId="0" applyFont="1"/>
    <xf numFmtId="0" fontId="0" fillId="4" borderId="5" xfId="0" applyFill="1" applyBorder="1"/>
    <xf numFmtId="0" fontId="2" fillId="2" borderId="9" xfId="0" applyFont="1" applyFill="1" applyBorder="1" applyAlignment="1">
      <alignment horizontal="left"/>
    </xf>
    <xf numFmtId="0" fontId="0" fillId="2" borderId="10" xfId="0" applyFill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0" borderId="6" xfId="0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5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0" applyNumberFormat="1" applyBorder="1" applyAlignment="1">
      <alignment horizontal="center"/>
    </xf>
    <xf numFmtId="0" fontId="11" fillId="0" borderId="12" xfId="0" applyFont="1" applyBorder="1"/>
    <xf numFmtId="0" fontId="11" fillId="0" borderId="13" xfId="0" applyFont="1" applyBorder="1"/>
    <xf numFmtId="0" fontId="11" fillId="0" borderId="14" xfId="0" applyFont="1" applyBorder="1"/>
    <xf numFmtId="0" fontId="0" fillId="0" borderId="13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9" fontId="2" fillId="0" borderId="23" xfId="2" applyFont="1" applyBorder="1" applyAlignment="1">
      <alignment horizontal="center"/>
    </xf>
    <xf numFmtId="9" fontId="2" fillId="0" borderId="24" xfId="2" applyFont="1" applyBorder="1" applyAlignment="1">
      <alignment horizontal="center"/>
    </xf>
    <xf numFmtId="43" fontId="0" fillId="0" borderId="0" xfId="1" applyFont="1" applyBorder="1"/>
    <xf numFmtId="16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Border="1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0" fillId="0" borderId="18" xfId="0" applyBorder="1"/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19" xfId="0" applyBorder="1"/>
    <xf numFmtId="43" fontId="2" fillId="0" borderId="23" xfId="0" applyNumberFormat="1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" xfId="0" applyFont="1" applyBorder="1" applyAlignment="1">
      <alignment horizontal="center" vertical="center" wrapText="1"/>
    </xf>
    <xf numFmtId="0" fontId="0" fillId="4" borderId="0" xfId="0" applyFill="1" applyBorder="1"/>
    <xf numFmtId="0" fontId="0" fillId="0" borderId="0" xfId="0" applyBorder="1"/>
    <xf numFmtId="43" fontId="12" fillId="0" borderId="0" xfId="1" applyFont="1" applyBorder="1"/>
    <xf numFmtId="0" fontId="12" fillId="0" borderId="0" xfId="0" applyFont="1" applyBorder="1"/>
    <xf numFmtId="43" fontId="0" fillId="0" borderId="0" xfId="0" applyNumberFormat="1" applyBorder="1"/>
    <xf numFmtId="167" fontId="0" fillId="0" borderId="0" xfId="0" applyNumberFormat="1" applyBorder="1"/>
    <xf numFmtId="0" fontId="1" fillId="0" borderId="0" xfId="0" applyFont="1" applyBorder="1"/>
    <xf numFmtId="43" fontId="0" fillId="0" borderId="7" xfId="0" applyNumberFormat="1" applyBorder="1"/>
    <xf numFmtId="0" fontId="0" fillId="0" borderId="0" xfId="0" applyFill="1" applyBorder="1"/>
    <xf numFmtId="0" fontId="0" fillId="4" borderId="23" xfId="0" applyFill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7" fontId="2" fillId="0" borderId="7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CC"/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firstButton="1" fmlaLink="$D$5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4205</xdr:colOff>
          <xdr:row>3</xdr:row>
          <xdr:rowOff>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Altitude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Radius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C06C-8503-45E3-93CC-A0F2C841B163}">
  <dimension ref="A3:X98"/>
  <sheetViews>
    <sheetView tabSelected="1" topLeftCell="A59" zoomScale="84" zoomScaleNormal="25" workbookViewId="0">
      <selection activeCell="F83" sqref="F83"/>
    </sheetView>
  </sheetViews>
  <sheetFormatPr defaultRowHeight="14.4" x14ac:dyDescent="0.3"/>
  <cols>
    <col min="1" max="1" width="17.77734375" customWidth="1"/>
    <col min="3" max="3" width="10.5546875" customWidth="1"/>
    <col min="4" max="4" width="11.88671875" customWidth="1"/>
    <col min="5" max="5" width="12.77734375" customWidth="1"/>
    <col min="6" max="6" width="12" bestFit="1" customWidth="1"/>
    <col min="7" max="7" width="17.109375" customWidth="1"/>
    <col min="8" max="8" width="21.77734375" customWidth="1"/>
    <col min="9" max="9" width="10.6640625" bestFit="1" customWidth="1"/>
    <col min="10" max="10" width="12.21875" customWidth="1"/>
    <col min="11" max="11" width="12" bestFit="1" customWidth="1"/>
    <col min="16" max="16" width="31.5546875" customWidth="1"/>
    <col min="17" max="17" width="11.5546875" customWidth="1"/>
    <col min="21" max="21" width="16" customWidth="1"/>
    <col min="23" max="23" width="14.33203125" customWidth="1"/>
  </cols>
  <sheetData>
    <row r="3" spans="1:19" x14ac:dyDescent="0.3">
      <c r="E3" t="s">
        <v>30</v>
      </c>
      <c r="F3">
        <f>6.6743*10^-11</f>
        <v>6.6742999999999994E-11</v>
      </c>
      <c r="G3" t="s">
        <v>44</v>
      </c>
      <c r="H3">
        <f>9.81</f>
        <v>9.81</v>
      </c>
    </row>
    <row r="4" spans="1:19" ht="18" x14ac:dyDescent="0.35">
      <c r="E4" t="s">
        <v>24</v>
      </c>
      <c r="F4">
        <v>398600</v>
      </c>
      <c r="G4" t="s">
        <v>232</v>
      </c>
      <c r="H4">
        <v>1.082635854E-3</v>
      </c>
      <c r="P4" s="46" t="s">
        <v>61</v>
      </c>
      <c r="S4" t="s">
        <v>70</v>
      </c>
    </row>
    <row r="5" spans="1:19" x14ac:dyDescent="0.3">
      <c r="D5">
        <v>2</v>
      </c>
      <c r="E5" t="s">
        <v>29</v>
      </c>
      <c r="F5">
        <f>5.97219*10^24</f>
        <v>5.9721900000000004E+24</v>
      </c>
      <c r="G5" t="s">
        <v>233</v>
      </c>
      <c r="H5">
        <v>6378</v>
      </c>
      <c r="P5" s="32" t="s">
        <v>65</v>
      </c>
      <c r="Q5" s="38">
        <f>Orb1PerigeeVelocity</f>
        <v>9.7636718644533165</v>
      </c>
      <c r="R5" s="42" t="s">
        <v>23</v>
      </c>
      <c r="S5">
        <f>Orb1pRadius</f>
        <v>6700</v>
      </c>
    </row>
    <row r="6" spans="1:19" x14ac:dyDescent="0.3">
      <c r="C6" s="8" t="s">
        <v>7</v>
      </c>
      <c r="D6" s="8" t="s">
        <v>6</v>
      </c>
      <c r="K6" s="8" t="s">
        <v>22</v>
      </c>
      <c r="P6" s="36" t="s">
        <v>66</v>
      </c>
      <c r="Q6" s="39">
        <f>Orb1ApogeeVelocity</f>
        <v>2.4228370922902673</v>
      </c>
      <c r="R6" s="43" t="s">
        <v>23</v>
      </c>
      <c r="S6">
        <f>Orb1aRadius</f>
        <v>27000</v>
      </c>
    </row>
    <row r="7" spans="1:19" x14ac:dyDescent="0.3">
      <c r="A7" s="47" t="s">
        <v>84</v>
      </c>
      <c r="B7" s="11" t="s">
        <v>0</v>
      </c>
      <c r="C7" s="109">
        <v>6700</v>
      </c>
      <c r="D7" s="110">
        <v>7000</v>
      </c>
      <c r="E7" s="15" t="s">
        <v>8</v>
      </c>
      <c r="F7" s="2">
        <f>(Orb1aRadius+Orb1pRadius)/2</f>
        <v>16850</v>
      </c>
      <c r="G7" s="9" t="s">
        <v>32</v>
      </c>
      <c r="H7" s="15" t="s">
        <v>16</v>
      </c>
      <c r="I7" s="2">
        <f>(-mu)/(2*SemiMajor1)</f>
        <v>-11.827893175074184</v>
      </c>
      <c r="J7" s="9" t="s">
        <v>25</v>
      </c>
      <c r="K7" s="2">
        <f>SQRT(2*(mu/Orb1pRadius+Energy1))</f>
        <v>9.7636718644533165</v>
      </c>
      <c r="L7" s="23" t="s">
        <v>23</v>
      </c>
      <c r="M7" t="s">
        <v>27</v>
      </c>
      <c r="P7" s="36" t="s">
        <v>62</v>
      </c>
      <c r="Q7" s="39">
        <f>Energy1</f>
        <v>-11.827893175074184</v>
      </c>
      <c r="R7" s="43" t="s">
        <v>67</v>
      </c>
    </row>
    <row r="8" spans="1:19" x14ac:dyDescent="0.3">
      <c r="B8" s="12" t="s">
        <v>1</v>
      </c>
      <c r="C8" s="111">
        <v>27000</v>
      </c>
      <c r="D8" s="111">
        <v>7000</v>
      </c>
      <c r="E8" s="16" t="s">
        <v>9</v>
      </c>
      <c r="F8" s="3">
        <f>(Orb1aRadius-Orb1pRadius)/(Orb1aRadius+Orb1pRadius)</f>
        <v>0.60237388724035612</v>
      </c>
      <c r="G8" s="8"/>
      <c r="H8" s="16" t="s">
        <v>17</v>
      </c>
      <c r="I8" s="3">
        <f>2*PI()*SQRT(SemiMajor1^3/mu)</f>
        <v>21767.626600081123</v>
      </c>
      <c r="J8" s="8" t="s">
        <v>26</v>
      </c>
      <c r="K8" s="3">
        <f>SQRT(2*(mu/Orb1aRadius+Energy1))</f>
        <v>2.4228370922902673</v>
      </c>
      <c r="L8" s="24" t="s">
        <v>23</v>
      </c>
      <c r="M8" t="s">
        <v>28</v>
      </c>
      <c r="P8" s="36" t="s">
        <v>63</v>
      </c>
      <c r="Q8" s="41">
        <f>hOrb1</f>
        <v>65416.601491837217</v>
      </c>
      <c r="R8" s="43" t="s">
        <v>68</v>
      </c>
    </row>
    <row r="9" spans="1:19" x14ac:dyDescent="0.3">
      <c r="B9" s="12" t="s">
        <v>2</v>
      </c>
      <c r="C9" s="111">
        <v>70</v>
      </c>
      <c r="D9" s="58"/>
      <c r="E9" s="16" t="s">
        <v>10</v>
      </c>
      <c r="F9" s="3">
        <f>SQRT((SemiMajor1*mu)*(1-Eccentricity1^2))</f>
        <v>65416.601491837217</v>
      </c>
      <c r="G9" s="8" t="s">
        <v>25</v>
      </c>
      <c r="H9" s="8"/>
      <c r="J9" s="8"/>
      <c r="L9" s="24"/>
      <c r="P9" s="37" t="s">
        <v>64</v>
      </c>
      <c r="Q9" s="45">
        <f>Period1/60</f>
        <v>362.79377666801872</v>
      </c>
      <c r="R9" s="44" t="s">
        <v>69</v>
      </c>
    </row>
    <row r="10" spans="1:19" x14ac:dyDescent="0.3">
      <c r="B10" s="114" t="s">
        <v>3</v>
      </c>
      <c r="C10" s="111">
        <v>50000</v>
      </c>
      <c r="D10" s="110">
        <v>50000</v>
      </c>
      <c r="E10" s="115" t="s">
        <v>11</v>
      </c>
      <c r="F10" s="116">
        <f>(Orb2aRadius+Orb2pRadius)/2</f>
        <v>50000</v>
      </c>
      <c r="G10" s="9" t="s">
        <v>32</v>
      </c>
      <c r="H10" s="115" t="s">
        <v>18</v>
      </c>
      <c r="I10" s="116">
        <f>(-mu)/(2*SemiMajor2)</f>
        <v>-3.9860000000000002</v>
      </c>
      <c r="J10" s="9" t="s">
        <v>25</v>
      </c>
      <c r="K10" s="116">
        <f>SQRT(2*(mu/Orb2pRadius+Energy2))</f>
        <v>2.8234730386529283</v>
      </c>
      <c r="L10" s="23" t="s">
        <v>23</v>
      </c>
      <c r="M10" t="s">
        <v>27</v>
      </c>
      <c r="P10" s="32" t="s">
        <v>71</v>
      </c>
      <c r="Q10" s="38">
        <f>Orb2PerigeeVelocity</f>
        <v>2.8234730386529283</v>
      </c>
      <c r="R10" s="42" t="s">
        <v>23</v>
      </c>
      <c r="S10">
        <f>Orb2pRadius</f>
        <v>50000</v>
      </c>
    </row>
    <row r="11" spans="1:19" x14ac:dyDescent="0.3">
      <c r="B11" s="13" t="s">
        <v>4</v>
      </c>
      <c r="C11" s="111">
        <v>50000</v>
      </c>
      <c r="D11" s="111">
        <v>50000</v>
      </c>
      <c r="E11" s="17" t="s">
        <v>12</v>
      </c>
      <c r="F11" s="117">
        <f>(Orb2aRadius-Orb2pRadius)/(Orb2aRadius+Orb2pRadius)</f>
        <v>0</v>
      </c>
      <c r="G11" s="8"/>
      <c r="H11" s="17" t="s">
        <v>19</v>
      </c>
      <c r="I11" s="117">
        <f>2*PI()*SQRT(SemiMajor2^3/mu)</f>
        <v>111266.96131260524</v>
      </c>
      <c r="J11" s="8" t="s">
        <v>26</v>
      </c>
      <c r="K11" s="117">
        <f>SQRT(2*(mu/Orb2aRadius+Energy2))</f>
        <v>2.8234730386529283</v>
      </c>
      <c r="L11" s="24" t="s">
        <v>23</v>
      </c>
      <c r="M11" t="s">
        <v>28</v>
      </c>
      <c r="P11" s="36" t="s">
        <v>72</v>
      </c>
      <c r="Q11" s="39">
        <f>Orb2ApogeeVelocity</f>
        <v>2.8234730386529283</v>
      </c>
      <c r="R11" s="43" t="s">
        <v>23</v>
      </c>
      <c r="S11">
        <f>Orb2aRadius</f>
        <v>50000</v>
      </c>
    </row>
    <row r="12" spans="1:19" x14ac:dyDescent="0.3">
      <c r="B12" s="14" t="s">
        <v>5</v>
      </c>
      <c r="C12" s="112">
        <v>10</v>
      </c>
      <c r="D12" s="113"/>
      <c r="E12" s="18" t="s">
        <v>13</v>
      </c>
      <c r="F12" s="5">
        <f>SQRT((SemiMajor2*mu)*(1-Eccentricity2^2))</f>
        <v>141173.6519326464</v>
      </c>
      <c r="G12" s="10" t="s">
        <v>25</v>
      </c>
      <c r="H12" s="10"/>
      <c r="I12" s="5"/>
      <c r="J12" s="10"/>
      <c r="K12" s="5"/>
      <c r="L12" s="25"/>
      <c r="P12" s="36" t="s">
        <v>73</v>
      </c>
      <c r="Q12" s="39">
        <f>Energy2</f>
        <v>-3.9860000000000002</v>
      </c>
      <c r="R12" s="43" t="s">
        <v>67</v>
      </c>
    </row>
    <row r="13" spans="1:19" x14ac:dyDescent="0.3">
      <c r="A13" t="s">
        <v>85</v>
      </c>
      <c r="B13" s="11" t="s">
        <v>0</v>
      </c>
      <c r="C13" s="58">
        <f>Orb1P*(Selector-1)+(Orb1PAltitude+6378)*(2-Selector)</f>
        <v>6700</v>
      </c>
      <c r="E13" s="19" t="s">
        <v>14</v>
      </c>
      <c r="F13" s="6">
        <f>(Orb2aRadius+Orb1pRadius)/2</f>
        <v>28350</v>
      </c>
      <c r="G13" s="9" t="s">
        <v>32</v>
      </c>
      <c r="H13" s="21" t="s">
        <v>20</v>
      </c>
      <c r="I13" s="6">
        <f>(-mu)/(2*SemiMajorT)</f>
        <v>-7.029982363315697</v>
      </c>
      <c r="J13" s="9" t="s">
        <v>25</v>
      </c>
      <c r="K13" s="6">
        <f>SQRT(2*(mu/Orb1pRadius+EnergyT))</f>
        <v>10.243295851445192</v>
      </c>
      <c r="L13" s="23" t="s">
        <v>23</v>
      </c>
      <c r="M13" t="s">
        <v>27</v>
      </c>
      <c r="P13" s="36" t="s">
        <v>74</v>
      </c>
      <c r="Q13" s="65">
        <f>hOrb2</f>
        <v>141173.6519326464</v>
      </c>
      <c r="R13" s="43" t="s">
        <v>68</v>
      </c>
    </row>
    <row r="14" spans="1:19" x14ac:dyDescent="0.3">
      <c r="B14" s="12" t="s">
        <v>1</v>
      </c>
      <c r="C14" s="58">
        <f>Orb1aRadius1*(Selector-1)+(Orb1aAltitude+6378)*(2-Selector)</f>
        <v>27000</v>
      </c>
      <c r="E14" s="20" t="s">
        <v>15</v>
      </c>
      <c r="F14" s="7">
        <f>SQRT((SemiMajorT*mu)*(1-EccentricityT^2))</f>
        <v>68630.082204682782</v>
      </c>
      <c r="G14" s="8" t="s">
        <v>25</v>
      </c>
      <c r="H14" s="22" t="s">
        <v>21</v>
      </c>
      <c r="I14" s="7">
        <f>2*PI()*SQRT(SemiMajorT^3/mu)</f>
        <v>47505.163375768083</v>
      </c>
      <c r="J14" s="8" t="s">
        <v>26</v>
      </c>
      <c r="K14" s="7">
        <f>SQRT(2*(mu/Orb2aRadius+EnergyT))</f>
        <v>1.3726016440936557</v>
      </c>
      <c r="L14" s="24" t="s">
        <v>23</v>
      </c>
      <c r="M14" t="s">
        <v>28</v>
      </c>
      <c r="P14" s="37" t="s">
        <v>75</v>
      </c>
      <c r="Q14" s="45">
        <f>Period2/60</f>
        <v>1854.4493552100873</v>
      </c>
      <c r="R14" s="44" t="s">
        <v>69</v>
      </c>
    </row>
    <row r="15" spans="1:19" x14ac:dyDescent="0.3">
      <c r="B15" s="13" t="s">
        <v>3</v>
      </c>
      <c r="C15" s="58">
        <f>Orb2pRadius1*(Selector-1)+(Orb2pAltitude+6378)*(2-Selector)</f>
        <v>50000</v>
      </c>
      <c r="E15" s="27" t="s">
        <v>31</v>
      </c>
      <c r="F15" s="26">
        <f>(Orb2aRadius-Orb1pRadius)/(Orb2aRadius+Orb1pRadius)</f>
        <v>0.76366843033509701</v>
      </c>
      <c r="G15" s="10"/>
      <c r="H15" s="10"/>
      <c r="I15" s="26"/>
      <c r="J15" s="10"/>
      <c r="K15" s="26"/>
      <c r="L15" s="25"/>
      <c r="P15" s="32" t="s">
        <v>76</v>
      </c>
      <c r="Q15" s="38">
        <f>TransferOrbPerigeeVelocity</f>
        <v>10.243295851445192</v>
      </c>
      <c r="R15" s="42" t="s">
        <v>23</v>
      </c>
    </row>
    <row r="16" spans="1:19" x14ac:dyDescent="0.3">
      <c r="B16" s="13" t="s">
        <v>4</v>
      </c>
      <c r="C16" s="58" cm="1">
        <f t="array" ref="C16">Orb2aRadius1*(Selector-1)+(Orb2aAltitude+6378)*(2-Selector)</f>
        <v>50000</v>
      </c>
      <c r="H16" s="48" t="s">
        <v>87</v>
      </c>
      <c r="I16" s="60">
        <v>0</v>
      </c>
      <c r="J16" s="9" t="s">
        <v>50</v>
      </c>
      <c r="K16" s="1">
        <f>2*TransferOrbPerigeeVelocity*SIN(ΔIncl1/2)</f>
        <v>0</v>
      </c>
      <c r="L16" s="23" t="s">
        <v>23</v>
      </c>
      <c r="M16" t="s">
        <v>91</v>
      </c>
      <c r="P16" s="36" t="s">
        <v>77</v>
      </c>
      <c r="Q16" s="39">
        <f>TransferOrbitApogeeVelocity</f>
        <v>1.3726016440936557</v>
      </c>
      <c r="R16" s="43" t="s">
        <v>23</v>
      </c>
    </row>
    <row r="17" spans="2:21" x14ac:dyDescent="0.3">
      <c r="H17" s="35" t="s">
        <v>86</v>
      </c>
      <c r="I17" s="4">
        <f>ABS(Incl2-Incl1)-ΔIncl1</f>
        <v>60</v>
      </c>
      <c r="J17" s="10" t="s">
        <v>50</v>
      </c>
      <c r="K17" s="4">
        <f>2*TransferOrbitApogeeVelocity*SIN(ΔIncl2/2)</f>
        <v>-2.7123476632927739</v>
      </c>
      <c r="L17" s="25" t="s">
        <v>23</v>
      </c>
      <c r="M17" t="s">
        <v>92</v>
      </c>
      <c r="P17" s="36" t="s">
        <v>78</v>
      </c>
      <c r="Q17" s="39">
        <f>EnergyT</f>
        <v>-7.029982363315697</v>
      </c>
      <c r="R17" s="43" t="s">
        <v>67</v>
      </c>
    </row>
    <row r="18" spans="2:21" x14ac:dyDescent="0.3">
      <c r="B18" s="17"/>
      <c r="P18" s="36" t="s">
        <v>79</v>
      </c>
      <c r="Q18" s="41">
        <f>TransferOrbitAngularMomentum</f>
        <v>68630.082204682782</v>
      </c>
      <c r="R18" s="43" t="s">
        <v>68</v>
      </c>
    </row>
    <row r="19" spans="2:21" x14ac:dyDescent="0.3">
      <c r="H19" s="119" t="s">
        <v>202</v>
      </c>
      <c r="I19" s="120"/>
      <c r="P19" s="37" t="s">
        <v>80</v>
      </c>
      <c r="Q19" s="45">
        <f>(TransferPeriod/60)/2</f>
        <v>395.87636146473403</v>
      </c>
      <c r="R19" s="44" t="s">
        <v>69</v>
      </c>
    </row>
    <row r="20" spans="2:21" x14ac:dyDescent="0.3">
      <c r="H20" s="36" t="s">
        <v>203</v>
      </c>
      <c r="I20" s="118">
        <v>240</v>
      </c>
      <c r="P20" s="32" t="s">
        <v>81</v>
      </c>
      <c r="Q20" s="38">
        <f>TransferOrbPerigeeVelocity-Orb1PerigeeVelocity</f>
        <v>0.47962398699187503</v>
      </c>
      <c r="R20" s="42" t="s">
        <v>23</v>
      </c>
    </row>
    <row r="21" spans="2:21" x14ac:dyDescent="0.3">
      <c r="H21" s="36" t="s">
        <v>152</v>
      </c>
      <c r="I21" s="29">
        <f>IF(I20/180,MOD(2*ATAN(SQRT((1-Eccentricity1)/(1+Eccentricity1))*TAN(RADIANS(I20/2))),2*PI()),2*ATAN(SQRT((1-Eccentricity1)/(1+Eccentricity1))*TAN(RADIANS(I20/2))))</f>
        <v>4.859414924309168</v>
      </c>
      <c r="P21" s="36" t="s">
        <v>89</v>
      </c>
      <c r="Q21" s="39">
        <f>SQRT(Orb1PerigeeVelocity^2+TransferOrbPerigeeVelocity^2-2*Orb1PerigeeVelocity*TransferOrbPerigeeVelocity*COS(RADIANS(ΔIncl1)))</f>
        <v>0.4796239869918964</v>
      </c>
      <c r="R21" s="43" t="s">
        <v>23</v>
      </c>
    </row>
    <row r="22" spans="2:21" x14ac:dyDescent="0.3">
      <c r="H22" s="37" t="s">
        <v>204</v>
      </c>
      <c r="I22" s="30">
        <f>(SQRT(SemiMA1^3/mu)*(I21-Eccentricity1*SIN(I21)))/60</f>
        <v>314.99074489766406</v>
      </c>
      <c r="P22" s="36" t="s">
        <v>82</v>
      </c>
      <c r="Q22" s="39">
        <f>Orb2ApogeeVelocity-TransferOrbitApogeeVelocity</f>
        <v>1.4508713945592726</v>
      </c>
      <c r="R22" s="43" t="s">
        <v>23</v>
      </c>
    </row>
    <row r="23" spans="2:21" x14ac:dyDescent="0.3">
      <c r="P23" s="36" t="s">
        <v>88</v>
      </c>
      <c r="Q23" s="39">
        <f>SQRT(Orb2ApogeeVelocity^2+TransferOrbitApogeeVelocity^2-2*Orb2ApogeeVelocity*TransferOrbitApogeeVelocity*COS(RADIANS(ΔIncl2)))</f>
        <v>2.4455125308326449</v>
      </c>
      <c r="R23" s="43" t="s">
        <v>23</v>
      </c>
    </row>
    <row r="24" spans="2:21" ht="19.8" customHeight="1" x14ac:dyDescent="0.3">
      <c r="P24" s="36" t="s">
        <v>83</v>
      </c>
      <c r="Q24" s="39">
        <f>Q22+Q20</f>
        <v>1.9304953815511476</v>
      </c>
      <c r="R24" s="43" t="s">
        <v>23</v>
      </c>
    </row>
    <row r="25" spans="2:21" ht="19.8" customHeight="1" x14ac:dyDescent="0.3">
      <c r="P25" s="37" t="s">
        <v>90</v>
      </c>
      <c r="Q25" s="40">
        <f>Q21+Q23</f>
        <v>2.9251365178245412</v>
      </c>
      <c r="R25" s="44" t="s">
        <v>23</v>
      </c>
    </row>
    <row r="26" spans="2:21" ht="16.2" customHeight="1" thickBot="1" x14ac:dyDescent="0.35">
      <c r="P26" s="50"/>
      <c r="Q26" s="98" t="s">
        <v>172</v>
      </c>
      <c r="R26" s="50"/>
      <c r="S26" s="50"/>
    </row>
    <row r="27" spans="2:21" ht="28.8" customHeight="1" thickBot="1" x14ac:dyDescent="0.35">
      <c r="C27" s="32"/>
      <c r="D27" s="9" t="s">
        <v>33</v>
      </c>
      <c r="E27" s="28"/>
      <c r="G27" s="75"/>
      <c r="H27" s="76"/>
      <c r="I27" s="159" t="s">
        <v>235</v>
      </c>
      <c r="J27" s="77"/>
      <c r="K27" s="78"/>
      <c r="P27" s="50"/>
      <c r="Q27" s="98" t="s">
        <v>144</v>
      </c>
      <c r="R27" s="50"/>
      <c r="S27" s="50"/>
    </row>
    <row r="28" spans="2:21" ht="28.8" customHeight="1" x14ac:dyDescent="0.3">
      <c r="C28" s="34" t="s">
        <v>34</v>
      </c>
      <c r="D28" s="62">
        <v>350</v>
      </c>
      <c r="E28" s="29" t="s">
        <v>26</v>
      </c>
      <c r="G28" s="36"/>
      <c r="H28" s="56" t="s">
        <v>105</v>
      </c>
      <c r="J28" s="56" t="s">
        <v>106</v>
      </c>
      <c r="K28" s="29"/>
      <c r="P28" s="32" t="s">
        <v>65</v>
      </c>
      <c r="Q28" s="38">
        <f t="shared" ref="Q28:Q37" si="0">Q5</f>
        <v>9.7636718644533165</v>
      </c>
      <c r="R28" s="28" t="s">
        <v>23</v>
      </c>
      <c r="S28" s="50" t="s">
        <v>166</v>
      </c>
      <c r="T28" s="50"/>
    </row>
    <row r="29" spans="2:21" x14ac:dyDescent="0.3">
      <c r="C29" s="34" t="s">
        <v>35</v>
      </c>
      <c r="D29" s="62">
        <v>305491.96000000002</v>
      </c>
      <c r="E29" s="29" t="s">
        <v>38</v>
      </c>
      <c r="G29" s="36" t="s">
        <v>107</v>
      </c>
      <c r="H29" s="62">
        <v>12000</v>
      </c>
      <c r="I29" t="s">
        <v>39</v>
      </c>
      <c r="J29" s="62">
        <v>15000</v>
      </c>
      <c r="K29" s="29" t="s">
        <v>39</v>
      </c>
      <c r="P29" s="36" t="s">
        <v>66</v>
      </c>
      <c r="Q29" s="39">
        <f t="shared" si="0"/>
        <v>2.4228370922902673</v>
      </c>
      <c r="R29" s="29" t="s">
        <v>23</v>
      </c>
      <c r="S29" s="7" t="str">
        <f>IF(Orb1pRadius=Orb1aRadius, "Yes", "No")</f>
        <v>No</v>
      </c>
      <c r="T29" t="str">
        <f>IF(Orb1pRadius=Orb1aRadius, SemiMA1, "Not Circular")</f>
        <v>Not Circular</v>
      </c>
      <c r="U29" t="s">
        <v>32</v>
      </c>
    </row>
    <row r="30" spans="2:21" x14ac:dyDescent="0.3">
      <c r="C30" s="34" t="s">
        <v>36</v>
      </c>
      <c r="D30" s="62">
        <v>51575.24</v>
      </c>
      <c r="E30" s="29" t="s">
        <v>38</v>
      </c>
      <c r="G30" s="36" t="s">
        <v>108</v>
      </c>
      <c r="H30" s="62">
        <v>5000</v>
      </c>
      <c r="I30" t="s">
        <v>38</v>
      </c>
      <c r="J30" s="62">
        <v>5000</v>
      </c>
      <c r="K30" s="29" t="s">
        <v>38</v>
      </c>
      <c r="P30" s="36" t="s">
        <v>62</v>
      </c>
      <c r="Q30" s="39">
        <f t="shared" si="0"/>
        <v>-11.827893175074184</v>
      </c>
      <c r="R30" s="29" t="s">
        <v>164</v>
      </c>
    </row>
    <row r="31" spans="2:21" x14ac:dyDescent="0.3">
      <c r="C31" s="34" t="s">
        <v>37</v>
      </c>
      <c r="D31" s="61">
        <v>4334</v>
      </c>
      <c r="E31" s="30" t="s">
        <v>39</v>
      </c>
      <c r="G31" s="36"/>
      <c r="K31" s="29"/>
      <c r="P31" s="36" t="s">
        <v>63</v>
      </c>
      <c r="Q31" s="180">
        <f t="shared" si="0"/>
        <v>65416.601491837217</v>
      </c>
      <c r="R31" s="29" t="s">
        <v>163</v>
      </c>
    </row>
    <row r="32" spans="2:21" ht="15.6" x14ac:dyDescent="0.3">
      <c r="C32" s="31" t="s">
        <v>40</v>
      </c>
      <c r="D32" s="33" t="s">
        <v>41</v>
      </c>
      <c r="E32" s="28"/>
      <c r="G32" s="34" t="s">
        <v>109</v>
      </c>
      <c r="K32" s="29"/>
      <c r="P32" s="37" t="s">
        <v>145</v>
      </c>
      <c r="Q32" s="45">
        <f t="shared" si="0"/>
        <v>362.79377666801872</v>
      </c>
      <c r="R32" s="30" t="s">
        <v>69</v>
      </c>
    </row>
    <row r="33" spans="3:21" x14ac:dyDescent="0.3">
      <c r="C33" s="34" t="s">
        <v>37</v>
      </c>
      <c r="D33">
        <f>g0*ISP*LN(MassInitial/MassFinal)</f>
        <v>6107.7904830943926</v>
      </c>
      <c r="E33" s="29" t="s">
        <v>39</v>
      </c>
      <c r="G33" s="36" t="s">
        <v>110</v>
      </c>
      <c r="H33" s="62">
        <v>0.9</v>
      </c>
      <c r="J33" s="62">
        <v>0.9</v>
      </c>
      <c r="K33" s="29"/>
      <c r="P33" s="32" t="s">
        <v>71</v>
      </c>
      <c r="Q33" s="38">
        <f t="shared" si="0"/>
        <v>2.8234730386529283</v>
      </c>
      <c r="R33" s="28" t="s">
        <v>23</v>
      </c>
      <c r="S33" s="50" t="s">
        <v>166</v>
      </c>
      <c r="T33" s="50"/>
    </row>
    <row r="34" spans="3:21" x14ac:dyDescent="0.3">
      <c r="C34" s="34" t="s">
        <v>42</v>
      </c>
      <c r="D34">
        <f>MassFinal*EXP(DeltaV/(g0*ISP))</f>
        <v>182237.45495722847</v>
      </c>
      <c r="E34" s="29" t="s">
        <v>38</v>
      </c>
      <c r="G34" s="36" t="s">
        <v>34</v>
      </c>
      <c r="H34" s="62">
        <v>455</v>
      </c>
      <c r="I34" t="s">
        <v>26</v>
      </c>
      <c r="J34" s="62">
        <v>455</v>
      </c>
      <c r="K34" s="29" t="s">
        <v>26</v>
      </c>
      <c r="P34" s="36" t="s">
        <v>72</v>
      </c>
      <c r="Q34" s="39">
        <f t="shared" si="0"/>
        <v>2.8234730386529283</v>
      </c>
      <c r="R34" s="29" t="s">
        <v>23</v>
      </c>
      <c r="S34" s="7" t="str">
        <f>IF(Orb2pRadius=Orb2aRadius, "Yes", "No")</f>
        <v>Yes</v>
      </c>
      <c r="T34">
        <f>IF(Orb2pRadius=Orb2aRadius, SemiMajor2, "Not Circular")</f>
        <v>50000</v>
      </c>
      <c r="U34" t="s">
        <v>32</v>
      </c>
    </row>
    <row r="35" spans="3:21" x14ac:dyDescent="0.3">
      <c r="C35" s="34" t="s">
        <v>36</v>
      </c>
      <c r="D35">
        <f>MassInitial/(EXP(DeltaV/(g0*ISP)))</f>
        <v>86457.644828108067</v>
      </c>
      <c r="E35" s="29" t="s">
        <v>38</v>
      </c>
      <c r="G35" s="36" t="s">
        <v>37</v>
      </c>
      <c r="H35" s="62">
        <v>7665.5077521151316</v>
      </c>
      <c r="I35" t="s">
        <v>39</v>
      </c>
      <c r="J35" s="62">
        <v>7500</v>
      </c>
      <c r="K35" s="29" t="s">
        <v>39</v>
      </c>
      <c r="P35" s="36" t="s">
        <v>73</v>
      </c>
      <c r="Q35" s="39">
        <f t="shared" si="0"/>
        <v>-3.9860000000000002</v>
      </c>
      <c r="R35" s="29" t="s">
        <v>164</v>
      </c>
    </row>
    <row r="36" spans="3:21" x14ac:dyDescent="0.3">
      <c r="C36" s="34" t="s">
        <v>43</v>
      </c>
      <c r="D36">
        <f>(EXP(DeltaV/(g0*ISP))-1)*MassFinal</f>
        <v>130662.21495722847</v>
      </c>
      <c r="E36" s="29" t="s">
        <v>38</v>
      </c>
      <c r="G36" s="36" t="s">
        <v>111</v>
      </c>
      <c r="H36">
        <f>EXP(H35/(9.81*H34))</f>
        <v>5.5697866893942871</v>
      </c>
      <c r="J36">
        <f>EXP(J35/(9.81*J34))</f>
        <v>5.3670419509975185</v>
      </c>
      <c r="K36" s="29"/>
      <c r="P36" s="36" t="s">
        <v>146</v>
      </c>
      <c r="Q36" s="180">
        <f t="shared" si="0"/>
        <v>141173.6519326464</v>
      </c>
      <c r="R36" s="29" t="s">
        <v>163</v>
      </c>
    </row>
    <row r="37" spans="3:21" x14ac:dyDescent="0.3">
      <c r="C37" s="35" t="s">
        <v>43</v>
      </c>
      <c r="D37" s="4">
        <f>MassInitial*(1-EXP(-DeltaV/(g0*ISP)))</f>
        <v>219034.31517189194</v>
      </c>
      <c r="E37" s="30" t="s">
        <v>38</v>
      </c>
      <c r="G37" s="51" t="s">
        <v>112</v>
      </c>
      <c r="H37" s="67">
        <f>(H30*(H36-1))/(1-(1-H33)*H36)</f>
        <v>51575.244452162617</v>
      </c>
      <c r="I37" s="52" t="s">
        <v>38</v>
      </c>
      <c r="J37" s="67">
        <f>(J30*(J36-1))/(1-(1-J33)*J36)</f>
        <v>47130.169373514851</v>
      </c>
      <c r="K37" s="53" t="s">
        <v>38</v>
      </c>
      <c r="P37" s="37" t="s">
        <v>75</v>
      </c>
      <c r="Q37" s="45">
        <f t="shared" si="0"/>
        <v>1854.4493552100873</v>
      </c>
      <c r="R37" s="30" t="s">
        <v>69</v>
      </c>
      <c r="S37" t="s">
        <v>167</v>
      </c>
    </row>
    <row r="38" spans="3:21" x14ac:dyDescent="0.3">
      <c r="G38" s="36" t="s">
        <v>113</v>
      </c>
      <c r="H38" s="68">
        <f>H33*H37</f>
        <v>46417.720006946358</v>
      </c>
      <c r="I38" t="s">
        <v>38</v>
      </c>
      <c r="J38" s="68">
        <f>J33*J37</f>
        <v>42417.152436163364</v>
      </c>
      <c r="K38" s="29" t="s">
        <v>38</v>
      </c>
      <c r="P38" s="32" t="s">
        <v>76</v>
      </c>
      <c r="Q38" s="181">
        <f>S38+Q28</f>
        <v>12.263671864453316</v>
      </c>
      <c r="R38" s="63" t="s">
        <v>23</v>
      </c>
      <c r="S38" s="59">
        <v>2.5</v>
      </c>
      <c r="T38" t="s">
        <v>23</v>
      </c>
    </row>
    <row r="39" spans="3:21" x14ac:dyDescent="0.3">
      <c r="G39" s="36" t="s">
        <v>114</v>
      </c>
      <c r="H39" s="69">
        <f>H37*(1-H33)</f>
        <v>5157.5244452162606</v>
      </c>
      <c r="I39" t="s">
        <v>38</v>
      </c>
      <c r="J39" s="69">
        <f>J37*(1-J33)</f>
        <v>4713.0169373514836</v>
      </c>
      <c r="K39" s="29" t="s">
        <v>38</v>
      </c>
      <c r="P39" s="36" t="s">
        <v>78</v>
      </c>
      <c r="Q39" s="39">
        <f>(Q38^2/2)-mu/Orb1pRadius</f>
        <v>15.706286486059113</v>
      </c>
      <c r="R39" s="29" t="s">
        <v>164</v>
      </c>
    </row>
    <row r="40" spans="3:21" x14ac:dyDescent="0.3">
      <c r="G40" s="36"/>
      <c r="K40" s="29"/>
      <c r="P40" s="36" t="s">
        <v>147</v>
      </c>
      <c r="Q40" s="136">
        <f>Q38*Orb1pRadius</f>
        <v>82166.601491837224</v>
      </c>
      <c r="R40" s="29" t="s">
        <v>164</v>
      </c>
    </row>
    <row r="41" spans="3:21" x14ac:dyDescent="0.3">
      <c r="G41" s="34" t="s">
        <v>170</v>
      </c>
      <c r="K41" s="29"/>
      <c r="P41" s="36" t="s">
        <v>148</v>
      </c>
      <c r="Q41" s="58">
        <f>(-mu)/(2*Q39)</f>
        <v>-12689.186599066465</v>
      </c>
      <c r="R41" s="29" t="s">
        <v>32</v>
      </c>
    </row>
    <row r="42" spans="3:21" x14ac:dyDescent="0.3">
      <c r="G42" s="36" t="s">
        <v>110</v>
      </c>
      <c r="H42" s="62">
        <v>0.88</v>
      </c>
      <c r="J42" s="62">
        <v>0.9</v>
      </c>
      <c r="K42" s="29"/>
      <c r="P42" s="36" t="s">
        <v>149</v>
      </c>
      <c r="Q42" s="58">
        <f>2*Q41-Orb1pRadius</f>
        <v>-32078.373198132929</v>
      </c>
      <c r="R42" s="29" t="s">
        <v>32</v>
      </c>
      <c r="S42" t="s">
        <v>168</v>
      </c>
    </row>
    <row r="43" spans="3:21" x14ac:dyDescent="0.3">
      <c r="G43" s="36" t="s">
        <v>34</v>
      </c>
      <c r="H43" s="62">
        <v>350</v>
      </c>
      <c r="I43" t="s">
        <v>26</v>
      </c>
      <c r="J43" s="62">
        <v>455</v>
      </c>
      <c r="K43" s="29" t="s">
        <v>26</v>
      </c>
      <c r="P43" s="36" t="s">
        <v>150</v>
      </c>
      <c r="Q43" s="58">
        <f>(Q42-Orb1pRadius)/(Orb1pRadius+Q42)</f>
        <v>1.5280086274791576</v>
      </c>
      <c r="R43" s="66" t="str">
        <f>IF(Q43&gt;1,"Hyperbolic","Ellipse")</f>
        <v>Hyperbolic</v>
      </c>
      <c r="S43" s="7" t="str">
        <f>IF(Q42&gt;=Orb2aRadius, "Yes", "No")</f>
        <v>No</v>
      </c>
    </row>
    <row r="44" spans="3:21" x14ac:dyDescent="0.3">
      <c r="G44" s="36" t="s">
        <v>37</v>
      </c>
      <c r="H44">
        <f>H29-H35</f>
        <v>4334.4922478848684</v>
      </c>
      <c r="I44" t="s">
        <v>39</v>
      </c>
      <c r="J44">
        <v>7500</v>
      </c>
      <c r="K44" s="29" t="s">
        <v>39</v>
      </c>
      <c r="P44" s="36" t="s">
        <v>151</v>
      </c>
      <c r="Q44" s="131">
        <f>DEGREES(ACOS((Q41*(1-Q43^2)-Orb2pRadius)/(Orb2pRadius*Q43)))</f>
        <v>115.64225525345674</v>
      </c>
      <c r="R44" s="29" t="s">
        <v>50</v>
      </c>
    </row>
    <row r="45" spans="3:21" x14ac:dyDescent="0.3">
      <c r="G45" s="36" t="s">
        <v>111</v>
      </c>
      <c r="H45" s="64">
        <f>EXP(H44/(9.81*H43))</f>
        <v>3.5339357320207943</v>
      </c>
      <c r="I45" s="64"/>
      <c r="J45" s="64">
        <f>EXP(J44/(9.81*J43))</f>
        <v>5.3670419509975185</v>
      </c>
      <c r="K45" s="29"/>
      <c r="P45" s="36" t="s">
        <v>152</v>
      </c>
      <c r="Q45" s="58" t="e">
        <f>2*ATAN(SQRT((1-Q43)/(1+Q43))*TAN(RADIANS(Q44/2)))</f>
        <v>#NUM!</v>
      </c>
      <c r="R45" s="29" t="s">
        <v>102</v>
      </c>
    </row>
    <row r="46" spans="3:21" x14ac:dyDescent="0.3">
      <c r="G46" s="54" t="s">
        <v>112</v>
      </c>
      <c r="H46" s="67">
        <f>((H45-1)*(H30+H37)/(1-H45*(1-H42)))</f>
        <v>248916.71374538841</v>
      </c>
      <c r="I46" s="7" t="s">
        <v>38</v>
      </c>
      <c r="J46" s="67">
        <f>((J45-1)*(J30+J37)/(1-J45*(1-J42)))</f>
        <v>491380.7424087543</v>
      </c>
      <c r="K46" s="55" t="s">
        <v>38</v>
      </c>
      <c r="P46" s="36" t="s">
        <v>80</v>
      </c>
      <c r="Q46" s="131" t="e">
        <f>(SQRT(Q41^3/mu)*(Q45-Q43*SIN(Q45)))/60</f>
        <v>#NUM!</v>
      </c>
      <c r="R46" s="29" t="s">
        <v>69</v>
      </c>
      <c r="S46" s="57" t="e">
        <f>Q46/60</f>
        <v>#NUM!</v>
      </c>
      <c r="T46" t="s">
        <v>103</v>
      </c>
    </row>
    <row r="47" spans="3:21" x14ac:dyDescent="0.3">
      <c r="G47" s="36" t="s">
        <v>113</v>
      </c>
      <c r="H47" s="69">
        <f>H46*H42</f>
        <v>219046.70809594181</v>
      </c>
      <c r="I47" t="s">
        <v>38</v>
      </c>
      <c r="J47" s="69">
        <f>J46*J42</f>
        <v>442242.66816787887</v>
      </c>
      <c r="K47" s="29" t="s">
        <v>38</v>
      </c>
      <c r="P47" s="36" t="s">
        <v>153</v>
      </c>
      <c r="Q47" s="182">
        <f>S38</f>
        <v>2.5</v>
      </c>
      <c r="R47" s="29" t="s">
        <v>23</v>
      </c>
    </row>
    <row r="48" spans="3:21" ht="15" thickBot="1" x14ac:dyDescent="0.35">
      <c r="G48" s="36" t="s">
        <v>114</v>
      </c>
      <c r="H48" s="69">
        <f>H46*(1-H42)</f>
        <v>29870.005649446608</v>
      </c>
      <c r="I48" t="s">
        <v>38</v>
      </c>
      <c r="J48" s="69">
        <f>J46*(1-J42)</f>
        <v>49138.074240875423</v>
      </c>
      <c r="K48" s="29" t="s">
        <v>38</v>
      </c>
      <c r="P48" s="36" t="s">
        <v>154</v>
      </c>
      <c r="Q48" s="183">
        <f>SQRT(Q5^2+Q38^2-2*Q5*Q38*COS(RADIANS(ΔIncl1)))</f>
        <v>2.5000000000000058</v>
      </c>
      <c r="R48" s="29" t="s">
        <v>23</v>
      </c>
    </row>
    <row r="49" spans="1:24" ht="15" thickBot="1" x14ac:dyDescent="0.35">
      <c r="G49" s="71" t="s">
        <v>171</v>
      </c>
      <c r="H49" s="72">
        <f>H46+H37+H30</f>
        <v>305491.95819755102</v>
      </c>
      <c r="I49" s="73" t="s">
        <v>38</v>
      </c>
      <c r="J49" s="72">
        <f>J46+J37+J30</f>
        <v>543510.91178226913</v>
      </c>
      <c r="K49" s="74" t="s">
        <v>38</v>
      </c>
      <c r="P49" s="36" t="s">
        <v>155</v>
      </c>
      <c r="Q49" s="183">
        <f>SQRT(2*(mu/Orb2pRadius+Q39))</f>
        <v>6.8816112191926555</v>
      </c>
      <c r="R49" s="29" t="s">
        <v>23</v>
      </c>
    </row>
    <row r="50" spans="1:24" x14ac:dyDescent="0.3">
      <c r="P50" s="36" t="s">
        <v>156</v>
      </c>
      <c r="Q50" s="39">
        <f>DEGREES(ACOS(Q40/(Orb2pRadius*Q49)))</f>
        <v>76.184245737677159</v>
      </c>
      <c r="R50" s="29" t="s">
        <v>50</v>
      </c>
    </row>
    <row r="51" spans="1:24" x14ac:dyDescent="0.3">
      <c r="P51" s="36" t="s">
        <v>169</v>
      </c>
      <c r="Q51" s="58">
        <f>SQRT(Q49^2+Q33^2-2*Q33*Q49*COS(RADIANS(Q50)))</f>
        <v>6.7859240794839844</v>
      </c>
      <c r="R51" s="29" t="s">
        <v>23</v>
      </c>
    </row>
    <row r="52" spans="1:24" x14ac:dyDescent="0.3">
      <c r="P52" s="36" t="s">
        <v>157</v>
      </c>
      <c r="Q52" s="58">
        <f>SQRT(Q49^2+Q33^2-2*Q33*Q49*(COS(RADIANS(Q50))-COS(RADIANS(Q50))*(1-COS(RADIANS(ΔIncl2)))))</f>
        <v>7.1195975512889342</v>
      </c>
      <c r="R52" s="29" t="s">
        <v>23</v>
      </c>
    </row>
    <row r="53" spans="1:24" ht="15" thickBot="1" x14ac:dyDescent="0.35">
      <c r="P53" s="36" t="s">
        <v>83</v>
      </c>
      <c r="Q53" s="104">
        <f>Q51+Q47</f>
        <v>9.2859240794839835</v>
      </c>
      <c r="R53" s="29" t="s">
        <v>23</v>
      </c>
    </row>
    <row r="54" spans="1:24" x14ac:dyDescent="0.3">
      <c r="A54" s="82"/>
      <c r="B54" s="95" t="s">
        <v>184</v>
      </c>
      <c r="P54" s="37" t="s">
        <v>158</v>
      </c>
      <c r="Q54" s="184">
        <f>Q52+Q48</f>
        <v>9.6195975512889405</v>
      </c>
      <c r="R54" s="29" t="s">
        <v>23</v>
      </c>
    </row>
    <row r="55" spans="1:24" x14ac:dyDescent="0.3">
      <c r="A55" s="85" t="s">
        <v>181</v>
      </c>
      <c r="B55" s="86">
        <v>1.141</v>
      </c>
      <c r="P55" s="32" t="s">
        <v>159</v>
      </c>
      <c r="Q55" s="178">
        <f>-1*(3/2*SQRT(mu)*H4*EarthRadius^2/(1-Eccentricity1^2)^2)/(SemiMA1^(7/2))*3600*24*180/PI()*COS(RADIANS(Incl1))</f>
        <v>-0.28010587643772245</v>
      </c>
      <c r="R55" s="28" t="s">
        <v>165</v>
      </c>
    </row>
    <row r="56" spans="1:24" x14ac:dyDescent="0.3">
      <c r="A56" s="85" t="s">
        <v>182</v>
      </c>
      <c r="B56" s="86">
        <v>7.0999999999999994E-2</v>
      </c>
      <c r="P56" s="37" t="s">
        <v>160</v>
      </c>
      <c r="Q56" s="179">
        <f>-1*(3/2*SQRT(mu)*H4*EarthRadius^2/(1-Eccentricity1^2)^2)/(SemiMajor2^(7/2))*3600*24*180/PI()*COS(RADIANS(Incl2))</f>
        <v>-1.7919531356100846E-2</v>
      </c>
      <c r="R56" s="30" t="s">
        <v>165</v>
      </c>
    </row>
    <row r="57" spans="1:24" ht="15" thickBot="1" x14ac:dyDescent="0.35">
      <c r="A57" s="96" t="s">
        <v>183</v>
      </c>
      <c r="B57" s="97">
        <v>0.81</v>
      </c>
      <c r="P57" s="32" t="s">
        <v>161</v>
      </c>
      <c r="Q57" s="178">
        <f>-1*(3/2*SQRT(mu)*H4*EarthRadius^2/(1-Eccentricity1^2)^2)/(SemiMajor1^(7/2))*DEGREES(5/2*(SIN(RADIANS(Incl1)))^2-2)*3600*24</f>
        <v>-0.16998276700609533</v>
      </c>
      <c r="R57" s="28" t="s">
        <v>165</v>
      </c>
    </row>
    <row r="58" spans="1:24" ht="13.8" customHeight="1" thickBot="1" x14ac:dyDescent="0.35">
      <c r="P58" s="37" t="s">
        <v>162</v>
      </c>
      <c r="Q58" s="179">
        <f>-1*(3/2*SQRT(mu)*H4*EarthRadius^2/(1-Eccentricity2^2)^2)/(SemiMajor2^(7/2))*DEGREES(5/2*(SIN(RADIANS(Incl2)))^2-2)*3600*24</f>
        <v>1.4216632687911563E-2</v>
      </c>
      <c r="R58" s="30" t="s">
        <v>165</v>
      </c>
    </row>
    <row r="59" spans="1:24" ht="23.4" customHeight="1" thickBot="1" x14ac:dyDescent="0.35">
      <c r="A59" s="75"/>
      <c r="B59" s="76"/>
      <c r="C59" s="108" t="s">
        <v>175</v>
      </c>
      <c r="D59" s="76"/>
      <c r="E59" s="78"/>
      <c r="G59" s="75"/>
      <c r="H59" s="73" t="s">
        <v>224</v>
      </c>
      <c r="I59" s="78"/>
    </row>
    <row r="60" spans="1:24" x14ac:dyDescent="0.3">
      <c r="A60" s="92" t="s">
        <v>178</v>
      </c>
      <c r="B60" s="8" t="s">
        <v>109</v>
      </c>
      <c r="C60" s="8" t="s">
        <v>179</v>
      </c>
      <c r="D60" s="8" t="s">
        <v>177</v>
      </c>
      <c r="E60" s="93" t="s">
        <v>180</v>
      </c>
      <c r="G60" s="34" t="s">
        <v>170</v>
      </c>
      <c r="I60" s="29"/>
      <c r="T60" s="82"/>
      <c r="U60" s="160"/>
      <c r="V60" s="161" t="s">
        <v>236</v>
      </c>
      <c r="W60" s="162"/>
      <c r="X60" s="163"/>
    </row>
    <row r="61" spans="1:24" ht="28.8" x14ac:dyDescent="0.3">
      <c r="A61" s="83">
        <v>6</v>
      </c>
      <c r="B61" t="s">
        <v>173</v>
      </c>
      <c r="C61" s="69">
        <f>H38/(A61+1)*A61</f>
        <v>39786.617148811165</v>
      </c>
      <c r="D61" s="69">
        <f>C61/B55</f>
        <v>34869.953679939674</v>
      </c>
      <c r="E61" s="87">
        <f>D61/1000</f>
        <v>34.869953679939677</v>
      </c>
      <c r="G61" s="34" t="s">
        <v>226</v>
      </c>
      <c r="H61" s="69">
        <f>H49*9.81*1.1</f>
        <v>3296563.7209097734</v>
      </c>
      <c r="I61" s="29" t="s">
        <v>227</v>
      </c>
      <c r="T61" s="32"/>
      <c r="U61" s="167" t="s">
        <v>105</v>
      </c>
      <c r="V61" s="1"/>
      <c r="W61" s="167" t="s">
        <v>106</v>
      </c>
      <c r="X61" s="28"/>
    </row>
    <row r="62" spans="1:24" x14ac:dyDescent="0.3">
      <c r="A62" s="83"/>
      <c r="B62" t="s">
        <v>176</v>
      </c>
      <c r="C62" s="69">
        <f>H38/(A61+1)</f>
        <v>6631.1028581351939</v>
      </c>
      <c r="D62" s="69">
        <f>C62/B56</f>
        <v>93395.814903312596</v>
      </c>
      <c r="E62" s="87">
        <f t="shared" ref="E62:E66" si="1">D62/1000</f>
        <v>93.395814903312598</v>
      </c>
      <c r="G62" s="34" t="s">
        <v>225</v>
      </c>
      <c r="H62" s="155">
        <f>1.96*10^6</f>
        <v>1960000</v>
      </c>
      <c r="I62" s="29" t="s">
        <v>227</v>
      </c>
      <c r="T62" s="36" t="s">
        <v>107</v>
      </c>
      <c r="U62" s="168">
        <v>15000</v>
      </c>
      <c r="V62" s="169" t="s">
        <v>39</v>
      </c>
      <c r="W62" s="168">
        <v>15000</v>
      </c>
      <c r="X62" s="29" t="s">
        <v>39</v>
      </c>
    </row>
    <row r="63" spans="1:24" x14ac:dyDescent="0.3">
      <c r="A63" s="83"/>
      <c r="E63" s="87"/>
      <c r="G63" s="35" t="s">
        <v>228</v>
      </c>
      <c r="H63" s="4">
        <f>ROUNDUP(H61/H62,0)</f>
        <v>2</v>
      </c>
      <c r="I63" s="30"/>
      <c r="T63" s="36" t="s">
        <v>108</v>
      </c>
      <c r="U63" s="168">
        <v>5000</v>
      </c>
      <c r="V63" s="169" t="s">
        <v>38</v>
      </c>
      <c r="W63" s="168">
        <v>5000</v>
      </c>
      <c r="X63" s="29" t="s">
        <v>38</v>
      </c>
    </row>
    <row r="64" spans="1:24" x14ac:dyDescent="0.3">
      <c r="A64" s="83">
        <v>2.56</v>
      </c>
      <c r="B64" s="8" t="s">
        <v>170</v>
      </c>
      <c r="E64" s="87"/>
      <c r="G64" s="48" t="s">
        <v>109</v>
      </c>
      <c r="H64" s="1"/>
      <c r="I64" s="28"/>
      <c r="T64" s="36"/>
      <c r="U64" s="169"/>
      <c r="V64" s="169"/>
      <c r="W64" s="169"/>
      <c r="X64" s="29"/>
    </row>
    <row r="65" spans="1:24" x14ac:dyDescent="0.3">
      <c r="A65" s="83"/>
      <c r="B65" t="s">
        <v>173</v>
      </c>
      <c r="C65" s="80">
        <f>H47/(A$64+1)*A$64</f>
        <v>157516.7339116885</v>
      </c>
      <c r="D65" s="69">
        <f>C65/B55</f>
        <v>138051.47582093647</v>
      </c>
      <c r="E65" s="87">
        <f t="shared" si="1"/>
        <v>138.05147582093647</v>
      </c>
      <c r="G65" s="34" t="s">
        <v>226</v>
      </c>
      <c r="H65" s="69" t="s">
        <v>229</v>
      </c>
      <c r="I65" s="29" t="s">
        <v>227</v>
      </c>
      <c r="J65" t="s">
        <v>234</v>
      </c>
      <c r="T65" s="34" t="s">
        <v>237</v>
      </c>
      <c r="U65" s="169"/>
      <c r="V65" s="169"/>
      <c r="W65" s="169"/>
      <c r="X65" s="29"/>
    </row>
    <row r="66" spans="1:24" ht="15" thickBot="1" x14ac:dyDescent="0.35">
      <c r="A66" s="88"/>
      <c r="B66" s="89" t="s">
        <v>185</v>
      </c>
      <c r="C66" s="94">
        <f>H47/(A$64+1)</f>
        <v>61529.974184253319</v>
      </c>
      <c r="D66" s="90">
        <f>C66/B57</f>
        <v>75962.931091670762</v>
      </c>
      <c r="E66" s="91">
        <f t="shared" si="1"/>
        <v>75.962931091670768</v>
      </c>
      <c r="G66" s="34" t="s">
        <v>225</v>
      </c>
      <c r="H66" s="155">
        <f>1.96*10^6</f>
        <v>1960000</v>
      </c>
      <c r="I66" s="29" t="s">
        <v>227</v>
      </c>
      <c r="T66" s="36" t="s">
        <v>110</v>
      </c>
      <c r="U66" s="168">
        <v>0.94</v>
      </c>
      <c r="V66" s="169"/>
      <c r="W66" s="168">
        <v>0.9</v>
      </c>
      <c r="X66" s="29"/>
    </row>
    <row r="67" spans="1:24" x14ac:dyDescent="0.3">
      <c r="A67" t="s">
        <v>240</v>
      </c>
      <c r="B67">
        <v>8.9999999999999993E-3</v>
      </c>
      <c r="C67" t="s">
        <v>194</v>
      </c>
      <c r="G67" s="35" t="s">
        <v>228</v>
      </c>
      <c r="H67" s="4">
        <v>1</v>
      </c>
      <c r="I67" s="30"/>
      <c r="T67" s="36" t="s">
        <v>34</v>
      </c>
      <c r="U67" s="168">
        <v>455</v>
      </c>
      <c r="V67" s="169" t="s">
        <v>26</v>
      </c>
      <c r="W67" s="168">
        <v>455</v>
      </c>
      <c r="X67" s="29" t="s">
        <v>26</v>
      </c>
    </row>
    <row r="68" spans="1:24" ht="15" thickBot="1" x14ac:dyDescent="0.35">
      <c r="A68" s="8" t="s">
        <v>241</v>
      </c>
      <c r="B68">
        <v>5.0000000000000001E-3</v>
      </c>
      <c r="C68" t="s">
        <v>194</v>
      </c>
      <c r="D68" s="8" t="s">
        <v>196</v>
      </c>
      <c r="E68">
        <v>2710</v>
      </c>
      <c r="F68" t="s">
        <v>197</v>
      </c>
      <c r="T68" s="36" t="s">
        <v>37</v>
      </c>
      <c r="U68" s="168">
        <v>6459.328223330268</v>
      </c>
      <c r="V68" s="169" t="s">
        <v>39</v>
      </c>
      <c r="W68" s="176">
        <f>W62/3</f>
        <v>5000</v>
      </c>
      <c r="X68" s="29" t="s">
        <v>39</v>
      </c>
    </row>
    <row r="69" spans="1:24" ht="24.6" customHeight="1" thickBot="1" x14ac:dyDescent="0.35">
      <c r="A69" s="75"/>
      <c r="B69" s="76"/>
      <c r="C69" s="76"/>
      <c r="D69" s="76"/>
      <c r="E69" s="108" t="s">
        <v>186</v>
      </c>
      <c r="F69" s="76"/>
      <c r="G69" s="76"/>
      <c r="H69" s="78"/>
      <c r="T69" s="36" t="s">
        <v>111</v>
      </c>
      <c r="U69" s="173">
        <f>EXP(U68/(9.81*U67))</f>
        <v>4.25088845243984</v>
      </c>
      <c r="V69" s="169"/>
      <c r="W69" s="173">
        <f>EXP(W68/(9.81*W67))</f>
        <v>3.0654200472925242</v>
      </c>
      <c r="X69" s="29"/>
    </row>
    <row r="70" spans="1:24" x14ac:dyDescent="0.3">
      <c r="A70" s="83"/>
      <c r="B70" s="8" t="s">
        <v>187</v>
      </c>
      <c r="C70" s="8" t="s">
        <v>188</v>
      </c>
      <c r="D70" s="8" t="s">
        <v>189</v>
      </c>
      <c r="E70" s="8" t="s">
        <v>190</v>
      </c>
      <c r="F70" s="8" t="s">
        <v>180</v>
      </c>
      <c r="G70" s="8" t="s">
        <v>195</v>
      </c>
      <c r="H70" s="84" t="s">
        <v>198</v>
      </c>
      <c r="I70" s="8" t="s">
        <v>200</v>
      </c>
      <c r="J70" s="32"/>
      <c r="K70" s="121" t="s">
        <v>218</v>
      </c>
      <c r="L70" s="1"/>
      <c r="M70" s="1"/>
      <c r="N70" s="121" t="s">
        <v>217</v>
      </c>
      <c r="O70" s="28"/>
      <c r="T70" s="51" t="s">
        <v>112</v>
      </c>
      <c r="U70" s="170">
        <f>(U63*(U69-1))/(1-(1-U66)*U69)</f>
        <v>21819.60456785783</v>
      </c>
      <c r="V70" s="171" t="s">
        <v>38</v>
      </c>
      <c r="W70" s="170">
        <f>(W63*(W69-1))/(1-(1-W66)*W69)</f>
        <v>14892.178483616155</v>
      </c>
      <c r="X70" s="53" t="s">
        <v>38</v>
      </c>
    </row>
    <row r="71" spans="1:24" x14ac:dyDescent="0.3">
      <c r="A71" s="85" t="s">
        <v>109</v>
      </c>
      <c r="F71" s="81" t="s">
        <v>193</v>
      </c>
      <c r="H71" s="86"/>
      <c r="J71" s="34" t="s">
        <v>220</v>
      </c>
      <c r="K71">
        <v>2800</v>
      </c>
      <c r="L71" t="s">
        <v>38</v>
      </c>
      <c r="N71">
        <v>400</v>
      </c>
      <c r="O71" s="29" t="s">
        <v>38</v>
      </c>
      <c r="T71" s="36" t="s">
        <v>113</v>
      </c>
      <c r="U71" s="155">
        <f>U66*U70</f>
        <v>20510.428293786361</v>
      </c>
      <c r="V71" s="176" t="s">
        <v>38</v>
      </c>
      <c r="W71" s="155">
        <f>W66*W70</f>
        <v>13402.96063525454</v>
      </c>
      <c r="X71" s="29" t="s">
        <v>38</v>
      </c>
    </row>
    <row r="72" spans="1:24" x14ac:dyDescent="0.3">
      <c r="A72" s="83" t="s">
        <v>191</v>
      </c>
      <c r="B72" s="111">
        <v>2</v>
      </c>
      <c r="C72" s="58">
        <f>B72*2</f>
        <v>4</v>
      </c>
      <c r="D72" s="102">
        <f>F72/(PI()*B72^2)-4/3*B72</f>
        <v>0.19144196251046353</v>
      </c>
      <c r="E72" s="58">
        <f>D72+C72</f>
        <v>4.1914419625104635</v>
      </c>
      <c r="F72" s="102">
        <f>E61*1.03</f>
        <v>35.916052290337866</v>
      </c>
      <c r="G72" s="102">
        <f>(PI()*((B72+B$68)^2-B72^2)*D72)+(4/3*PI()*((B72+$B$68)^3-B72^3))</f>
        <v>0.26399994349347755</v>
      </c>
      <c r="H72" s="103">
        <f>(G72*$E$68)*1.5</f>
        <v>1073.1597703009861</v>
      </c>
      <c r="J72" s="34" t="s">
        <v>219</v>
      </c>
      <c r="K72">
        <v>400</v>
      </c>
      <c r="L72" t="s">
        <v>38</v>
      </c>
      <c r="O72" s="29" t="s">
        <v>38</v>
      </c>
      <c r="T72" s="36" t="s">
        <v>114</v>
      </c>
      <c r="U72" s="155">
        <f>U70*(1-U66)</f>
        <v>1309.176274071471</v>
      </c>
      <c r="V72" s="176" t="s">
        <v>38</v>
      </c>
      <c r="W72" s="155">
        <f>W70*(1-W66)</f>
        <v>1489.2178483616151</v>
      </c>
      <c r="X72" s="29" t="s">
        <v>38</v>
      </c>
    </row>
    <row r="73" spans="1:24" x14ac:dyDescent="0.3">
      <c r="A73" s="83" t="s">
        <v>176</v>
      </c>
      <c r="B73" s="111">
        <v>2</v>
      </c>
      <c r="C73" s="58">
        <f>B73*2</f>
        <v>4</v>
      </c>
      <c r="D73" s="102">
        <f>F73/(PI()*B73^2)-4/3*B73</f>
        <v>4.9885022204016565</v>
      </c>
      <c r="E73" s="58">
        <f>D73+C73</f>
        <v>8.9885022204016565</v>
      </c>
      <c r="F73" s="102">
        <f>E62*1.03</f>
        <v>96.197689350411977</v>
      </c>
      <c r="G73" s="102">
        <f>(PI()*((B73+B$68)^2-B73^2)*D73)+(4/3*PI()*((B73+$B$68)^3-B73^3))</f>
        <v>0.56578488902546642</v>
      </c>
      <c r="H73" s="103">
        <f>(G73*$E$68)*1.5</f>
        <v>2299.9155738885211</v>
      </c>
      <c r="J73" s="34" t="s">
        <v>221</v>
      </c>
      <c r="N73">
        <v>250</v>
      </c>
      <c r="O73" s="29" t="s">
        <v>38</v>
      </c>
      <c r="T73" s="36"/>
      <c r="U73" s="169"/>
      <c r="V73" s="169"/>
      <c r="W73" s="169"/>
      <c r="X73" s="29"/>
    </row>
    <row r="74" spans="1:24" x14ac:dyDescent="0.3">
      <c r="A74" s="85" t="s">
        <v>170</v>
      </c>
      <c r="B74" s="58"/>
      <c r="C74" s="58"/>
      <c r="D74" s="58"/>
      <c r="E74" s="58"/>
      <c r="F74" s="58"/>
      <c r="G74" s="104" t="s">
        <v>201</v>
      </c>
      <c r="H74" s="101">
        <f>H72+H73+N74</f>
        <v>4023.0753441895072</v>
      </c>
      <c r="I74" s="99">
        <f>H74/H38</f>
        <v>8.6671110592839509E-2</v>
      </c>
      <c r="J74" s="122" t="s">
        <v>222</v>
      </c>
      <c r="K74" s="123">
        <f>SUM(K71:K73)</f>
        <v>3200</v>
      </c>
      <c r="L74" s="123"/>
      <c r="M74" s="123"/>
      <c r="N74" s="123">
        <f>SUM(N71:N73)</f>
        <v>650</v>
      </c>
      <c r="O74" s="124" t="s">
        <v>38</v>
      </c>
      <c r="T74" s="34" t="s">
        <v>109</v>
      </c>
      <c r="U74" s="169"/>
      <c r="V74" s="169"/>
      <c r="W74" s="169"/>
      <c r="X74" s="29"/>
    </row>
    <row r="75" spans="1:24" x14ac:dyDescent="0.3">
      <c r="A75" s="83" t="s">
        <v>191</v>
      </c>
      <c r="B75" s="111">
        <v>2</v>
      </c>
      <c r="C75" s="58">
        <f>B75*2</f>
        <v>4</v>
      </c>
      <c r="D75" s="102">
        <f>F75/(PI()*B75^2)-4/3*B75</f>
        <v>8.6486943440204893</v>
      </c>
      <c r="E75" s="58">
        <f>D75+C75</f>
        <v>12.648694344020489</v>
      </c>
      <c r="F75" s="102">
        <f>E65*1.03</f>
        <v>142.19302009556458</v>
      </c>
      <c r="G75" s="102">
        <f>PI()*((B75+B$67)^2-B75^2)*D75+4/3*PI()*((B75+$B$67)^3-B75^3)</f>
        <v>1.4347732585437156</v>
      </c>
      <c r="H75" s="103">
        <f>(G75*$E$68)*1.5</f>
        <v>5832.3532959802033</v>
      </c>
      <c r="T75" s="36" t="s">
        <v>110</v>
      </c>
      <c r="U75" s="168">
        <v>0.92</v>
      </c>
      <c r="V75" s="169"/>
      <c r="W75" s="176">
        <f>W66</f>
        <v>0.9</v>
      </c>
      <c r="X75" s="29"/>
    </row>
    <row r="76" spans="1:24" ht="15" thickBot="1" x14ac:dyDescent="0.35">
      <c r="A76" s="88" t="s">
        <v>192</v>
      </c>
      <c r="B76" s="177">
        <v>2</v>
      </c>
      <c r="C76" s="105">
        <f>B76*2</f>
        <v>4</v>
      </c>
      <c r="D76" s="106">
        <f>F76/(PI()*B76^2)-4/3*B76</f>
        <v>3.5596194604523741</v>
      </c>
      <c r="E76" s="105">
        <f>D76+C76</f>
        <v>7.5596194604523745</v>
      </c>
      <c r="F76" s="106">
        <f>E66*1.03</f>
        <v>78.241819024420892</v>
      </c>
      <c r="G76" s="106">
        <f>PI()*((B76+B$67)^2-B76^2)*D76+4/3*PI()*((B76+$B$67)^3-B76^3)</f>
        <v>0.85791743708174195</v>
      </c>
      <c r="H76" s="107">
        <f>(G76*$E$68)*1.5</f>
        <v>3487.434381737281</v>
      </c>
      <c r="I76" s="8"/>
      <c r="T76" s="36" t="s">
        <v>34</v>
      </c>
      <c r="U76" s="168">
        <v>455</v>
      </c>
      <c r="V76" s="169" t="s">
        <v>26</v>
      </c>
      <c r="W76" s="176">
        <f>W67</f>
        <v>455</v>
      </c>
      <c r="X76" s="29" t="s">
        <v>26</v>
      </c>
    </row>
    <row r="77" spans="1:24" x14ac:dyDescent="0.3">
      <c r="G77" s="100" t="s">
        <v>201</v>
      </c>
      <c r="H77" s="70">
        <f>H75+H76+K74</f>
        <v>12519.787677717484</v>
      </c>
      <c r="I77" s="99">
        <f>H77/H47</f>
        <v>5.7155790135106042E-2</v>
      </c>
      <c r="T77" s="36" t="s">
        <v>37</v>
      </c>
      <c r="U77" s="168">
        <v>5175.2399041294866</v>
      </c>
      <c r="V77" s="169" t="s">
        <v>39</v>
      </c>
      <c r="W77" s="176">
        <f>W62/3</f>
        <v>5000</v>
      </c>
      <c r="X77" s="29" t="s">
        <v>39</v>
      </c>
    </row>
    <row r="78" spans="1:24" x14ac:dyDescent="0.3">
      <c r="H78" t="s">
        <v>199</v>
      </c>
      <c r="T78" s="36" t="s">
        <v>111</v>
      </c>
      <c r="U78" s="169">
        <f>EXP(U77/(9.81*U76))</f>
        <v>3.1881627646338058</v>
      </c>
      <c r="V78" s="169"/>
      <c r="W78" s="169">
        <f>EXP(W77/(9.81*W76))</f>
        <v>3.0654200472925242</v>
      </c>
      <c r="X78" s="29"/>
    </row>
    <row r="79" spans="1:24" x14ac:dyDescent="0.3">
      <c r="T79" s="51" t="s">
        <v>112</v>
      </c>
      <c r="U79" s="170">
        <f>((U63+U70)*(U78-1))/(1-(1-U75)*U78)</f>
        <v>78778.304691986719</v>
      </c>
      <c r="V79" s="171" t="s">
        <v>38</v>
      </c>
      <c r="W79" s="170">
        <f>((W63+W70)*(W78-1))/(1-(1-W75)*W78)</f>
        <v>59247.574481192147</v>
      </c>
      <c r="X79" s="53" t="s">
        <v>38</v>
      </c>
    </row>
    <row r="80" spans="1:24" x14ac:dyDescent="0.3">
      <c r="T80" s="36" t="s">
        <v>113</v>
      </c>
      <c r="U80" s="155">
        <f>U75*U79</f>
        <v>72476.040316627783</v>
      </c>
      <c r="V80" s="169" t="s">
        <v>38</v>
      </c>
      <c r="W80" s="155">
        <f>W75*W79</f>
        <v>53322.817033072934</v>
      </c>
      <c r="X80" s="29" t="s">
        <v>38</v>
      </c>
    </row>
    <row r="81" spans="5:24" x14ac:dyDescent="0.3">
      <c r="E81" s="32"/>
      <c r="H81" s="79" t="s">
        <v>209</v>
      </c>
      <c r="T81" s="36" t="s">
        <v>114</v>
      </c>
      <c r="U81" s="172">
        <f>U79*(1-U75)</f>
        <v>6302.2643753589346</v>
      </c>
      <c r="V81" s="169" t="s">
        <v>38</v>
      </c>
      <c r="W81" s="172">
        <f>W79*(1-W75)</f>
        <v>5924.7574481192132</v>
      </c>
      <c r="X81" s="29" t="s">
        <v>38</v>
      </c>
    </row>
    <row r="82" spans="5:24" x14ac:dyDescent="0.3">
      <c r="E82" s="36"/>
      <c r="T82" s="36"/>
      <c r="U82" s="169"/>
      <c r="V82" s="169"/>
      <c r="W82" s="169"/>
      <c r="X82" s="29"/>
    </row>
    <row r="83" spans="5:24" x14ac:dyDescent="0.3">
      <c r="E83" s="133" t="s">
        <v>170</v>
      </c>
      <c r="F83" s="104" t="s">
        <v>208</v>
      </c>
      <c r="G83" s="104" t="s">
        <v>210</v>
      </c>
      <c r="H83" s="104" t="s">
        <v>206</v>
      </c>
      <c r="I83" s="104" t="s">
        <v>109</v>
      </c>
      <c r="J83" s="104" t="s">
        <v>208</v>
      </c>
      <c r="K83" s="104" t="s">
        <v>210</v>
      </c>
      <c r="L83" s="43" t="s">
        <v>206</v>
      </c>
      <c r="T83" s="34" t="s">
        <v>170</v>
      </c>
      <c r="U83" s="169"/>
      <c r="V83" s="169"/>
      <c r="W83" s="169"/>
      <c r="X83" s="29"/>
    </row>
    <row r="84" spans="5:24" x14ac:dyDescent="0.3">
      <c r="E84" s="36" t="s">
        <v>173</v>
      </c>
      <c r="F84" s="156">
        <f>C65</f>
        <v>157516.7339116885</v>
      </c>
      <c r="I84" t="s">
        <v>191</v>
      </c>
      <c r="J84" s="69">
        <f>C61</f>
        <v>39786.617148811165</v>
      </c>
      <c r="T84" s="36" t="s">
        <v>110</v>
      </c>
      <c r="U84" s="168">
        <v>0.88</v>
      </c>
      <c r="V84" s="169"/>
      <c r="W84" s="176">
        <f>W66</f>
        <v>0.9</v>
      </c>
      <c r="X84" s="29"/>
    </row>
    <row r="85" spans="5:24" x14ac:dyDescent="0.3">
      <c r="E85" s="36" t="s">
        <v>174</v>
      </c>
      <c r="F85" s="156">
        <f>C66</f>
        <v>61529.974184253319</v>
      </c>
      <c r="I85" t="s">
        <v>176</v>
      </c>
      <c r="J85" s="69">
        <f>C62</f>
        <v>6631.1028581351939</v>
      </c>
      <c r="T85" s="36" t="s">
        <v>34</v>
      </c>
      <c r="U85" s="168">
        <v>455</v>
      </c>
      <c r="V85" s="169" t="s">
        <v>26</v>
      </c>
      <c r="W85" s="176">
        <f>W67</f>
        <v>455</v>
      </c>
      <c r="X85" s="29" t="s">
        <v>26</v>
      </c>
    </row>
    <row r="86" spans="5:24" x14ac:dyDescent="0.3">
      <c r="E86" s="36" t="s">
        <v>231</v>
      </c>
      <c r="F86" s="102">
        <f>H77</f>
        <v>12519.787677717484</v>
      </c>
      <c r="G86" s="69">
        <f>D75+D76</f>
        <v>12.208313804472864</v>
      </c>
      <c r="I86" t="s">
        <v>231</v>
      </c>
      <c r="J86" s="69">
        <f>H74</f>
        <v>4023.0753441895072</v>
      </c>
      <c r="K86" s="69">
        <f>D72+D73</f>
        <v>5.17994418291212</v>
      </c>
      <c r="T86" s="36" t="s">
        <v>37</v>
      </c>
      <c r="U86" s="169">
        <f>U62-U68-U77</f>
        <v>3365.4318725402463</v>
      </c>
      <c r="V86" s="169" t="s">
        <v>39</v>
      </c>
      <c r="W86" s="169">
        <f>W62/3</f>
        <v>5000</v>
      </c>
      <c r="X86" s="29" t="s">
        <v>39</v>
      </c>
    </row>
    <row r="87" spans="5:24" x14ac:dyDescent="0.3">
      <c r="E87" s="36" t="s">
        <v>223</v>
      </c>
      <c r="F87" s="157">
        <v>3200</v>
      </c>
      <c r="G87">
        <v>3.07</v>
      </c>
      <c r="I87" t="s">
        <v>205</v>
      </c>
      <c r="J87" s="157">
        <v>1221</v>
      </c>
      <c r="K87">
        <v>2.0409999999999999</v>
      </c>
      <c r="L87" t="s">
        <v>207</v>
      </c>
      <c r="T87" s="36" t="s">
        <v>111</v>
      </c>
      <c r="U87" s="173">
        <f>EXP(U86/(9.81*U85))</f>
        <v>2.1254445819241026</v>
      </c>
      <c r="V87" s="173"/>
      <c r="W87" s="173">
        <f>EXP(W86/(9.81*W85))</f>
        <v>3.0654200472925242</v>
      </c>
      <c r="X87" s="29"/>
    </row>
    <row r="88" spans="5:24" x14ac:dyDescent="0.3">
      <c r="E88" s="36" t="s">
        <v>213</v>
      </c>
      <c r="F88" s="102">
        <f>0.01*H49</f>
        <v>3054.9195819755105</v>
      </c>
      <c r="H88" t="s">
        <v>214</v>
      </c>
      <c r="I88" t="s">
        <v>211</v>
      </c>
      <c r="J88" s="157">
        <v>1300</v>
      </c>
      <c r="L88" t="s">
        <v>212</v>
      </c>
      <c r="T88" s="54" t="s">
        <v>112</v>
      </c>
      <c r="U88" s="170">
        <f>((U87-1)*(U63+U79+U70)/(1-(1-U84)*U87))</f>
        <v>159534.37043045508</v>
      </c>
      <c r="V88" s="174" t="s">
        <v>38</v>
      </c>
      <c r="W88" s="170">
        <f>((W87-1)*(W63+W79+W70)/(1-(1-W84)*W87))</f>
        <v>235712.66526024323</v>
      </c>
      <c r="X88" s="55" t="s">
        <v>38</v>
      </c>
    </row>
    <row r="89" spans="5:24" x14ac:dyDescent="0.3">
      <c r="E89" s="36" t="s">
        <v>215</v>
      </c>
      <c r="F89" s="158">
        <f>500+(H63-1)*100</f>
        <v>600</v>
      </c>
      <c r="I89" t="s">
        <v>216</v>
      </c>
      <c r="J89" s="157">
        <v>350</v>
      </c>
      <c r="T89" s="36" t="s">
        <v>113</v>
      </c>
      <c r="U89" s="172">
        <f>U88*U84</f>
        <v>140390.24597880046</v>
      </c>
      <c r="V89" s="169" t="s">
        <v>38</v>
      </c>
      <c r="W89" s="172">
        <f>W88*W84</f>
        <v>212141.39873421891</v>
      </c>
      <c r="X89" s="29" t="s">
        <v>38</v>
      </c>
    </row>
    <row r="90" spans="5:24" x14ac:dyDescent="0.3">
      <c r="I90" t="s">
        <v>223</v>
      </c>
      <c r="J90" s="157">
        <v>1600</v>
      </c>
      <c r="K90">
        <v>3.07</v>
      </c>
      <c r="T90" s="37" t="s">
        <v>114</v>
      </c>
      <c r="U90" s="175">
        <f>U88*(1-U84)</f>
        <v>19144.12445165461</v>
      </c>
      <c r="V90" s="4" t="s">
        <v>38</v>
      </c>
      <c r="W90" s="175">
        <f>W88*(1-W84)</f>
        <v>23571.266526024319</v>
      </c>
      <c r="X90" s="30" t="s">
        <v>38</v>
      </c>
    </row>
    <row r="91" spans="5:24" ht="15" thickBot="1" x14ac:dyDescent="0.35">
      <c r="I91" t="s">
        <v>205</v>
      </c>
      <c r="J91" s="157">
        <v>5000</v>
      </c>
      <c r="K91">
        <v>2.5</v>
      </c>
      <c r="T91" s="96" t="s">
        <v>171</v>
      </c>
      <c r="U91" s="164">
        <f>U88+U79+U63+U70</f>
        <v>265132.27969029959</v>
      </c>
      <c r="V91" s="165" t="s">
        <v>38</v>
      </c>
      <c r="W91" s="164">
        <f>W88+W79+W63+W70</f>
        <v>314852.41822505154</v>
      </c>
      <c r="X91" s="166" t="s">
        <v>38</v>
      </c>
    </row>
    <row r="92" spans="5:24" x14ac:dyDescent="0.3">
      <c r="I92" t="s">
        <v>108</v>
      </c>
      <c r="J92" s="157">
        <f>H30</f>
        <v>5000</v>
      </c>
    </row>
    <row r="94" spans="5:24" x14ac:dyDescent="0.3">
      <c r="G94" s="8" t="s">
        <v>230</v>
      </c>
      <c r="H94" s="69">
        <f>SUM(F84:F89)+SUM(J84:J92)</f>
        <v>303333.21070677065</v>
      </c>
      <c r="I94" t="s">
        <v>38</v>
      </c>
    </row>
    <row r="95" spans="5:24" x14ac:dyDescent="0.3">
      <c r="G95" s="8" t="s">
        <v>238</v>
      </c>
      <c r="H95">
        <f>H38/(H38+H74)</f>
        <v>0.92024163544243331</v>
      </c>
    </row>
    <row r="96" spans="5:24" x14ac:dyDescent="0.3">
      <c r="G96" s="8" t="s">
        <v>239</v>
      </c>
      <c r="H96">
        <f>H47/(H47+H77)</f>
        <v>0.94593437346845399</v>
      </c>
    </row>
    <row r="97" spans="7:8" x14ac:dyDescent="0.3">
      <c r="G97" s="8" t="s">
        <v>242</v>
      </c>
      <c r="H97">
        <f>SUM(G84:G89)</f>
        <v>15.278313804472864</v>
      </c>
    </row>
    <row r="98" spans="7:8" x14ac:dyDescent="0.3">
      <c r="G98" s="8" t="s">
        <v>243</v>
      </c>
      <c r="H98">
        <f>SUM(K84:K92)</f>
        <v>12.790944182912121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CDF-6073-4065-B0DB-FCB1E291747F}">
  <dimension ref="B2:D19"/>
  <sheetViews>
    <sheetView zoomScale="103" workbookViewId="0">
      <selection activeCell="C7" sqref="C7"/>
    </sheetView>
  </sheetViews>
  <sheetFormatPr defaultRowHeight="14.4" x14ac:dyDescent="0.3"/>
  <cols>
    <col min="2" max="2" width="25" customWidth="1"/>
  </cols>
  <sheetData>
    <row r="2" spans="2:4" x14ac:dyDescent="0.3">
      <c r="B2" s="8" t="s">
        <v>45</v>
      </c>
    </row>
    <row r="4" spans="2:4" x14ac:dyDescent="0.3">
      <c r="B4" s="8" t="s">
        <v>46</v>
      </c>
    </row>
    <row r="5" spans="2:4" x14ac:dyDescent="0.3">
      <c r="B5" t="s">
        <v>47</v>
      </c>
      <c r="C5">
        <v>23</v>
      </c>
      <c r="D5" t="s">
        <v>50</v>
      </c>
    </row>
    <row r="6" spans="2:4" x14ac:dyDescent="0.3">
      <c r="B6" t="s">
        <v>48</v>
      </c>
      <c r="C6">
        <v>71.2</v>
      </c>
      <c r="D6" t="s">
        <v>50</v>
      </c>
    </row>
    <row r="7" spans="2:4" x14ac:dyDescent="0.3">
      <c r="B7" s="8" t="s">
        <v>49</v>
      </c>
      <c r="C7" s="8">
        <f>DEGREES(ASIN(COS(RADIANS(OrbitIncl))/COS(RADIANS(LaunchSiteLat))))</f>
        <v>20.493228748112926</v>
      </c>
      <c r="D7" s="8" t="s">
        <v>50</v>
      </c>
    </row>
    <row r="10" spans="2:4" x14ac:dyDescent="0.3">
      <c r="B10" s="8" t="s">
        <v>51</v>
      </c>
    </row>
    <row r="11" spans="2:4" x14ac:dyDescent="0.3">
      <c r="B11" t="s">
        <v>52</v>
      </c>
      <c r="C11">
        <v>6778</v>
      </c>
      <c r="D11" t="s">
        <v>32</v>
      </c>
    </row>
    <row r="12" spans="2:4" x14ac:dyDescent="0.3">
      <c r="B12" t="s">
        <v>59</v>
      </c>
      <c r="C12">
        <f>SQRT(398600/OrbitRadius)</f>
        <v>7.6686314253225571</v>
      </c>
      <c r="D12" t="s">
        <v>23</v>
      </c>
    </row>
    <row r="13" spans="2:4" x14ac:dyDescent="0.3">
      <c r="B13" t="s">
        <v>60</v>
      </c>
      <c r="C13">
        <f>0.463*COS(RADIANS(LaunchSiteLat))</f>
        <v>0.42619374714847991</v>
      </c>
      <c r="D13" t="s">
        <v>23</v>
      </c>
    </row>
    <row r="14" spans="2:4" x14ac:dyDescent="0.3">
      <c r="B14" t="s">
        <v>53</v>
      </c>
      <c r="C14">
        <f>Vinertial*SIN(RADIANS(IntertialAzimuth))-EarthVelocity</f>
        <v>2.2585686726031784</v>
      </c>
      <c r="D14" t="s">
        <v>23</v>
      </c>
    </row>
    <row r="15" spans="2:4" x14ac:dyDescent="0.3">
      <c r="B15" t="s">
        <v>54</v>
      </c>
      <c r="C15">
        <f>Vinertial*COS(RADIANS(IntertialAzimuth))</f>
        <v>7.183311122799422</v>
      </c>
      <c r="D15" t="s">
        <v>23</v>
      </c>
    </row>
    <row r="16" spans="2:4" x14ac:dyDescent="0.3">
      <c r="B16" t="s">
        <v>55</v>
      </c>
      <c r="C16">
        <f>SQRT(VxRelative^2+VyRelative^2)</f>
        <v>7.5300126916093824</v>
      </c>
      <c r="D16" t="s">
        <v>23</v>
      </c>
    </row>
    <row r="17" spans="2:4" x14ac:dyDescent="0.3">
      <c r="B17" s="8" t="s">
        <v>56</v>
      </c>
      <c r="C17" s="8">
        <f>DEGREES(ATAN(VxRelative/VyRelative))</f>
        <v>17.454132352494238</v>
      </c>
      <c r="D17" s="8" t="s">
        <v>50</v>
      </c>
    </row>
    <row r="18" spans="2:4" x14ac:dyDescent="0.3">
      <c r="B18" s="8" t="s">
        <v>57</v>
      </c>
      <c r="C18" s="8">
        <f>IntertialAzimuth-RelativeAzimuth</f>
        <v>3.0390963956186887</v>
      </c>
      <c r="D18" s="8" t="s">
        <v>50</v>
      </c>
    </row>
    <row r="19" spans="2:4" x14ac:dyDescent="0.3">
      <c r="B19" s="8" t="s">
        <v>58</v>
      </c>
      <c r="C19" s="8">
        <f>1000*(Vinertial-RelativeVelocity)</f>
        <v>138.61873371317478</v>
      </c>
      <c r="D19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1EB8-A53A-4DDC-8147-C9E40EA68210}">
  <dimension ref="B1:O8"/>
  <sheetViews>
    <sheetView workbookViewId="0">
      <selection activeCell="G7" sqref="G7"/>
    </sheetView>
  </sheetViews>
  <sheetFormatPr defaultRowHeight="14.4" x14ac:dyDescent="0.3"/>
  <cols>
    <col min="2" max="2" width="14.6640625" customWidth="1"/>
    <col min="6" max="6" width="10.44140625" customWidth="1"/>
    <col min="10" max="10" width="8.88671875" customWidth="1"/>
  </cols>
  <sheetData>
    <row r="1" spans="2:15" x14ac:dyDescent="0.3">
      <c r="J1" s="49" t="s">
        <v>104</v>
      </c>
      <c r="K1" s="50"/>
      <c r="L1" s="50"/>
      <c r="M1" s="50"/>
      <c r="N1" s="50"/>
      <c r="O1" s="50"/>
    </row>
    <row r="2" spans="2:15" x14ac:dyDescent="0.3">
      <c r="B2" s="48" t="s">
        <v>93</v>
      </c>
      <c r="C2" s="60">
        <v>140</v>
      </c>
      <c r="D2" s="28" t="s">
        <v>50</v>
      </c>
    </row>
    <row r="3" spans="2:15" x14ac:dyDescent="0.3">
      <c r="B3" s="34" t="s">
        <v>94</v>
      </c>
      <c r="C3" s="62">
        <v>240</v>
      </c>
      <c r="D3" s="29" t="s">
        <v>50</v>
      </c>
    </row>
    <row r="4" spans="2:15" x14ac:dyDescent="0.3">
      <c r="B4" s="34"/>
      <c r="D4" s="29"/>
      <c r="F4" s="48" t="s">
        <v>97</v>
      </c>
      <c r="G4" s="1">
        <f>(ApogeeRadius-PerigeeRadius)/(ApogeeRadius+PerigeeRadius)</f>
        <v>0.60237388724035612</v>
      </c>
      <c r="H4" s="28"/>
    </row>
    <row r="5" spans="2:15" x14ac:dyDescent="0.3">
      <c r="B5" s="34" t="s">
        <v>95</v>
      </c>
      <c r="C5" s="62">
        <v>6700</v>
      </c>
      <c r="D5" s="29" t="s">
        <v>32</v>
      </c>
      <c r="F5" s="34" t="s">
        <v>98</v>
      </c>
      <c r="G5">
        <f>ACOS((eccentricity+COS(RADIANS(TrueAnomaly1)))/(1+eccentricity*COS(RADIANS(TrueAnomaly1))))</f>
        <v>1.8795872292890876</v>
      </c>
      <c r="H5" s="29" t="s">
        <v>102</v>
      </c>
    </row>
    <row r="6" spans="2:15" x14ac:dyDescent="0.3">
      <c r="B6" s="34" t="s">
        <v>96</v>
      </c>
      <c r="C6" s="62">
        <v>27000</v>
      </c>
      <c r="D6" s="29" t="s">
        <v>32</v>
      </c>
      <c r="F6" s="34" t="s">
        <v>99</v>
      </c>
      <c r="G6">
        <f>IF(TrueAnomaly2&gt;180,MOD(ACOS((eccentricity+COS(RADIANS(TrueAnomaly2)))/(1+eccentricity*COS(RADIANS(TrueAnomaly2)))),2*PI()),ACOS((eccentricity+COS(RADIANS(TrueAnomaly2)))/(1+eccentricity*COS(RADIANS(TrueAnomaly2)))))</f>
        <v>1.423770382870418</v>
      </c>
      <c r="H6" s="29" t="s">
        <v>102</v>
      </c>
    </row>
    <row r="7" spans="2:15" x14ac:dyDescent="0.3">
      <c r="B7" s="35" t="s">
        <v>101</v>
      </c>
      <c r="C7" s="4">
        <f>(PerigeeRadius+ApogeeRadius)/2</f>
        <v>16850</v>
      </c>
      <c r="D7" s="30"/>
      <c r="F7" s="34" t="s">
        <v>100</v>
      </c>
      <c r="G7">
        <f>SQRT(C7^3/398600)*((E2Deg-eccentricity*SIN(E2Deg))-(E1Deg-eccentricity*SIN(E1Deg)))</f>
        <v>-1655.334209041918</v>
      </c>
      <c r="H7" s="29" t="s">
        <v>26</v>
      </c>
    </row>
    <row r="8" spans="2:15" x14ac:dyDescent="0.3">
      <c r="F8" s="37"/>
      <c r="G8" s="4">
        <f>G7/3600</f>
        <v>-0.45981505806719947</v>
      </c>
      <c r="H8" s="3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B609-A08A-4A9B-BB3A-6FB188917E1C}">
  <dimension ref="B1:G30"/>
  <sheetViews>
    <sheetView topLeftCell="A12" workbookViewId="0">
      <selection activeCell="G25" sqref="G25"/>
    </sheetView>
  </sheetViews>
  <sheetFormatPr defaultRowHeight="14.4" x14ac:dyDescent="0.3"/>
  <cols>
    <col min="2" max="2" width="24.44140625" customWidth="1"/>
  </cols>
  <sheetData>
    <row r="1" spans="2:7" ht="15" thickBot="1" x14ac:dyDescent="0.35"/>
    <row r="2" spans="2:7" ht="18.600000000000001" thickBot="1" x14ac:dyDescent="0.4">
      <c r="B2" s="141" t="s">
        <v>115</v>
      </c>
      <c r="C2" s="142" t="s">
        <v>116</v>
      </c>
      <c r="D2" s="142" t="s">
        <v>117</v>
      </c>
      <c r="E2" s="142" t="s">
        <v>118</v>
      </c>
      <c r="F2" s="142" t="s">
        <v>119</v>
      </c>
      <c r="G2" s="143" t="s">
        <v>120</v>
      </c>
    </row>
    <row r="3" spans="2:7" x14ac:dyDescent="0.3">
      <c r="B3" s="125" t="s">
        <v>121</v>
      </c>
      <c r="C3" s="58" t="s">
        <v>32</v>
      </c>
      <c r="D3" s="126">
        <v>140</v>
      </c>
      <c r="E3" s="126">
        <v>50</v>
      </c>
      <c r="F3" s="126">
        <v>80</v>
      </c>
      <c r="G3" s="127">
        <v>110</v>
      </c>
    </row>
    <row r="4" spans="2:7" x14ac:dyDescent="0.3">
      <c r="B4" s="125" t="s">
        <v>122</v>
      </c>
      <c r="C4" s="58" t="s">
        <v>141</v>
      </c>
      <c r="D4" s="126">
        <v>4500</v>
      </c>
      <c r="E4" s="126">
        <v>2200</v>
      </c>
      <c r="F4" s="126">
        <v>2600</v>
      </c>
      <c r="G4" s="127">
        <v>5000</v>
      </c>
    </row>
    <row r="5" spans="2:7" x14ac:dyDescent="0.3">
      <c r="B5" s="125" t="s">
        <v>123</v>
      </c>
      <c r="C5" s="58" t="s">
        <v>50</v>
      </c>
      <c r="D5" s="126">
        <v>25</v>
      </c>
      <c r="E5" s="126">
        <v>45</v>
      </c>
      <c r="F5" s="126">
        <v>30</v>
      </c>
      <c r="G5" s="127">
        <v>22</v>
      </c>
    </row>
    <row r="6" spans="2:7" x14ac:dyDescent="0.3">
      <c r="B6" s="128" t="s">
        <v>124</v>
      </c>
      <c r="C6" s="113" t="s">
        <v>32</v>
      </c>
      <c r="D6" s="129">
        <v>1000</v>
      </c>
      <c r="E6" s="129">
        <v>60</v>
      </c>
      <c r="F6" s="129">
        <v>120</v>
      </c>
      <c r="G6" s="130">
        <v>300</v>
      </c>
    </row>
    <row r="7" spans="2:7" ht="15" thickBot="1" x14ac:dyDescent="0.35">
      <c r="B7" s="58"/>
      <c r="C7" s="58"/>
    </row>
    <row r="8" spans="2:7" ht="18.600000000000001" thickBot="1" x14ac:dyDescent="0.4">
      <c r="B8" s="75"/>
      <c r="C8" s="144"/>
      <c r="D8" s="142" t="s">
        <v>125</v>
      </c>
      <c r="E8" s="76"/>
      <c r="F8" s="76"/>
      <c r="G8" s="78"/>
    </row>
    <row r="9" spans="2:7" x14ac:dyDescent="0.3">
      <c r="B9" s="125" t="s">
        <v>126</v>
      </c>
      <c r="C9" s="58" t="s">
        <v>141</v>
      </c>
      <c r="D9" s="131">
        <f>COS(RADIANS(Case1Angle))*Case1Velocity</f>
        <v>4078.3850416649248</v>
      </c>
      <c r="E9" s="131">
        <f>COS(RADIANS(Case2Angle))*Case2Velocity</f>
        <v>1555.6349186104046</v>
      </c>
      <c r="F9" s="131">
        <f>COS(RADIANS(Case3Angle))*Case3Velocity</f>
        <v>2251.6660498395408</v>
      </c>
      <c r="G9" s="132">
        <f>COS(RADIANS(Case4Angle))*Case4Velocity</f>
        <v>4635.9192728339367</v>
      </c>
    </row>
    <row r="10" spans="2:7" x14ac:dyDescent="0.3">
      <c r="B10" s="125" t="s">
        <v>127</v>
      </c>
      <c r="C10" s="58" t="s">
        <v>141</v>
      </c>
      <c r="D10" s="131">
        <f>SIN(RADIANS(Case1Angle))*Case1Velocity</f>
        <v>1901.7821778331474</v>
      </c>
      <c r="E10" s="131">
        <f>SIN(RADIANS(Case2Angle))*Case2Velocity</f>
        <v>1555.6349186104044</v>
      </c>
      <c r="F10" s="131">
        <f>SIN(RADIANS(Case3Angle))*Case3Velocity</f>
        <v>1299.9999999999998</v>
      </c>
      <c r="G10" s="132">
        <f>SIN(RADIANS(Case4Angle))*Case4Velocity</f>
        <v>1873.03296707956</v>
      </c>
    </row>
    <row r="11" spans="2:7" x14ac:dyDescent="0.3">
      <c r="B11" s="125" t="s">
        <v>128</v>
      </c>
      <c r="C11" s="58" t="s">
        <v>32</v>
      </c>
      <c r="D11" s="131">
        <f>(D10*D12-0.5*9.81*D12^2)/1000</f>
        <v>184.34125646910238</v>
      </c>
      <c r="E11" s="131">
        <f t="shared" ref="E11:G11" si="0">(E10*E12-0.5*9.81*E12^2)/1000</f>
        <v>123.34352701325174</v>
      </c>
      <c r="F11" s="131">
        <f t="shared" si="0"/>
        <v>86.136595310907197</v>
      </c>
      <c r="G11" s="132">
        <f t="shared" si="0"/>
        <v>178.81001507476347</v>
      </c>
    </row>
    <row r="12" spans="2:7" x14ac:dyDescent="0.3">
      <c r="B12" s="125" t="s">
        <v>129</v>
      </c>
      <c r="C12" s="58" t="s">
        <v>142</v>
      </c>
      <c r="D12" s="131">
        <f>-D10/-9.81</f>
        <v>193.86158795444928</v>
      </c>
      <c r="E12" s="131">
        <f t="shared" ref="E12:G12" si="1">-E10/-9.81</f>
        <v>158.5764443027935</v>
      </c>
      <c r="F12" s="131">
        <f t="shared" si="1"/>
        <v>132.51783893985726</v>
      </c>
      <c r="G12" s="132">
        <f t="shared" si="1"/>
        <v>190.9309854311478</v>
      </c>
    </row>
    <row r="13" spans="2:7" x14ac:dyDescent="0.3">
      <c r="B13" s="125" t="s">
        <v>130</v>
      </c>
      <c r="C13" s="58" t="s">
        <v>32</v>
      </c>
      <c r="D13" s="131">
        <f>D11+D3</f>
        <v>324.3412564691024</v>
      </c>
      <c r="E13" s="131">
        <f t="shared" ref="E13:G13" si="2">E11+E3</f>
        <v>173.34352701325173</v>
      </c>
      <c r="F13" s="131">
        <f t="shared" si="2"/>
        <v>166.13659531090718</v>
      </c>
      <c r="G13" s="132">
        <f t="shared" si="2"/>
        <v>288.81001507476344</v>
      </c>
    </row>
    <row r="14" spans="2:7" x14ac:dyDescent="0.3">
      <c r="B14" s="125" t="s">
        <v>131</v>
      </c>
      <c r="C14" s="58" t="s">
        <v>142</v>
      </c>
      <c r="D14" s="131">
        <f>SQRT((2*D13*1000)/9.81)</f>
        <v>257.14707670102382</v>
      </c>
      <c r="E14" s="131">
        <f t="shared" ref="E14:G14" si="3">SQRT((2*E13*1000)/9.81)</f>
        <v>187.98980984661782</v>
      </c>
      <c r="F14" s="131">
        <f t="shared" si="3"/>
        <v>184.0403909657085</v>
      </c>
      <c r="G14" s="132">
        <f t="shared" si="3"/>
        <v>242.65353287825914</v>
      </c>
    </row>
    <row r="15" spans="2:7" x14ac:dyDescent="0.3">
      <c r="B15" s="125" t="s">
        <v>137</v>
      </c>
      <c r="C15" s="58" t="s">
        <v>142</v>
      </c>
      <c r="D15" s="131">
        <f>D14+D12</f>
        <v>451.00866465547313</v>
      </c>
      <c r="E15" s="131">
        <f t="shared" ref="E15:G15" si="4">E14+E12</f>
        <v>346.56625414941129</v>
      </c>
      <c r="F15" s="131">
        <f t="shared" si="4"/>
        <v>316.55822990556578</v>
      </c>
      <c r="G15" s="132">
        <f t="shared" si="4"/>
        <v>433.58451830940692</v>
      </c>
    </row>
    <row r="16" spans="2:7" x14ac:dyDescent="0.3">
      <c r="B16" s="125" t="s">
        <v>132</v>
      </c>
      <c r="C16" s="58" t="s">
        <v>32</v>
      </c>
      <c r="D16" s="131">
        <f>(D15*D9)/1000</f>
        <v>1839.3869915921539</v>
      </c>
      <c r="E16" s="131">
        <f t="shared" ref="E16:G16" si="5">(E15*E9)/1000</f>
        <v>539.13056656683227</v>
      </c>
      <c r="F16" s="131">
        <f t="shared" si="5"/>
        <v>712.78341907566255</v>
      </c>
      <c r="G16" s="132">
        <f t="shared" si="5"/>
        <v>2010.0628248329986</v>
      </c>
    </row>
    <row r="17" spans="2:7" x14ac:dyDescent="0.3">
      <c r="B17" s="133" t="s">
        <v>133</v>
      </c>
      <c r="C17" s="104" t="s">
        <v>32</v>
      </c>
      <c r="D17" s="134">
        <f>D6+D16</f>
        <v>2839.3869915921541</v>
      </c>
      <c r="E17" s="134">
        <f t="shared" ref="E17:G17" si="6">E6+E16</f>
        <v>599.13056656683227</v>
      </c>
      <c r="F17" s="134">
        <f t="shared" si="6"/>
        <v>832.78341907566255</v>
      </c>
      <c r="G17" s="135">
        <f t="shared" si="6"/>
        <v>2310.0628248329986</v>
      </c>
    </row>
    <row r="18" spans="2:7" x14ac:dyDescent="0.3">
      <c r="B18" s="125" t="s">
        <v>134</v>
      </c>
      <c r="C18" s="58" t="s">
        <v>141</v>
      </c>
      <c r="D18" s="136">
        <f>9.81*D14</f>
        <v>2522.6128224370436</v>
      </c>
      <c r="E18" s="136">
        <f t="shared" ref="E18:G18" si="7">9.81*E14</f>
        <v>1844.1800345953209</v>
      </c>
      <c r="F18" s="136">
        <f t="shared" si="7"/>
        <v>1805.4362353736005</v>
      </c>
      <c r="G18" s="137">
        <f t="shared" si="7"/>
        <v>2380.4311575357224</v>
      </c>
    </row>
    <row r="19" spans="2:7" x14ac:dyDescent="0.3">
      <c r="B19" s="133" t="s">
        <v>135</v>
      </c>
      <c r="C19" s="58"/>
      <c r="D19" s="58"/>
      <c r="E19" s="58"/>
      <c r="F19" s="58"/>
      <c r="G19" s="138"/>
    </row>
    <row r="20" spans="2:7" x14ac:dyDescent="0.3">
      <c r="B20" s="125" t="s">
        <v>136</v>
      </c>
      <c r="C20" s="58" t="s">
        <v>32</v>
      </c>
      <c r="D20" s="139">
        <f>6378-SQRT(6378^2-(D17/2)^2)</f>
        <v>160.01363961014158</v>
      </c>
      <c r="E20" s="139">
        <f t="shared" ref="E20:G20" si="8">6378-SQRT(6378^2-(E17/2)^2)</f>
        <v>7.0389546747874192</v>
      </c>
      <c r="F20" s="139">
        <f t="shared" si="8"/>
        <v>13.606710437501533</v>
      </c>
      <c r="G20" s="140">
        <f t="shared" si="8"/>
        <v>105.45773738182379</v>
      </c>
    </row>
    <row r="21" spans="2:7" x14ac:dyDescent="0.3">
      <c r="B21" s="125" t="s">
        <v>130</v>
      </c>
      <c r="C21" s="58" t="s">
        <v>142</v>
      </c>
      <c r="D21" s="131">
        <f>(D13+D20)</f>
        <v>484.35489607924399</v>
      </c>
      <c r="E21" s="131">
        <f t="shared" ref="E21:G21" si="9">(E13+E20)</f>
        <v>180.38248168803915</v>
      </c>
      <c r="F21" s="131">
        <f t="shared" si="9"/>
        <v>179.74330574840872</v>
      </c>
      <c r="G21" s="132">
        <f t="shared" si="9"/>
        <v>394.26775245658723</v>
      </c>
    </row>
    <row r="22" spans="2:7" x14ac:dyDescent="0.3">
      <c r="B22" s="125" t="s">
        <v>131</v>
      </c>
      <c r="C22" s="58" t="s">
        <v>142</v>
      </c>
      <c r="D22" s="131">
        <f>SQRT((2*D21*1000)/9.81)</f>
        <v>314.24063319584235</v>
      </c>
      <c r="E22" s="131">
        <f t="shared" ref="E22:G22" si="10">SQRT((2*E21*1000)/9.81)</f>
        <v>191.76867738103846</v>
      </c>
      <c r="F22" s="131">
        <f t="shared" si="10"/>
        <v>191.42861469923838</v>
      </c>
      <c r="G22" s="132">
        <f t="shared" si="10"/>
        <v>283.51505324089408</v>
      </c>
    </row>
    <row r="23" spans="2:7" x14ac:dyDescent="0.3">
      <c r="B23" s="125" t="s">
        <v>137</v>
      </c>
      <c r="C23" s="58" t="s">
        <v>142</v>
      </c>
      <c r="D23" s="131">
        <f>D22+D12</f>
        <v>508.1022211502916</v>
      </c>
      <c r="E23" s="131">
        <f t="shared" ref="E23:G23" si="11">E22+E12</f>
        <v>350.34512168383196</v>
      </c>
      <c r="F23" s="131">
        <f t="shared" si="11"/>
        <v>323.94645363909564</v>
      </c>
      <c r="G23" s="132">
        <f t="shared" si="11"/>
        <v>474.44603867204188</v>
      </c>
    </row>
    <row r="24" spans="2:7" x14ac:dyDescent="0.3">
      <c r="B24" s="125" t="s">
        <v>132</v>
      </c>
      <c r="C24" s="58" t="s">
        <v>32</v>
      </c>
      <c r="D24" s="58">
        <f>(D23*D9)/1000</f>
        <v>2072.2364983760726</v>
      </c>
      <c r="E24" s="58">
        <f t="shared" ref="E24:G24" si="12">(E23*E9)/1000</f>
        <v>545.00910485618022</v>
      </c>
      <c r="F24" s="58">
        <f t="shared" si="12"/>
        <v>729.41923162507044</v>
      </c>
      <c r="G24" s="138">
        <f t="shared" si="12"/>
        <v>2199.493534599434</v>
      </c>
    </row>
    <row r="25" spans="2:7" x14ac:dyDescent="0.3">
      <c r="B25" s="133" t="s">
        <v>133</v>
      </c>
      <c r="C25" s="104" t="s">
        <v>32</v>
      </c>
      <c r="D25" s="104">
        <f>(D23*D9)/1000+D6</f>
        <v>3072.2364983760726</v>
      </c>
      <c r="E25" s="104">
        <f>(E23*E9)/1000+E6</f>
        <v>605.00910485618022</v>
      </c>
      <c r="F25" s="104">
        <f>(F23*F9)/1000+F6</f>
        <v>849.41923162507044</v>
      </c>
      <c r="G25" s="43">
        <f>(G23*G9)/1000+G6</f>
        <v>2499.493534599434</v>
      </c>
    </row>
    <row r="26" spans="2:7" x14ac:dyDescent="0.3">
      <c r="B26" s="125" t="s">
        <v>134</v>
      </c>
      <c r="C26" s="58" t="s">
        <v>141</v>
      </c>
      <c r="D26" s="136">
        <f>9.81*D22</f>
        <v>3082.7006116512134</v>
      </c>
      <c r="E26" s="136">
        <f t="shared" ref="E26:G26" si="13">9.81*E22</f>
        <v>1881.2507251079874</v>
      </c>
      <c r="F26" s="136">
        <f t="shared" si="13"/>
        <v>1877.9147101995286</v>
      </c>
      <c r="G26" s="137">
        <f t="shared" si="13"/>
        <v>2781.2826722931709</v>
      </c>
    </row>
    <row r="27" spans="2:7" ht="15" thickBot="1" x14ac:dyDescent="0.35">
      <c r="B27" s="125"/>
      <c r="C27" s="58"/>
      <c r="G27" s="29"/>
    </row>
    <row r="28" spans="2:7" x14ac:dyDescent="0.3">
      <c r="B28" s="145" t="s">
        <v>138</v>
      </c>
      <c r="C28" s="146" t="s">
        <v>142</v>
      </c>
      <c r="D28" s="147">
        <f>D22-D14</f>
        <v>57.093556494818529</v>
      </c>
      <c r="E28" s="147">
        <f t="shared" ref="E28:G28" si="14">E22-E14</f>
        <v>3.7788675344206411</v>
      </c>
      <c r="F28" s="147">
        <f t="shared" si="14"/>
        <v>7.3882237335298839</v>
      </c>
      <c r="G28" s="148">
        <f t="shared" si="14"/>
        <v>40.861520362634934</v>
      </c>
    </row>
    <row r="29" spans="2:7" x14ac:dyDescent="0.3">
      <c r="B29" s="149" t="s">
        <v>139</v>
      </c>
      <c r="C29" s="104" t="s">
        <v>32</v>
      </c>
      <c r="D29" s="134">
        <f>D24-D16</f>
        <v>232.84950678391874</v>
      </c>
      <c r="E29" s="134">
        <f t="shared" ref="E29:G29" si="15">E24-E16</f>
        <v>5.8785382893479436</v>
      </c>
      <c r="F29" s="134">
        <f t="shared" si="15"/>
        <v>16.635812549407888</v>
      </c>
      <c r="G29" s="150">
        <f t="shared" si="15"/>
        <v>189.43070976643548</v>
      </c>
    </row>
    <row r="30" spans="2:7" ht="15" thickBot="1" x14ac:dyDescent="0.35">
      <c r="B30" s="151" t="s">
        <v>140</v>
      </c>
      <c r="C30" s="152" t="s">
        <v>143</v>
      </c>
      <c r="D30" s="153">
        <f>1-(D17/D25)</f>
        <v>7.5791530667316254E-2</v>
      </c>
      <c r="E30" s="153">
        <f t="shared" ref="E30:F30" si="16">1-(E17/E25)</f>
        <v>9.716445987611011E-3</v>
      </c>
      <c r="F30" s="153">
        <f t="shared" si="16"/>
        <v>1.9584925711631285E-2</v>
      </c>
      <c r="G30" s="154">
        <f>1-(G17/G25)</f>
        <v>7.5787637433034405E-2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89</vt:i4>
      </vt:variant>
    </vt:vector>
  </HeadingPairs>
  <TitlesOfParts>
    <vt:vector size="93" baseType="lpstr">
      <vt:lpstr>Orbit and Input</vt:lpstr>
      <vt:lpstr>Launch Azimuth Calculation</vt:lpstr>
      <vt:lpstr>Time Of Flight</vt:lpstr>
      <vt:lpstr>Impact Point On Burnout</vt:lpstr>
      <vt:lpstr>ApogeeRadius</vt:lpstr>
      <vt:lpstr>Case1Angle</vt:lpstr>
      <vt:lpstr>Case1Velocity</vt:lpstr>
      <vt:lpstr>Case2Altitude</vt:lpstr>
      <vt:lpstr>Case2Angle</vt:lpstr>
      <vt:lpstr>Case2Burnout</vt:lpstr>
      <vt:lpstr>Case2Velocity</vt:lpstr>
      <vt:lpstr>Case3Altitude</vt:lpstr>
      <vt:lpstr>Case3Angle</vt:lpstr>
      <vt:lpstr>Case3Burnout</vt:lpstr>
      <vt:lpstr>Case3Velocity</vt:lpstr>
      <vt:lpstr>Case4Altitude</vt:lpstr>
      <vt:lpstr>Case4Angle</vt:lpstr>
      <vt:lpstr>Case4Burnout</vt:lpstr>
      <vt:lpstr>Case4Velocity</vt:lpstr>
      <vt:lpstr>DeltaV</vt:lpstr>
      <vt:lpstr>E1Deg</vt:lpstr>
      <vt:lpstr>E1Rad</vt:lpstr>
      <vt:lpstr>E2Deg</vt:lpstr>
      <vt:lpstr>E2Rad</vt:lpstr>
      <vt:lpstr>EarthMass</vt:lpstr>
      <vt:lpstr>EarthRadius</vt:lpstr>
      <vt:lpstr>EarthVelocity</vt:lpstr>
      <vt:lpstr>eccentricity</vt:lpstr>
      <vt:lpstr>Eccentricity1</vt:lpstr>
      <vt:lpstr>Eccentricity2</vt:lpstr>
      <vt:lpstr>EccentricityT</vt:lpstr>
      <vt:lpstr>Edeg1</vt:lpstr>
      <vt:lpstr>Energy1</vt:lpstr>
      <vt:lpstr>Energy2</vt:lpstr>
      <vt:lpstr>EnergyT</vt:lpstr>
      <vt:lpstr>g0</vt:lpstr>
      <vt:lpstr>GravityConstant</vt:lpstr>
      <vt:lpstr>hOrb1</vt:lpstr>
      <vt:lpstr>hOrb2</vt:lpstr>
      <vt:lpstr>Incl1</vt:lpstr>
      <vt:lpstr>Incl1ΔV</vt:lpstr>
      <vt:lpstr>Incl1ΔV1</vt:lpstr>
      <vt:lpstr>Incl2</vt:lpstr>
      <vt:lpstr>Incl2ΔV</vt:lpstr>
      <vt:lpstr>IntertialAzimuth</vt:lpstr>
      <vt:lpstr>ISP</vt:lpstr>
      <vt:lpstr>LaunchSiteLat</vt:lpstr>
      <vt:lpstr>LaunchSiteLate</vt:lpstr>
      <vt:lpstr>MassFinal</vt:lpstr>
      <vt:lpstr>MassInitial</vt:lpstr>
      <vt:lpstr>MinDeltaVBurn1SMAOnly</vt:lpstr>
      <vt:lpstr>MinDeltaVBurn2SMAOnly</vt:lpstr>
      <vt:lpstr>mu</vt:lpstr>
      <vt:lpstr>Orb1aAltitude</vt:lpstr>
      <vt:lpstr>Orb1ApogeeVelocity</vt:lpstr>
      <vt:lpstr>Orb1aRadius</vt:lpstr>
      <vt:lpstr>Orb1aRadius1</vt:lpstr>
      <vt:lpstr>Orb1P</vt:lpstr>
      <vt:lpstr>Orb1PAltitude</vt:lpstr>
      <vt:lpstr>Orb1PerigeeVelocity</vt:lpstr>
      <vt:lpstr>Orb1pRadius</vt:lpstr>
      <vt:lpstr>Orb1pRadius1</vt:lpstr>
      <vt:lpstr>Orb2aAltitude</vt:lpstr>
      <vt:lpstr>Orb2ApogeeVelocity</vt:lpstr>
      <vt:lpstr>Orb2aRadius</vt:lpstr>
      <vt:lpstr>Orb2aRadius1</vt:lpstr>
      <vt:lpstr>Orb2pAltitude</vt:lpstr>
      <vt:lpstr>Orb2PerigeeVelocity</vt:lpstr>
      <vt:lpstr>Orb2pRadius</vt:lpstr>
      <vt:lpstr>Orb2pRadius1</vt:lpstr>
      <vt:lpstr>OrbitIncl</vt:lpstr>
      <vt:lpstr>OrbitRadius</vt:lpstr>
      <vt:lpstr>PerigeeRadius</vt:lpstr>
      <vt:lpstr>Period1</vt:lpstr>
      <vt:lpstr>Period2</vt:lpstr>
      <vt:lpstr>RelativeAzimuth</vt:lpstr>
      <vt:lpstr>RelativeVelocity</vt:lpstr>
      <vt:lpstr>Selector</vt:lpstr>
      <vt:lpstr>SemiMA1</vt:lpstr>
      <vt:lpstr>SemiMajor1</vt:lpstr>
      <vt:lpstr>SemiMajor2</vt:lpstr>
      <vt:lpstr>SemiMajorT</vt:lpstr>
      <vt:lpstr>TransferOrbitAngularMomentum</vt:lpstr>
      <vt:lpstr>TransferOrbitApogeeVelocity</vt:lpstr>
      <vt:lpstr>TransferOrbPerigeeVelocity</vt:lpstr>
      <vt:lpstr>TransferPeriod</vt:lpstr>
      <vt:lpstr>TrueAnomaly1</vt:lpstr>
      <vt:lpstr>TrueAnomaly2</vt:lpstr>
      <vt:lpstr>Vinertial</vt:lpstr>
      <vt:lpstr>VxRelative</vt:lpstr>
      <vt:lpstr>VyRelative</vt:lpstr>
      <vt:lpstr>ΔIncl1</vt:lpstr>
      <vt:lpstr>ΔIncl2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avers</dc:creator>
  <cp:lastModifiedBy>graham avers</cp:lastModifiedBy>
  <dcterms:created xsi:type="dcterms:W3CDTF">2024-02-06T17:34:37Z</dcterms:created>
  <dcterms:modified xsi:type="dcterms:W3CDTF">2024-04-03T20:42:36Z</dcterms:modified>
</cp:coreProperties>
</file>