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igEm\Economics &amp; Geospatial\PFC &amp; Geospatial Manuscript\"/>
    </mc:Choice>
  </mc:AlternateContent>
  <xr:revisionPtr revIDLastSave="0" documentId="13_ncr:1_{DF4C3479-7B29-4AE1-8BA4-13DB0C066DC0}" xr6:coauthVersionLast="47" xr6:coauthVersionMax="47" xr10:uidLastSave="{00000000-0000-0000-0000-000000000000}"/>
  <bookViews>
    <workbookView xWindow="38290" yWindow="-1310" windowWidth="19420" windowHeight="11500" xr2:uid="{02DE9DF3-21A2-4D0A-8A0E-BB453614A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73" i="1"/>
  <c r="J78" i="1"/>
  <c r="D72" i="1"/>
  <c r="D67" i="1"/>
  <c r="D66" i="1"/>
  <c r="D65" i="1"/>
  <c r="D64" i="1"/>
  <c r="D63" i="1"/>
  <c r="D62" i="1"/>
  <c r="C62" i="1"/>
  <c r="J77" i="1"/>
  <c r="I67" i="1"/>
  <c r="I66" i="1"/>
  <c r="I65" i="1"/>
  <c r="I64" i="1"/>
  <c r="I63" i="1"/>
  <c r="C34" i="1"/>
  <c r="C24" i="1"/>
  <c r="G33" i="1"/>
  <c r="G32" i="1"/>
  <c r="G31" i="1"/>
  <c r="G30" i="1"/>
  <c r="G29" i="1"/>
  <c r="G23" i="1"/>
  <c r="G22" i="1"/>
  <c r="G21" i="1"/>
  <c r="G20" i="1"/>
  <c r="G19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E23" i="1"/>
  <c r="E21" i="1"/>
  <c r="F23" i="1"/>
  <c r="D23" i="1"/>
  <c r="F22" i="1"/>
  <c r="E22" i="1"/>
  <c r="D22" i="1"/>
  <c r="F21" i="1"/>
  <c r="D21" i="1"/>
  <c r="F20" i="1"/>
  <c r="E20" i="1"/>
  <c r="F19" i="1"/>
  <c r="E19" i="1"/>
  <c r="D20" i="1"/>
  <c r="D19" i="1"/>
  <c r="C30" i="1"/>
  <c r="C31" i="1"/>
  <c r="C32" i="1"/>
  <c r="C33" i="1"/>
  <c r="C29" i="1"/>
  <c r="C20" i="1"/>
  <c r="C21" i="1"/>
  <c r="C22" i="1"/>
  <c r="C23" i="1"/>
  <c r="C19" i="1"/>
  <c r="P60" i="1"/>
  <c r="D56" i="1"/>
  <c r="D55" i="1"/>
  <c r="D54" i="1"/>
  <c r="D53" i="1"/>
  <c r="D52" i="1"/>
  <c r="E56" i="1"/>
  <c r="E55" i="1"/>
  <c r="E54" i="1"/>
  <c r="E53" i="1"/>
  <c r="E52" i="1"/>
  <c r="C56" i="1"/>
  <c r="F56" i="1" s="1"/>
  <c r="C55" i="1"/>
  <c r="F55" i="1" s="1"/>
  <c r="C54" i="1"/>
  <c r="F54" i="1" s="1"/>
  <c r="C53" i="1"/>
  <c r="F53" i="1" s="1"/>
  <c r="C52" i="1"/>
  <c r="F52" i="1" s="1"/>
  <c r="F57" i="1" s="1"/>
  <c r="B56" i="1"/>
  <c r="B55" i="1"/>
  <c r="B54" i="1"/>
  <c r="B53" i="1"/>
  <c r="B52" i="1"/>
  <c r="B67" i="1"/>
  <c r="B77" i="1"/>
  <c r="C66" i="1"/>
  <c r="C65" i="1"/>
  <c r="C64" i="1"/>
  <c r="C63" i="1"/>
  <c r="C76" i="1"/>
  <c r="C75" i="1"/>
  <c r="C74" i="1"/>
  <c r="C73" i="1"/>
  <c r="C72" i="1"/>
  <c r="F45" i="1"/>
  <c r="F44" i="1"/>
  <c r="F43" i="1"/>
  <c r="D41" i="1"/>
  <c r="F41" i="1" s="1"/>
  <c r="F46" i="1" s="1"/>
  <c r="D42" i="1"/>
  <c r="F42" i="1" s="1"/>
  <c r="D43" i="1"/>
  <c r="D44" i="1"/>
  <c r="D45" i="1"/>
  <c r="E45" i="1"/>
  <c r="E44" i="1"/>
  <c r="E43" i="1"/>
  <c r="E42" i="1"/>
  <c r="E41" i="1"/>
  <c r="C45" i="1"/>
  <c r="C44" i="1"/>
  <c r="C43" i="1"/>
  <c r="C42" i="1"/>
  <c r="C41" i="1"/>
  <c r="F5" i="1"/>
  <c r="F4" i="1"/>
  <c r="E5" i="1"/>
  <c r="E4" i="1"/>
  <c r="F6" i="1"/>
  <c r="E6" i="1"/>
  <c r="F3" i="1"/>
  <c r="F2" i="1"/>
  <c r="G2" i="1"/>
  <c r="E2" i="1"/>
  <c r="G6" i="1"/>
  <c r="G5" i="1"/>
  <c r="G4" i="1"/>
  <c r="G3" i="1"/>
  <c r="E3" i="1"/>
  <c r="B45" i="1"/>
  <c r="B43" i="1"/>
  <c r="B44" i="1"/>
  <c r="B42" i="1"/>
  <c r="B41" i="1"/>
  <c r="C12" i="1"/>
  <c r="F12" i="1" s="1"/>
  <c r="D7" i="1"/>
  <c r="B7" i="1"/>
  <c r="C5" i="1" s="1"/>
  <c r="C77" i="1" l="1"/>
  <c r="I78" i="1" s="1"/>
  <c r="G34" i="1"/>
  <c r="G24" i="1"/>
  <c r="C67" i="1"/>
  <c r="I77" i="1" s="1"/>
  <c r="B19" i="1"/>
  <c r="B20" i="1"/>
  <c r="B21" i="1"/>
  <c r="B22" i="1"/>
  <c r="B23" i="1"/>
  <c r="C6" i="1"/>
  <c r="C2" i="1"/>
  <c r="C3" i="1"/>
  <c r="C4" i="1"/>
</calcChain>
</file>

<file path=xl/sharedStrings.xml><?xml version="1.0" encoding="utf-8"?>
<sst xmlns="http://schemas.openxmlformats.org/spreadsheetml/2006/main" count="187" uniqueCount="66">
  <si>
    <t>HA</t>
  </si>
  <si>
    <t>HA_Pop16</t>
  </si>
  <si>
    <t>Northern</t>
  </si>
  <si>
    <t>Interior</t>
  </si>
  <si>
    <t>Vancouver Coastal</t>
  </si>
  <si>
    <t>Fraser</t>
  </si>
  <si>
    <t>Vancouver Island</t>
  </si>
  <si>
    <t>Visits - BC</t>
  </si>
  <si>
    <t>Health Authority</t>
  </si>
  <si>
    <t>Total Visits</t>
  </si>
  <si>
    <t>Total Cost</t>
  </si>
  <si>
    <t>ED Visits</t>
  </si>
  <si>
    <t>https://www.commonwealthfund.org/international-health-policy-center/system-stats/annual-physician-visits-per-capita</t>
  </si>
  <si>
    <t>Sim Pop</t>
  </si>
  <si>
    <t>Age 0-14</t>
  </si>
  <si>
    <t>Age 15-64</t>
  </si>
  <si>
    <t>Age 65+</t>
  </si>
  <si>
    <t>0-14</t>
  </si>
  <si>
    <t>15-64</t>
  </si>
  <si>
    <t>65+</t>
  </si>
  <si>
    <t>Total</t>
  </si>
  <si>
    <t>% of toal</t>
  </si>
  <si>
    <t>BC Age Distribution</t>
  </si>
  <si>
    <t>https://www12.statcan.gc.ca/census-recensement/2021/dp-pd/dv-vd/cpdv-vdpr/index-eng.cfm</t>
  </si>
  <si>
    <t>https://www.cihi.ca/en/nacrs-emergency-department-visits-and-lengths-of-stay</t>
  </si>
  <si>
    <t>Pop - BC 2022</t>
  </si>
  <si>
    <t>ED Visits/person</t>
  </si>
  <si>
    <t>FM Visits by Age Group</t>
  </si>
  <si>
    <t>FM Visits</t>
  </si>
  <si>
    <t>VIH</t>
  </si>
  <si>
    <t>VCH</t>
  </si>
  <si>
    <t>FM Unit Costs</t>
  </si>
  <si>
    <t>ED Visits (CTAS 1-3)</t>
  </si>
  <si>
    <t>Visits</t>
  </si>
  <si>
    <t>Total Distance</t>
  </si>
  <si>
    <t>Carbon Emissions - FM</t>
  </si>
  <si>
    <t>Carbon Emissions - ED</t>
  </si>
  <si>
    <t>Distance per visit</t>
  </si>
  <si>
    <t>https://calculator.carbonfootprint.com/calculator.aspx?tab=4</t>
  </si>
  <si>
    <t>https://www.iea.org/articles/fuel-economy-in-canada</t>
  </si>
  <si>
    <t>Total ED  Visits</t>
  </si>
  <si>
    <t>Total Family Medicine Visits</t>
  </si>
  <si>
    <t>Total ED Visit Costs</t>
  </si>
  <si>
    <t>Total Family Medicine Visit Costs</t>
  </si>
  <si>
    <t>Family Medicine</t>
  </si>
  <si>
    <t>ED</t>
  </si>
  <si>
    <t>Virtual Visits</t>
  </si>
  <si>
    <t>https://www.ncbi.nlm.nih.gov/pmc/articles/PMC9037937/pdf/pone.0267218.pdf</t>
  </si>
  <si>
    <t>per person per year</t>
  </si>
  <si>
    <t>Virtual</t>
  </si>
  <si>
    <t>Virtual Unit Costs</t>
  </si>
  <si>
    <t>Total Virtual Visits</t>
  </si>
  <si>
    <t>ED Unit Costs - CTAS I-III</t>
  </si>
  <si>
    <t>ED Unit Costs - CTAS IV-V</t>
  </si>
  <si>
    <t>Total ED Visits</t>
  </si>
  <si>
    <t>Total CTAS 1-3 visit</t>
  </si>
  <si>
    <t>ED Visits (CTAS 4-5)</t>
  </si>
  <si>
    <t>Total CTAS 4-5 visit</t>
  </si>
  <si>
    <t>ED CTAS 1-3 Visits by Age Group</t>
  </si>
  <si>
    <t>ED CTAS 4-5 Visits by Age Group</t>
  </si>
  <si>
    <t>UNIT COSTS</t>
  </si>
  <si>
    <t>TABLES in MANUSCRIPT</t>
  </si>
  <si>
    <t>CARBON EMISSIONS</t>
  </si>
  <si>
    <t>CO2 emissions per km in kg:</t>
  </si>
  <si>
    <t>CO2 emission per visit (kg)</t>
  </si>
  <si>
    <t>Carbon Emissions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</si>
</sst>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2" fillId="0" borderId="0" xfId="1"/>
    <xf numFmtId="2" fontId="0" fillId="0" borderId="0" xfId="0" applyNumberFormat="1"/>
    <xf numFmtId="8" fontId="0" fillId="0" borderId="0" xfId="0" applyNumberFormat="1"/>
    <xf numFmtId="8" fontId="4" fillId="0" borderId="0" xfId="0" applyNumberFormat="1" applyFont="1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articles/fuel-economy-in-cana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FC14-B917-46EA-B822-2FC12334C73F}">
  <dimension ref="A1:S78"/>
  <sheetViews>
    <sheetView tabSelected="1" topLeftCell="A61" workbookViewId="0">
      <selection activeCell="J70" sqref="J70"/>
    </sheetView>
  </sheetViews>
  <sheetFormatPr defaultRowHeight="15" x14ac:dyDescent="0.25"/>
  <cols>
    <col min="1" max="1" width="22.7109375" customWidth="1"/>
    <col min="2" max="2" width="12.140625" customWidth="1"/>
    <col min="3" max="3" width="16.7109375" customWidth="1"/>
    <col min="5" max="5" width="14.85546875" customWidth="1"/>
    <col min="6" max="6" width="16.28515625" customWidth="1"/>
    <col min="7" max="7" width="16.42578125" customWidth="1"/>
    <col min="8" max="8" width="15.7109375" customWidth="1"/>
    <col min="9" max="9" width="14.85546875" customWidth="1"/>
    <col min="10" max="10" width="26.42578125" customWidth="1"/>
    <col min="14" max="14" width="19.85546875" customWidth="1"/>
    <col min="15" max="15" width="25.28515625" customWidth="1"/>
    <col min="16" max="16" width="29.7109375" customWidth="1"/>
    <col min="17" max="17" width="13.85546875" customWidth="1"/>
  </cols>
  <sheetData>
    <row r="1" spans="1:14" x14ac:dyDescent="0.25">
      <c r="A1" s="1" t="s">
        <v>0</v>
      </c>
      <c r="B1" s="1" t="s">
        <v>1</v>
      </c>
      <c r="C1" t="s">
        <v>21</v>
      </c>
      <c r="D1" t="s">
        <v>13</v>
      </c>
      <c r="E1" t="s">
        <v>14</v>
      </c>
      <c r="F1" t="s">
        <v>15</v>
      </c>
      <c r="G1" t="s">
        <v>16</v>
      </c>
      <c r="L1" t="s">
        <v>22</v>
      </c>
      <c r="N1" t="s">
        <v>23</v>
      </c>
    </row>
    <row r="2" spans="1:14" x14ac:dyDescent="0.25">
      <c r="A2" s="1" t="s">
        <v>2</v>
      </c>
      <c r="B2" s="1">
        <v>279885</v>
      </c>
      <c r="C2">
        <f>B2/B7</f>
        <v>6.0215509498058865E-2</v>
      </c>
      <c r="D2">
        <v>6022</v>
      </c>
      <c r="E2" s="2">
        <f>D2*N2</f>
        <v>862.95260000000007</v>
      </c>
      <c r="F2" s="2">
        <f>D2*N3+1</f>
        <v>3935.1725999999999</v>
      </c>
      <c r="G2" s="2">
        <f>D2*N4</f>
        <v>1224.2726</v>
      </c>
      <c r="L2" t="s">
        <v>17</v>
      </c>
      <c r="M2" s="3">
        <v>0.14299999999999999</v>
      </c>
      <c r="N2">
        <v>0.14330000000000001</v>
      </c>
    </row>
    <row r="3" spans="1:14" x14ac:dyDescent="0.25">
      <c r="A3" s="1" t="s">
        <v>3</v>
      </c>
      <c r="B3" s="1">
        <v>739989</v>
      </c>
      <c r="C3">
        <f>B3/B7</f>
        <v>0.15920401114014357</v>
      </c>
      <c r="D3">
        <v>15920</v>
      </c>
      <c r="E3" s="2">
        <f>D3*N2</f>
        <v>2281.3360000000002</v>
      </c>
      <c r="F3" s="2">
        <f>D3*N3+2</f>
        <v>10402.536</v>
      </c>
      <c r="G3" s="2">
        <f>D3*N4</f>
        <v>3236.5360000000001</v>
      </c>
      <c r="L3" t="s">
        <v>18</v>
      </c>
      <c r="M3" s="3">
        <v>0.65300000000000002</v>
      </c>
      <c r="N3">
        <v>0.65329999999999999</v>
      </c>
    </row>
    <row r="4" spans="1:14" x14ac:dyDescent="0.25">
      <c r="A4" s="1" t="s">
        <v>4</v>
      </c>
      <c r="B4" s="1">
        <v>1131705</v>
      </c>
      <c r="C4">
        <f>B4/B7</f>
        <v>0.24347926175572362</v>
      </c>
      <c r="D4">
        <v>24348</v>
      </c>
      <c r="E4" s="2">
        <f>D4*N2</f>
        <v>3489.0684000000001</v>
      </c>
      <c r="F4" s="2">
        <f>D4*N3+2</f>
        <v>15908.5484</v>
      </c>
      <c r="G4" s="2">
        <f>D4*N4</f>
        <v>4949.9484000000002</v>
      </c>
      <c r="L4" t="s">
        <v>19</v>
      </c>
      <c r="M4" s="3">
        <v>0.20300000000000001</v>
      </c>
      <c r="N4">
        <v>0.20330000000000001</v>
      </c>
    </row>
    <row r="5" spans="1:14" x14ac:dyDescent="0.25">
      <c r="A5" s="1" t="s">
        <v>5</v>
      </c>
      <c r="B5" s="1">
        <v>1720066</v>
      </c>
      <c r="C5">
        <f>B5/B7</f>
        <v>0.37006145581323802</v>
      </c>
      <c r="D5">
        <v>37006</v>
      </c>
      <c r="E5" s="2">
        <f>D5*N2</f>
        <v>5302.9598000000005</v>
      </c>
      <c r="F5" s="2">
        <f>D5*N3+4</f>
        <v>24180.019799999998</v>
      </c>
      <c r="G5" s="2">
        <f>D5*N4</f>
        <v>7523.3198000000002</v>
      </c>
    </row>
    <row r="6" spans="1:14" x14ac:dyDescent="0.25">
      <c r="A6" s="1" t="s">
        <v>6</v>
      </c>
      <c r="B6" s="1">
        <v>776410</v>
      </c>
      <c r="C6">
        <f>B6/B7</f>
        <v>0.16703976179283592</v>
      </c>
      <c r="D6">
        <v>16704</v>
      </c>
      <c r="E6" s="2">
        <f>D6*N2</f>
        <v>2393.6832000000004</v>
      </c>
      <c r="F6" s="2">
        <f>D6*N3+2</f>
        <v>10914.7232</v>
      </c>
      <c r="G6" s="2">
        <f>D6*N4</f>
        <v>3395.9232000000002</v>
      </c>
    </row>
    <row r="7" spans="1:14" x14ac:dyDescent="0.25">
      <c r="A7" s="1" t="s">
        <v>20</v>
      </c>
      <c r="B7">
        <f>SUM(B2:B6)</f>
        <v>4648055</v>
      </c>
      <c r="D7">
        <f>SUM(D2:D6)</f>
        <v>100000</v>
      </c>
    </row>
    <row r="9" spans="1:14" x14ac:dyDescent="0.25">
      <c r="J9" s="10" t="s">
        <v>60</v>
      </c>
    </row>
    <row r="10" spans="1:14" x14ac:dyDescent="0.25">
      <c r="K10" t="s">
        <v>52</v>
      </c>
    </row>
    <row r="11" spans="1:14" x14ac:dyDescent="0.25">
      <c r="A11" t="s">
        <v>11</v>
      </c>
      <c r="K11" t="s">
        <v>17</v>
      </c>
      <c r="L11" t="s">
        <v>18</v>
      </c>
      <c r="M11" t="s">
        <v>19</v>
      </c>
    </row>
    <row r="12" spans="1:14" x14ac:dyDescent="0.25">
      <c r="A12" t="s">
        <v>7</v>
      </c>
      <c r="B12">
        <v>1666078</v>
      </c>
      <c r="C12">
        <f>B12/0.729</f>
        <v>2285429.3552812072</v>
      </c>
      <c r="E12" t="s">
        <v>26</v>
      </c>
      <c r="F12">
        <f>C12/C14</f>
        <v>0.42572952891701105</v>
      </c>
      <c r="J12" t="s">
        <v>2</v>
      </c>
      <c r="K12">
        <v>217.06</v>
      </c>
      <c r="L12">
        <v>300.43</v>
      </c>
      <c r="M12">
        <v>133.68</v>
      </c>
    </row>
    <row r="13" spans="1:14" x14ac:dyDescent="0.25">
      <c r="A13" t="s">
        <v>24</v>
      </c>
      <c r="J13" t="s">
        <v>3</v>
      </c>
      <c r="K13">
        <v>193.93</v>
      </c>
      <c r="L13">
        <v>270.13</v>
      </c>
      <c r="M13">
        <v>117.74</v>
      </c>
    </row>
    <row r="14" spans="1:14" x14ac:dyDescent="0.25">
      <c r="A14" t="s">
        <v>25</v>
      </c>
      <c r="C14">
        <v>5368266</v>
      </c>
      <c r="J14" t="s">
        <v>5</v>
      </c>
      <c r="K14">
        <v>189.72</v>
      </c>
      <c r="L14">
        <v>265.62</v>
      </c>
      <c r="M14">
        <v>113.83</v>
      </c>
    </row>
    <row r="15" spans="1:14" x14ac:dyDescent="0.25">
      <c r="J15" t="s">
        <v>29</v>
      </c>
      <c r="K15">
        <v>171.06</v>
      </c>
      <c r="L15">
        <v>240.23</v>
      </c>
      <c r="M15">
        <v>101.88</v>
      </c>
    </row>
    <row r="16" spans="1:14" x14ac:dyDescent="0.25">
      <c r="A16" t="s">
        <v>32</v>
      </c>
      <c r="J16" t="s">
        <v>30</v>
      </c>
      <c r="K16">
        <v>170.85</v>
      </c>
      <c r="L16">
        <v>236.51</v>
      </c>
      <c r="M16">
        <v>105.19</v>
      </c>
    </row>
    <row r="17" spans="1:19" x14ac:dyDescent="0.25">
      <c r="D17" s="9" t="s">
        <v>58</v>
      </c>
      <c r="E17" s="9"/>
      <c r="F17" s="9"/>
    </row>
    <row r="18" spans="1:19" x14ac:dyDescent="0.25">
      <c r="A18" t="s">
        <v>8</v>
      </c>
      <c r="B18" t="s">
        <v>54</v>
      </c>
      <c r="C18" t="s">
        <v>55</v>
      </c>
      <c r="D18" t="s">
        <v>17</v>
      </c>
      <c r="E18" t="s">
        <v>18</v>
      </c>
      <c r="F18" t="s">
        <v>19</v>
      </c>
      <c r="G18" t="s">
        <v>10</v>
      </c>
    </row>
    <row r="19" spans="1:19" x14ac:dyDescent="0.25">
      <c r="A19" t="s">
        <v>2</v>
      </c>
      <c r="B19" s="2">
        <f>D2*F12</f>
        <v>2563.7432231382404</v>
      </c>
      <c r="C19" s="2">
        <f>B19*0.65</f>
        <v>1666.4330950398564</v>
      </c>
      <c r="D19" s="2">
        <f>C19*N2</f>
        <v>238.79986251921144</v>
      </c>
      <c r="E19" s="2">
        <f>C19*N3</f>
        <v>1088.6807409895382</v>
      </c>
      <c r="F19" s="2">
        <f>C19*N4</f>
        <v>338.78584822160281</v>
      </c>
      <c r="G19" s="4">
        <f>(D19*K12)+(E19*L12)+(F19*M12)</f>
        <v>424195.14536417089</v>
      </c>
      <c r="K19" t="s">
        <v>53</v>
      </c>
    </row>
    <row r="20" spans="1:19" ht="15.75" x14ac:dyDescent="0.25">
      <c r="A20" t="s">
        <v>3</v>
      </c>
      <c r="B20" s="2">
        <f>D3*F12</f>
        <v>6777.6141003588154</v>
      </c>
      <c r="C20" s="2">
        <f t="shared" ref="C20:C23" si="0">B20*0.65</f>
        <v>4405.4491652332299</v>
      </c>
      <c r="D20" s="2">
        <f>C20*N2</f>
        <v>631.30086537792192</v>
      </c>
      <c r="E20" s="2">
        <f>C20*N3</f>
        <v>2878.0799396468692</v>
      </c>
      <c r="F20" s="2">
        <f>C20*N4</f>
        <v>895.62781529191568</v>
      </c>
      <c r="G20" s="4">
        <f>(D20*K13)+(E20*L13)+(F20*M13)</f>
        <v>1005335.1298920193</v>
      </c>
      <c r="J20" t="s">
        <v>2</v>
      </c>
      <c r="K20" s="8">
        <v>179.91</v>
      </c>
      <c r="L20" s="8">
        <v>244.96</v>
      </c>
      <c r="M20" s="8">
        <v>114.86</v>
      </c>
    </row>
    <row r="21" spans="1:19" ht="15.75" x14ac:dyDescent="0.25">
      <c r="A21" t="s">
        <v>5</v>
      </c>
      <c r="B21" s="2">
        <f>D5*F12</f>
        <v>15754.54694710291</v>
      </c>
      <c r="C21" s="2">
        <f t="shared" si="0"/>
        <v>10240.455515616892</v>
      </c>
      <c r="D21" s="2">
        <f>C21*N2</f>
        <v>1467.4572753879006</v>
      </c>
      <c r="E21" s="2">
        <f>C21*N3+1</f>
        <v>6691.0895883525154</v>
      </c>
      <c r="F21" s="2">
        <f>C21*N4</f>
        <v>2081.8846063249143</v>
      </c>
      <c r="G21" s="4">
        <f>(D21*K14)+(E21*L14)+(F21*M14)</f>
        <v>2292674.1354827527</v>
      </c>
      <c r="J21" t="s">
        <v>3</v>
      </c>
      <c r="K21" s="8">
        <v>155.79</v>
      </c>
      <c r="L21" s="8">
        <v>213.66</v>
      </c>
      <c r="M21" s="8">
        <v>97.91</v>
      </c>
    </row>
    <row r="22" spans="1:19" ht="15.75" x14ac:dyDescent="0.25">
      <c r="A22" t="s">
        <v>6</v>
      </c>
      <c r="B22" s="2">
        <f>D6*F12</f>
        <v>7111.3860510297527</v>
      </c>
      <c r="C22" s="2">
        <f t="shared" si="0"/>
        <v>4622.4009331693396</v>
      </c>
      <c r="D22" s="2">
        <f>C22*N2</f>
        <v>662.39005372316637</v>
      </c>
      <c r="E22" s="2">
        <f>C22*N3</f>
        <v>3019.8145296395296</v>
      </c>
      <c r="F22" s="2">
        <f>C22*N4</f>
        <v>939.7341097133268</v>
      </c>
      <c r="G22" s="4">
        <f>(D22*K15)+(E22*L15)+(F22*M15)</f>
        <v>934498.59814278269</v>
      </c>
      <c r="J22" t="s">
        <v>5</v>
      </c>
      <c r="K22" s="8">
        <v>152.33000000000001</v>
      </c>
      <c r="L22" s="8">
        <v>209.89</v>
      </c>
      <c r="M22" s="8">
        <v>94.76</v>
      </c>
    </row>
    <row r="23" spans="1:19" ht="15.75" x14ac:dyDescent="0.25">
      <c r="A23" t="s">
        <v>4</v>
      </c>
      <c r="B23" s="2">
        <f>D4*F12</f>
        <v>10365.662570071385</v>
      </c>
      <c r="C23" s="2">
        <f t="shared" si="0"/>
        <v>6737.6806705464005</v>
      </c>
      <c r="D23" s="2">
        <f>C23*N2</f>
        <v>965.5096400892993</v>
      </c>
      <c r="E23" s="2">
        <f>C23*N3+1</f>
        <v>4402.7267820679635</v>
      </c>
      <c r="F23" s="2">
        <f>C23*N4</f>
        <v>1369.7704803220834</v>
      </c>
      <c r="G23" s="4">
        <f>(D23*K16)+(E23*L16)+(F23*M16)</f>
        <v>1350332.3900612309</v>
      </c>
      <c r="J23" t="s">
        <v>29</v>
      </c>
      <c r="K23" s="8">
        <v>132.91</v>
      </c>
      <c r="L23" s="8">
        <v>183.76</v>
      </c>
      <c r="M23" s="8">
        <v>82.06</v>
      </c>
    </row>
    <row r="24" spans="1:19" ht="15.75" x14ac:dyDescent="0.25">
      <c r="A24" t="s">
        <v>20</v>
      </c>
      <c r="C24" s="2">
        <f>SUM(C19:C23)</f>
        <v>27672.419379605719</v>
      </c>
      <c r="G24" s="4">
        <f>SUM(G19:G23)</f>
        <v>6007035.3989429567</v>
      </c>
      <c r="J24" t="s">
        <v>30</v>
      </c>
      <c r="K24" s="8">
        <v>133.44999999999999</v>
      </c>
      <c r="L24" s="8">
        <v>180.79</v>
      </c>
      <c r="M24" s="8">
        <v>86.12</v>
      </c>
    </row>
    <row r="26" spans="1:19" x14ac:dyDescent="0.25">
      <c r="A26" t="s">
        <v>56</v>
      </c>
      <c r="K26" t="s">
        <v>31</v>
      </c>
      <c r="O26" s="10" t="s">
        <v>61</v>
      </c>
    </row>
    <row r="27" spans="1:19" x14ac:dyDescent="0.25">
      <c r="D27" s="9" t="s">
        <v>59</v>
      </c>
      <c r="E27" s="9"/>
      <c r="F27" s="9"/>
      <c r="K27" t="s">
        <v>17</v>
      </c>
      <c r="L27" t="s">
        <v>18</v>
      </c>
      <c r="M27" t="s">
        <v>19</v>
      </c>
    </row>
    <row r="28" spans="1:19" x14ac:dyDescent="0.25">
      <c r="A28" t="s">
        <v>8</v>
      </c>
      <c r="B28" t="s">
        <v>54</v>
      </c>
      <c r="C28" t="s">
        <v>57</v>
      </c>
      <c r="D28" t="s">
        <v>17</v>
      </c>
      <c r="E28" t="s">
        <v>18</v>
      </c>
      <c r="F28" t="s">
        <v>19</v>
      </c>
      <c r="G28" t="s">
        <v>10</v>
      </c>
      <c r="J28" t="s">
        <v>2</v>
      </c>
      <c r="K28">
        <v>106.16</v>
      </c>
      <c r="L28">
        <v>141.59</v>
      </c>
      <c r="M28">
        <v>70.739999999999995</v>
      </c>
    </row>
    <row r="29" spans="1:19" x14ac:dyDescent="0.25">
      <c r="A29" t="s">
        <v>2</v>
      </c>
      <c r="B29" s="2">
        <v>2563.7432231382404</v>
      </c>
      <c r="C29" s="2">
        <f>B29*0.35</f>
        <v>897.3101280983841</v>
      </c>
      <c r="D29" s="2">
        <f>C29*N2</f>
        <v>128.58454135649845</v>
      </c>
      <c r="E29" s="2">
        <f>C29*N3</f>
        <v>586.21270668667432</v>
      </c>
      <c r="F29" s="2">
        <f>C29*N4</f>
        <v>182.42314904240149</v>
      </c>
      <c r="G29" s="7">
        <f>(D29*K20)+(E29*L20)+(F29*M20)</f>
        <v>187685.43236442559</v>
      </c>
      <c r="J29" t="s">
        <v>3</v>
      </c>
      <c r="K29">
        <v>80.040000000000006</v>
      </c>
      <c r="L29">
        <v>108.29</v>
      </c>
      <c r="M29">
        <v>51.79</v>
      </c>
      <c r="O29" t="s">
        <v>8</v>
      </c>
      <c r="P29" t="s">
        <v>13</v>
      </c>
      <c r="Q29" t="s">
        <v>14</v>
      </c>
      <c r="R29" t="s">
        <v>15</v>
      </c>
      <c r="S29" t="s">
        <v>16</v>
      </c>
    </row>
    <row r="30" spans="1:19" x14ac:dyDescent="0.25">
      <c r="A30" t="s">
        <v>3</v>
      </c>
      <c r="B30" s="2">
        <v>6777.6141003588154</v>
      </c>
      <c r="C30" s="2">
        <f t="shared" ref="C30:C33" si="1">B30*0.35</f>
        <v>2372.1649351255851</v>
      </c>
      <c r="D30" s="2">
        <f>C30*N2</f>
        <v>339.93123520349639</v>
      </c>
      <c r="E30" s="2">
        <f>C30*N3</f>
        <v>1549.7353521175446</v>
      </c>
      <c r="F30" s="2">
        <f>C30*N4</f>
        <v>482.26113131103148</v>
      </c>
      <c r="G30" s="7">
        <f>(D30*K21)+(E30*L21)+(F30*M21)</f>
        <v>431292.52983245032</v>
      </c>
      <c r="J30" t="s">
        <v>5</v>
      </c>
      <c r="K30">
        <v>72.58</v>
      </c>
      <c r="L30">
        <v>100.52</v>
      </c>
      <c r="M30">
        <v>44.63</v>
      </c>
      <c r="O30" s="1" t="s">
        <v>2</v>
      </c>
      <c r="P30" s="2">
        <v>6022</v>
      </c>
      <c r="Q30" s="2">
        <v>862.95260000000007</v>
      </c>
      <c r="R30" s="2">
        <v>3935.1725999999999</v>
      </c>
      <c r="S30" s="2">
        <v>1224.2726</v>
      </c>
    </row>
    <row r="31" spans="1:19" x14ac:dyDescent="0.25">
      <c r="A31" t="s">
        <v>5</v>
      </c>
      <c r="B31" s="2">
        <v>15754.54694710291</v>
      </c>
      <c r="C31" s="2">
        <f t="shared" si="1"/>
        <v>5514.0914314860183</v>
      </c>
      <c r="D31" s="2">
        <f>C31*N2</f>
        <v>790.16930213194644</v>
      </c>
      <c r="E31" s="2">
        <f>C31*N3</f>
        <v>3602.3559321898156</v>
      </c>
      <c r="F31" s="2">
        <f>C31*N4</f>
        <v>1121.0147880211075</v>
      </c>
      <c r="G31" s="7">
        <f>(D31*K22)+(E31*L22)+(F31*M22)</f>
        <v>982692.33771395998</v>
      </c>
      <c r="J31" t="s">
        <v>29</v>
      </c>
      <c r="K31">
        <v>57.16</v>
      </c>
      <c r="L31">
        <v>78.39</v>
      </c>
      <c r="M31">
        <v>35.94</v>
      </c>
      <c r="O31" s="1" t="s">
        <v>3</v>
      </c>
      <c r="P31" s="2">
        <v>15920</v>
      </c>
      <c r="Q31" s="2">
        <v>2281.3360000000002</v>
      </c>
      <c r="R31" s="2">
        <v>10402.536</v>
      </c>
      <c r="S31" s="2">
        <v>3236.5360000000001</v>
      </c>
    </row>
    <row r="32" spans="1:19" x14ac:dyDescent="0.25">
      <c r="A32" t="s">
        <v>6</v>
      </c>
      <c r="B32" s="2">
        <v>7111.3860510297527</v>
      </c>
      <c r="C32" s="2">
        <f t="shared" si="1"/>
        <v>2488.9851178604131</v>
      </c>
      <c r="D32" s="2">
        <f>C32*N2</f>
        <v>356.67156738939724</v>
      </c>
      <c r="E32" s="2">
        <f>C32*N3</f>
        <v>1626.0539774982078</v>
      </c>
      <c r="F32" s="2">
        <f>C32*N4</f>
        <v>506.01067446102201</v>
      </c>
      <c r="G32" s="7">
        <f>(D32*K23)+(E32*L23)+(F32*M23)</f>
        <v>387732.13287306688</v>
      </c>
      <c r="J32" t="s">
        <v>30</v>
      </c>
      <c r="K32">
        <v>49.21</v>
      </c>
      <c r="L32">
        <v>66.92</v>
      </c>
      <c r="M32">
        <v>31.49</v>
      </c>
      <c r="O32" s="1" t="s">
        <v>4</v>
      </c>
      <c r="P32" s="2">
        <v>24348</v>
      </c>
      <c r="Q32" s="2">
        <v>3489.0684000000001</v>
      </c>
      <c r="R32" s="2">
        <v>15908.5484</v>
      </c>
      <c r="S32" s="2">
        <v>4949.9484000000002</v>
      </c>
    </row>
    <row r="33" spans="1:19" x14ac:dyDescent="0.25">
      <c r="A33" t="s">
        <v>4</v>
      </c>
      <c r="B33" s="2">
        <v>10365.662570071385</v>
      </c>
      <c r="C33" s="2">
        <f t="shared" si="1"/>
        <v>3627.9818995249843</v>
      </c>
      <c r="D33" s="2">
        <f>C33*N2</f>
        <v>519.88980620193024</v>
      </c>
      <c r="E33" s="2">
        <f>C33*N3</f>
        <v>2370.1605749596724</v>
      </c>
      <c r="F33" s="2">
        <f>C33*N4</f>
        <v>737.56872017342937</v>
      </c>
      <c r="G33" s="7">
        <f>(D33*K24)+(E33*L24)+(F33*M24)</f>
        <v>561400.04316594254</v>
      </c>
      <c r="O33" s="1" t="s">
        <v>5</v>
      </c>
      <c r="P33" s="2">
        <v>37006</v>
      </c>
      <c r="Q33" s="2">
        <v>5302.9598000000005</v>
      </c>
      <c r="R33" s="2">
        <v>24180.019799999998</v>
      </c>
      <c r="S33" s="2">
        <v>7523.3198000000002</v>
      </c>
    </row>
    <row r="34" spans="1:19" x14ac:dyDescent="0.25">
      <c r="A34" t="s">
        <v>20</v>
      </c>
      <c r="C34" s="2">
        <f>SUM(C29:C33)</f>
        <v>14900.533512095384</v>
      </c>
      <c r="G34" s="7">
        <f>SUM(G29:G33)</f>
        <v>2550802.4759498453</v>
      </c>
      <c r="O34" s="1" t="s">
        <v>6</v>
      </c>
      <c r="P34" s="2">
        <v>16704</v>
      </c>
      <c r="Q34" s="2">
        <v>2393.6832000000004</v>
      </c>
      <c r="R34" s="2">
        <v>10914.7232</v>
      </c>
      <c r="S34" s="2">
        <v>3395.9232000000002</v>
      </c>
    </row>
    <row r="35" spans="1:19" x14ac:dyDescent="0.25">
      <c r="K35" t="s">
        <v>50</v>
      </c>
    </row>
    <row r="36" spans="1:19" x14ac:dyDescent="0.25">
      <c r="G36" s="7"/>
      <c r="K36" t="s">
        <v>17</v>
      </c>
      <c r="L36" t="s">
        <v>18</v>
      </c>
      <c r="M36" t="s">
        <v>19</v>
      </c>
    </row>
    <row r="37" spans="1:19" x14ac:dyDescent="0.25">
      <c r="J37" t="s">
        <v>49</v>
      </c>
      <c r="K37">
        <v>20.18</v>
      </c>
      <c r="L37">
        <v>29.65</v>
      </c>
      <c r="M37">
        <v>10.72</v>
      </c>
    </row>
    <row r="38" spans="1:19" x14ac:dyDescent="0.25">
      <c r="A38" t="s">
        <v>28</v>
      </c>
      <c r="B38">
        <v>2.7</v>
      </c>
      <c r="C38" t="s">
        <v>12</v>
      </c>
      <c r="O38" t="s">
        <v>8</v>
      </c>
      <c r="P38" t="s">
        <v>40</v>
      </c>
      <c r="Q38" t="s">
        <v>42</v>
      </c>
    </row>
    <row r="39" spans="1:19" x14ac:dyDescent="0.25">
      <c r="C39" s="11" t="s">
        <v>27</v>
      </c>
      <c r="D39" s="11"/>
      <c r="E39" s="11"/>
      <c r="O39" s="1" t="s">
        <v>2</v>
      </c>
      <c r="P39" s="2">
        <v>2563.7432231382404</v>
      </c>
      <c r="Q39" s="4">
        <v>633555.48805471591</v>
      </c>
    </row>
    <row r="40" spans="1:19" x14ac:dyDescent="0.25">
      <c r="A40" t="s">
        <v>8</v>
      </c>
      <c r="B40" t="s">
        <v>9</v>
      </c>
      <c r="C40" t="s">
        <v>17</v>
      </c>
      <c r="D40" t="s">
        <v>18</v>
      </c>
      <c r="E40" t="s">
        <v>19</v>
      </c>
      <c r="F40" t="s">
        <v>10</v>
      </c>
      <c r="O40" s="1" t="s">
        <v>3</v>
      </c>
      <c r="P40" s="2">
        <v>6777.6141003588154</v>
      </c>
      <c r="Q40" s="4">
        <v>1496191.991810716</v>
      </c>
    </row>
    <row r="41" spans="1:19" x14ac:dyDescent="0.25">
      <c r="A41" t="s">
        <v>2</v>
      </c>
      <c r="B41" s="2">
        <f>B38*D2</f>
        <v>16259.400000000001</v>
      </c>
      <c r="C41" s="2">
        <f>E2*B38</f>
        <v>2329.9720200000002</v>
      </c>
      <c r="D41" s="2">
        <f>F2*B38-1</f>
        <v>10623.96602</v>
      </c>
      <c r="E41" s="2">
        <f>G2*B38</f>
        <v>3305.5360200000005</v>
      </c>
      <c r="F41" s="4">
        <f>(C41*K28)+(D41*L28)+(E41*M28)</f>
        <v>1985430.7964697999</v>
      </c>
      <c r="O41" s="1" t="s">
        <v>4</v>
      </c>
      <c r="P41" s="2">
        <v>15754.54694710291</v>
      </c>
      <c r="Q41" s="4">
        <v>3409296.9541636906</v>
      </c>
    </row>
    <row r="42" spans="1:19" x14ac:dyDescent="0.25">
      <c r="A42" t="s">
        <v>3</v>
      </c>
      <c r="B42" s="2">
        <f>B38*D3</f>
        <v>42984</v>
      </c>
      <c r="C42" s="2">
        <f>E3*B38</f>
        <v>6159.6072000000013</v>
      </c>
      <c r="D42" s="2">
        <f>F3*B38-1</f>
        <v>28085.847200000004</v>
      </c>
      <c r="E42" s="2">
        <f>G3*B38</f>
        <v>8738.6472000000012</v>
      </c>
      <c r="F42" s="4">
        <f>(C42*K29)+(D42*L29)+(E42*M29)</f>
        <v>3987005.8920640009</v>
      </c>
      <c r="O42" s="1" t="s">
        <v>5</v>
      </c>
      <c r="P42" s="2">
        <v>7111.3860510297527</v>
      </c>
      <c r="Q42" s="4">
        <v>1384463.6840112791</v>
      </c>
    </row>
    <row r="43" spans="1:19" x14ac:dyDescent="0.25">
      <c r="A43" t="s">
        <v>5</v>
      </c>
      <c r="B43" s="2">
        <f>B38*D5</f>
        <v>99916.200000000012</v>
      </c>
      <c r="C43" s="2">
        <f>E5*B38</f>
        <v>14317.991460000003</v>
      </c>
      <c r="D43" s="2">
        <f>F5*B38-1</f>
        <v>65285.053460000003</v>
      </c>
      <c r="E43" s="2">
        <f>G5*B38</f>
        <v>20312.963460000003</v>
      </c>
      <c r="F43" s="4">
        <f>(C43*K30)+(D43*L30)+(E43*M30)</f>
        <v>8508220.9531858005</v>
      </c>
      <c r="O43" s="1" t="s">
        <v>6</v>
      </c>
      <c r="P43" s="2">
        <v>10365.662570071385</v>
      </c>
      <c r="Q43" s="4">
        <v>1999957.8505576602</v>
      </c>
    </row>
    <row r="44" spans="1:19" x14ac:dyDescent="0.25">
      <c r="A44" t="s">
        <v>6</v>
      </c>
      <c r="B44" s="2">
        <f>B38*D6</f>
        <v>45100.800000000003</v>
      </c>
      <c r="C44" s="2">
        <f>E6*B38</f>
        <v>6462.9446400000015</v>
      </c>
      <c r="D44" s="2">
        <f>F6*B38-1</f>
        <v>29468.752640000002</v>
      </c>
      <c r="E44" s="2">
        <f>G6*B38</f>
        <v>9168.9926400000004</v>
      </c>
      <c r="F44" s="4">
        <f>(C44*K31)+(D44*L31)+(E44*M31)</f>
        <v>3009011.0305536003</v>
      </c>
      <c r="O44" s="1" t="s">
        <v>20</v>
      </c>
      <c r="P44" s="2">
        <v>42573</v>
      </c>
      <c r="Q44" s="4">
        <v>8923465.9685980622</v>
      </c>
    </row>
    <row r="45" spans="1:19" x14ac:dyDescent="0.25">
      <c r="A45" t="s">
        <v>4</v>
      </c>
      <c r="B45" s="2">
        <f>B38*D4</f>
        <v>65739.600000000006</v>
      </c>
      <c r="C45" s="2">
        <f>E4*B38</f>
        <v>9420.4846800000014</v>
      </c>
      <c r="D45" s="2">
        <f>F4*B38+2</f>
        <v>42955.080679999999</v>
      </c>
      <c r="E45" s="2">
        <f>G4*B38</f>
        <v>13364.860680000002</v>
      </c>
      <c r="F45" s="4">
        <f>(C45*K32)+(D45*L32)+(E45*M32)</f>
        <v>3758995.5130216</v>
      </c>
    </row>
    <row r="46" spans="1:19" x14ac:dyDescent="0.25">
      <c r="A46" t="s">
        <v>20</v>
      </c>
      <c r="F46" s="4">
        <f>SUM(F41:F45)</f>
        <v>21248664.185294803</v>
      </c>
      <c r="O46" t="s">
        <v>8</v>
      </c>
      <c r="P46" t="s">
        <v>41</v>
      </c>
      <c r="Q46" t="s">
        <v>43</v>
      </c>
    </row>
    <row r="47" spans="1:19" x14ac:dyDescent="0.25">
      <c r="O47" s="1" t="s">
        <v>2</v>
      </c>
      <c r="P47" s="2">
        <v>16259.400000000001</v>
      </c>
      <c r="Q47" s="4">
        <v>1985430.7964697999</v>
      </c>
    </row>
    <row r="48" spans="1:19" x14ac:dyDescent="0.25">
      <c r="O48" s="1" t="s">
        <v>3</v>
      </c>
      <c r="P48" s="2">
        <v>42984</v>
      </c>
      <c r="Q48" s="4">
        <v>3987005.8920640009</v>
      </c>
    </row>
    <row r="49" spans="1:17" x14ac:dyDescent="0.25">
      <c r="A49" t="s">
        <v>46</v>
      </c>
      <c r="B49">
        <v>2.5</v>
      </c>
      <c r="C49" t="s">
        <v>48</v>
      </c>
      <c r="D49" t="s">
        <v>47</v>
      </c>
      <c r="O49" s="1" t="s">
        <v>4</v>
      </c>
      <c r="P49" s="2">
        <v>99916.200000000012</v>
      </c>
      <c r="Q49" s="4">
        <v>8508220.9531858005</v>
      </c>
    </row>
    <row r="50" spans="1:17" x14ac:dyDescent="0.25">
      <c r="O50" s="1" t="s">
        <v>5</v>
      </c>
      <c r="P50" s="2">
        <v>45100.800000000003</v>
      </c>
      <c r="Q50" s="4">
        <v>3009011.0305536003</v>
      </c>
    </row>
    <row r="51" spans="1:17" x14ac:dyDescent="0.25">
      <c r="A51" t="s">
        <v>8</v>
      </c>
      <c r="B51" t="s">
        <v>9</v>
      </c>
      <c r="C51" t="s">
        <v>17</v>
      </c>
      <c r="D51" t="s">
        <v>18</v>
      </c>
      <c r="E51" t="s">
        <v>19</v>
      </c>
      <c r="F51" t="s">
        <v>10</v>
      </c>
      <c r="O51" s="1" t="s">
        <v>6</v>
      </c>
      <c r="P51" s="2">
        <v>65739.600000000006</v>
      </c>
      <c r="Q51" s="4">
        <v>3758995.5130216</v>
      </c>
    </row>
    <row r="52" spans="1:17" x14ac:dyDescent="0.25">
      <c r="A52" t="s">
        <v>2</v>
      </c>
      <c r="B52">
        <f>D2*B49</f>
        <v>15055</v>
      </c>
      <c r="C52" s="2">
        <f>E2*B49</f>
        <v>2157.3815000000004</v>
      </c>
      <c r="D52" s="2">
        <f>F2*B49-1</f>
        <v>9836.9314999999988</v>
      </c>
      <c r="E52" s="2">
        <f>G2*B49</f>
        <v>3060.6815000000001</v>
      </c>
      <c r="F52" s="4">
        <f>(C52*K37)+(D52*L37)+(E52*M37)</f>
        <v>368011.48332499998</v>
      </c>
      <c r="O52" s="1" t="s">
        <v>20</v>
      </c>
      <c r="P52" s="2">
        <v>270000</v>
      </c>
      <c r="Q52" s="4">
        <v>21248664.185294803</v>
      </c>
    </row>
    <row r="53" spans="1:17" x14ac:dyDescent="0.25">
      <c r="A53" t="s">
        <v>3</v>
      </c>
      <c r="B53">
        <f>D3*B49</f>
        <v>39800</v>
      </c>
      <c r="C53" s="2">
        <f>E3*B49</f>
        <v>5703.34</v>
      </c>
      <c r="D53" s="2">
        <f>F3*B49-1</f>
        <v>26005.34</v>
      </c>
      <c r="E53" s="2">
        <f>G3*B49</f>
        <v>8091.34</v>
      </c>
      <c r="F53" s="4">
        <f>(C53*K37)+(D53*L37)+(E53*M37)</f>
        <v>972890.897</v>
      </c>
    </row>
    <row r="54" spans="1:17" x14ac:dyDescent="0.25">
      <c r="A54" t="s">
        <v>5</v>
      </c>
      <c r="B54">
        <f>D4*B49</f>
        <v>60870</v>
      </c>
      <c r="C54" s="2">
        <f>E4*B49</f>
        <v>8722.6710000000003</v>
      </c>
      <c r="D54" s="2">
        <f>F4*B49+1</f>
        <v>39772.370999999999</v>
      </c>
      <c r="E54" s="2">
        <f>G4*B49</f>
        <v>12374.871000000001</v>
      </c>
      <c r="F54" s="4">
        <f>(C54*K37)+(D54*L37)+(E54*M37)</f>
        <v>1487932.91805</v>
      </c>
      <c r="O54" t="s">
        <v>8</v>
      </c>
      <c r="P54" t="s">
        <v>51</v>
      </c>
      <c r="Q54" t="s">
        <v>10</v>
      </c>
    </row>
    <row r="55" spans="1:17" x14ac:dyDescent="0.25">
      <c r="A55" t="s">
        <v>6</v>
      </c>
      <c r="B55">
        <f>D5*B49</f>
        <v>92515</v>
      </c>
      <c r="C55" s="2">
        <f>E5*B49</f>
        <v>13257.399500000001</v>
      </c>
      <c r="D55" s="2">
        <f>F5*B49-1</f>
        <v>60449.049499999994</v>
      </c>
      <c r="E55" s="2">
        <f>G5*B49</f>
        <v>18808.299500000001</v>
      </c>
      <c r="F55" s="4">
        <f>(C55*K37)+(D55*L37)+(E55*M37)</f>
        <v>2261473.610225</v>
      </c>
      <c r="O55" t="s">
        <v>2</v>
      </c>
      <c r="P55" s="2">
        <v>15055</v>
      </c>
      <c r="Q55" s="4">
        <v>368011.48332499998</v>
      </c>
    </row>
    <row r="56" spans="1:17" x14ac:dyDescent="0.25">
      <c r="A56" t="s">
        <v>4</v>
      </c>
      <c r="B56">
        <f>D6*B49</f>
        <v>41760</v>
      </c>
      <c r="C56" s="2">
        <f>E6*B49</f>
        <v>5984.2080000000005</v>
      </c>
      <c r="D56" s="2">
        <f>F6*B49-1</f>
        <v>27285.808000000001</v>
      </c>
      <c r="E56" s="2">
        <f>G6*B49</f>
        <v>8489.8080000000009</v>
      </c>
      <c r="F56" s="4">
        <f>(C56*K37)+(D56*L37)+(E56*M37)</f>
        <v>1020796.2664</v>
      </c>
      <c r="O56" t="s">
        <v>3</v>
      </c>
      <c r="P56" s="2">
        <v>39800</v>
      </c>
      <c r="Q56" s="4">
        <v>972890.897</v>
      </c>
    </row>
    <row r="57" spans="1:17" x14ac:dyDescent="0.25">
      <c r="A57" t="s">
        <v>20</v>
      </c>
      <c r="F57" s="4">
        <f>SUM(F52:F56)</f>
        <v>6111105.1750000007</v>
      </c>
      <c r="O57" t="s">
        <v>5</v>
      </c>
      <c r="P57" s="2">
        <v>60870</v>
      </c>
      <c r="Q57" s="4">
        <v>1487932.91805</v>
      </c>
    </row>
    <row r="58" spans="1:17" x14ac:dyDescent="0.25">
      <c r="O58" t="s">
        <v>6</v>
      </c>
      <c r="P58" s="2">
        <v>92515</v>
      </c>
      <c r="Q58" s="4">
        <v>2261473.610225</v>
      </c>
    </row>
    <row r="59" spans="1:17" x14ac:dyDescent="0.25">
      <c r="A59" s="10" t="s">
        <v>62</v>
      </c>
      <c r="O59" t="s">
        <v>4</v>
      </c>
      <c r="P59" s="2">
        <v>41760</v>
      </c>
      <c r="Q59" s="4">
        <v>1020796.2664</v>
      </c>
    </row>
    <row r="60" spans="1:17" x14ac:dyDescent="0.25">
      <c r="A60" t="s">
        <v>35</v>
      </c>
      <c r="G60" t="s">
        <v>63</v>
      </c>
      <c r="O60" t="s">
        <v>20</v>
      </c>
      <c r="P60">
        <f>SUM(P55:P59)</f>
        <v>250000</v>
      </c>
      <c r="Q60" s="4">
        <v>6111105.1750000007</v>
      </c>
    </row>
    <row r="61" spans="1:17" x14ac:dyDescent="0.25">
      <c r="B61" t="s">
        <v>33</v>
      </c>
      <c r="C61" t="s">
        <v>34</v>
      </c>
      <c r="D61" t="s">
        <v>65</v>
      </c>
      <c r="G61">
        <v>0.15262999999999999</v>
      </c>
    </row>
    <row r="62" spans="1:17" x14ac:dyDescent="0.25">
      <c r="A62" t="s">
        <v>2</v>
      </c>
      <c r="B62" s="2">
        <v>16259.400000000001</v>
      </c>
      <c r="C62" s="2">
        <f>B62*H63</f>
        <v>1128402.3600000001</v>
      </c>
      <c r="D62">
        <f>C62*G61</f>
        <v>172228.0522068</v>
      </c>
      <c r="H62" t="s">
        <v>37</v>
      </c>
      <c r="I62" t="s">
        <v>64</v>
      </c>
    </row>
    <row r="63" spans="1:17" x14ac:dyDescent="0.25">
      <c r="A63" t="s">
        <v>3</v>
      </c>
      <c r="B63" s="2">
        <v>42984</v>
      </c>
      <c r="C63" s="2">
        <f>B63*H64</f>
        <v>1839715.2</v>
      </c>
      <c r="D63">
        <f>C63*G61</f>
        <v>280795.73097599996</v>
      </c>
      <c r="G63" t="s">
        <v>2</v>
      </c>
      <c r="H63">
        <v>69.400000000000006</v>
      </c>
      <c r="I63">
        <f>H63*G61</f>
        <v>10.592522000000001</v>
      </c>
    </row>
    <row r="64" spans="1:17" x14ac:dyDescent="0.25">
      <c r="A64" t="s">
        <v>5</v>
      </c>
      <c r="B64" s="2">
        <v>99916.200000000012</v>
      </c>
      <c r="C64" s="2">
        <f>B64*H65</f>
        <v>3057435.7200000007</v>
      </c>
      <c r="D64">
        <f>C64*G61</f>
        <v>466656.41394360008</v>
      </c>
      <c r="G64" t="s">
        <v>3</v>
      </c>
      <c r="H64">
        <v>42.8</v>
      </c>
      <c r="I64">
        <f>H64*G61</f>
        <v>6.5325639999999989</v>
      </c>
    </row>
    <row r="65" spans="1:10" x14ac:dyDescent="0.25">
      <c r="A65" t="s">
        <v>6</v>
      </c>
      <c r="B65" s="2">
        <v>45100.800000000003</v>
      </c>
      <c r="C65" s="2">
        <f>B65*H66</f>
        <v>1100459.52</v>
      </c>
      <c r="D65">
        <f>C65*G61</f>
        <v>167963.13653759999</v>
      </c>
      <c r="G65" t="s">
        <v>5</v>
      </c>
      <c r="H65">
        <v>30.6</v>
      </c>
      <c r="I65">
        <f>H65*G61</f>
        <v>4.6704780000000001</v>
      </c>
    </row>
    <row r="66" spans="1:10" x14ac:dyDescent="0.25">
      <c r="A66" t="s">
        <v>4</v>
      </c>
      <c r="B66" s="2">
        <v>65739.600000000006</v>
      </c>
      <c r="C66" s="2">
        <f>B66*H67</f>
        <v>792819.57600000012</v>
      </c>
      <c r="D66">
        <f>C66*G61</f>
        <v>121008.05188488001</v>
      </c>
      <c r="G66" t="s">
        <v>6</v>
      </c>
      <c r="H66">
        <v>24.4</v>
      </c>
      <c r="I66">
        <f>G61*H66</f>
        <v>3.7241719999999994</v>
      </c>
    </row>
    <row r="67" spans="1:10" x14ac:dyDescent="0.25">
      <c r="A67" t="s">
        <v>20</v>
      </c>
      <c r="B67" s="2">
        <f>SUM(B62:B66)</f>
        <v>270000</v>
      </c>
      <c r="C67" s="2">
        <f>SUM(C62:C66)</f>
        <v>7918832.3760000011</v>
      </c>
      <c r="D67">
        <f>C67*G61</f>
        <v>1208651.3855488801</v>
      </c>
      <c r="G67" t="s">
        <v>4</v>
      </c>
      <c r="H67">
        <v>12.06</v>
      </c>
      <c r="I67">
        <f>H67*G61</f>
        <v>1.8407178</v>
      </c>
    </row>
    <row r="70" spans="1:10" x14ac:dyDescent="0.25">
      <c r="A70" t="s">
        <v>36</v>
      </c>
    </row>
    <row r="71" spans="1:10" x14ac:dyDescent="0.25">
      <c r="B71" t="s">
        <v>33</v>
      </c>
      <c r="C71" t="s">
        <v>34</v>
      </c>
      <c r="D71" t="s">
        <v>65</v>
      </c>
      <c r="G71" t="s">
        <v>38</v>
      </c>
    </row>
    <row r="72" spans="1:10" x14ac:dyDescent="0.25">
      <c r="A72" t="s">
        <v>2</v>
      </c>
      <c r="B72" s="2">
        <v>2563.7432231382404</v>
      </c>
      <c r="C72" s="2">
        <f>B72*H63</f>
        <v>177923.77968579391</v>
      </c>
      <c r="D72">
        <f>C72*G61</f>
        <v>27156.506493442721</v>
      </c>
      <c r="G72" s="5" t="s">
        <v>39</v>
      </c>
    </row>
    <row r="73" spans="1:10" x14ac:dyDescent="0.25">
      <c r="A73" t="s">
        <v>3</v>
      </c>
      <c r="B73" s="2">
        <v>6777.6141003588154</v>
      </c>
      <c r="C73" s="2">
        <f>B73*H64</f>
        <v>290081.8834953573</v>
      </c>
      <c r="D73">
        <f>C73*G61</f>
        <v>44275.197877896382</v>
      </c>
    </row>
    <row r="74" spans="1:10" x14ac:dyDescent="0.25">
      <c r="A74" t="s">
        <v>5</v>
      </c>
      <c r="B74" s="2">
        <v>15754.54694710291</v>
      </c>
      <c r="C74" s="2">
        <f>B74*H65</f>
        <v>482089.13658134907</v>
      </c>
      <c r="D74">
        <f>C74*G61</f>
        <v>73581.26491641131</v>
      </c>
    </row>
    <row r="75" spans="1:10" x14ac:dyDescent="0.25">
      <c r="A75" t="s">
        <v>6</v>
      </c>
      <c r="B75" s="2">
        <v>7111.3860510297527</v>
      </c>
      <c r="C75" s="2">
        <f>B75*H66</f>
        <v>173517.81964512594</v>
      </c>
      <c r="D75">
        <f>C75*G61</f>
        <v>26484.024812435571</v>
      </c>
    </row>
    <row r="76" spans="1:10" x14ac:dyDescent="0.25">
      <c r="A76" t="s">
        <v>4</v>
      </c>
      <c r="B76" s="2">
        <v>10365.662570071385</v>
      </c>
      <c r="C76" s="2">
        <f>B76*H67</f>
        <v>125009.8905950609</v>
      </c>
      <c r="D76">
        <f>C76*G61</f>
        <v>19080.259601524143</v>
      </c>
      <c r="H76" t="s">
        <v>9</v>
      </c>
      <c r="I76" t="s">
        <v>34</v>
      </c>
      <c r="J76" t="s">
        <v>65</v>
      </c>
    </row>
    <row r="77" spans="1:10" x14ac:dyDescent="0.25">
      <c r="A77" t="s">
        <v>20</v>
      </c>
      <c r="B77" s="2">
        <f>SUM(B72:B76)</f>
        <v>42572.952891701105</v>
      </c>
      <c r="C77" s="2">
        <f>SUM(C72:C76)</f>
        <v>1248622.5100026871</v>
      </c>
      <c r="D77">
        <f>C77*G61</f>
        <v>190577.25370171011</v>
      </c>
      <c r="G77" t="s">
        <v>44</v>
      </c>
      <c r="H77" s="2">
        <v>270000</v>
      </c>
      <c r="I77" s="2">
        <f>C67</f>
        <v>7918832.3760000011</v>
      </c>
      <c r="J77" s="6">
        <f>D67</f>
        <v>1208651.3855488801</v>
      </c>
    </row>
    <row r="78" spans="1:10" x14ac:dyDescent="0.25">
      <c r="G78" t="s">
        <v>45</v>
      </c>
      <c r="H78" s="2">
        <v>42572.952891701105</v>
      </c>
      <c r="I78" s="2">
        <f>C77</f>
        <v>1248622.5100026871</v>
      </c>
      <c r="J78" s="6">
        <f>D77</f>
        <v>190577.25370171011</v>
      </c>
    </row>
  </sheetData>
  <mergeCells count="1">
    <mergeCell ref="C39:E39"/>
  </mergeCells>
  <hyperlinks>
    <hyperlink ref="G72" r:id="rId1" xr:uid="{6EE956D6-6D38-46D6-8100-4545D137BD3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Mainer-Pearson, Graham</dc:creator>
  <cp:lastModifiedBy>Mainer-Pearson, Graham</cp:lastModifiedBy>
  <dcterms:created xsi:type="dcterms:W3CDTF">2023-06-27T16:32:24Z</dcterms:created>
  <dcterms:modified xsi:type="dcterms:W3CDTF">2024-01-25T23:46:37Z</dcterms:modified>
</cp:coreProperties>
</file>